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comments8.xml" ContentType="application/vnd.openxmlformats-officedocument.spreadsheetml.comments+xml"/>
  <Override PartName="/xl/threadedComments/threadedComment8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elipearlindo/Downloads/area-investidor/assets/"/>
    </mc:Choice>
  </mc:AlternateContent>
  <xr:revisionPtr revIDLastSave="0" documentId="13_ncr:1_{DA414919-8A64-994F-9787-DF61270C95EA}" xr6:coauthVersionLast="47" xr6:coauthVersionMax="47" xr10:uidLastSave="{00000000-0000-0000-0000-000000000000}"/>
  <bookViews>
    <workbookView xWindow="0" yWindow="760" windowWidth="30240" windowHeight="17160" tabRatio="754" activeTab="1" xr2:uid="{D0305BE7-5B2F-4C53-843B-D3C0ED291B9A}"/>
  </bookViews>
  <sheets>
    <sheet name="MASTERPLAN" sheetId="42" r:id="rId1"/>
    <sheet name="MANAGEMENT" sheetId="54" r:id="rId2"/>
    <sheet name="CLUB MED" sheetId="43" r:id="rId3"/>
    <sheet name="WDC WEDDINGS" sheetId="45" r:id="rId4"/>
    <sheet name="VILLAS" sheetId="51" r:id="rId5"/>
    <sheet name="MINI MALL" sheetId="44" r:id="rId6"/>
    <sheet name="SKI GRAMADO" sheetId="46" r:id="rId7"/>
    <sheet name="CONVENTION CENTER" sheetId="49" r:id="rId8"/>
    <sheet name="VERTICAL APTS" sheetId="52" r:id="rId9"/>
    <sheet name="LAND LOTS" sheetId="53" r:id="rId10"/>
    <sheet name="SENIOR LIVING" sheetId="47" r:id="rId11"/>
  </sheets>
  <externalReferences>
    <externalReference r:id="rId12"/>
  </externalReferences>
  <definedNames>
    <definedName name="Compromisso">#N/A</definedName>
    <definedName name="fer">[1]Feriados!$B$2:$B$944</definedName>
    <definedName name="TaxRateIn">#N/A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5" i="54" l="1"/>
  <c r="K15" i="54" a="1"/>
  <c r="L15" i="54" a="1"/>
  <c r="M15" i="54" a="1"/>
  <c r="N15" i="54" a="1"/>
  <c r="O15" i="54" a="1"/>
  <c r="P15" i="54" a="1"/>
  <c r="Q15" i="54" a="1"/>
  <c r="R15" i="54" a="1"/>
  <c r="S15" i="54" a="1"/>
  <c r="T15" i="54" a="1"/>
  <c r="U15" i="54" a="1"/>
  <c r="V15" i="54" a="1"/>
  <c r="W15" i="54" a="1"/>
  <c r="X15" i="54" a="1"/>
  <c r="Y15" i="54" a="1"/>
  <c r="Z15" i="54" a="1"/>
  <c r="AA15" i="54" a="1"/>
  <c r="AB15" i="54" a="1"/>
  <c r="AC15" i="54" a="1"/>
  <c r="J15" i="54" a="1"/>
  <c r="H132" i="44"/>
  <c r="I132" i="44"/>
  <c r="J132" i="44"/>
  <c r="K132" i="44"/>
  <c r="L132" i="44"/>
  <c r="M132" i="44"/>
  <c r="N132" i="44"/>
  <c r="O132" i="44"/>
  <c r="P132" i="44"/>
  <c r="Q132" i="44"/>
  <c r="R132" i="44"/>
  <c r="S132" i="44"/>
  <c r="T132" i="44"/>
  <c r="U132" i="44"/>
  <c r="V132" i="44"/>
  <c r="W132" i="44"/>
  <c r="X132" i="44"/>
  <c r="Y132" i="44"/>
  <c r="Z132" i="44"/>
  <c r="H130" i="44"/>
  <c r="I130" i="44"/>
  <c r="J130" i="44"/>
  <c r="K130" i="44"/>
  <c r="L130" i="44"/>
  <c r="M130" i="44"/>
  <c r="N130" i="44"/>
  <c r="O130" i="44"/>
  <c r="P130" i="44"/>
  <c r="Q130" i="44"/>
  <c r="R130" i="44"/>
  <c r="S130" i="44"/>
  <c r="T130" i="44"/>
  <c r="U130" i="44"/>
  <c r="V130" i="44"/>
  <c r="W130" i="44"/>
  <c r="X130" i="44"/>
  <c r="Y130" i="44"/>
  <c r="Z130" i="44"/>
  <c r="H127" i="44"/>
  <c r="I127" i="44"/>
  <c r="J127" i="44"/>
  <c r="K127" i="44"/>
  <c r="L127" i="44"/>
  <c r="M127" i="44"/>
  <c r="N127" i="44"/>
  <c r="O127" i="44"/>
  <c r="P127" i="44"/>
  <c r="Q127" i="44"/>
  <c r="R127" i="44"/>
  <c r="S127" i="44"/>
  <c r="T127" i="44"/>
  <c r="U127" i="44"/>
  <c r="V127" i="44"/>
  <c r="W127" i="44"/>
  <c r="X127" i="44"/>
  <c r="Y127" i="44"/>
  <c r="Z127" i="44"/>
  <c r="G132" i="44"/>
  <c r="E130" i="44"/>
  <c r="G130" i="44"/>
  <c r="G127" i="44"/>
  <c r="E118" i="44" a="1"/>
  <c r="E114" i="44"/>
  <c r="E115" i="44"/>
  <c r="E139" i="44"/>
  <c r="E124" i="44"/>
  <c r="E110" i="44"/>
  <c r="E112" i="44"/>
  <c r="E113" i="44"/>
  <c r="Z69" i="46"/>
  <c r="Y69" i="46"/>
  <c r="X69" i="46"/>
  <c r="W69" i="46"/>
  <c r="V69" i="46"/>
  <c r="U69" i="46"/>
  <c r="T69" i="46"/>
  <c r="S69" i="46"/>
  <c r="R69" i="46"/>
  <c r="Q69" i="46"/>
  <c r="P69" i="46"/>
  <c r="O69" i="46"/>
  <c r="N69" i="46"/>
  <c r="M69" i="46"/>
  <c r="L69" i="46"/>
  <c r="K69" i="46"/>
  <c r="J69" i="46"/>
  <c r="I69" i="46"/>
  <c r="H69" i="46"/>
  <c r="G69" i="46"/>
  <c r="E80" i="43"/>
  <c r="H80" i="43"/>
  <c r="I80" i="43"/>
  <c r="J80" i="43"/>
  <c r="K80" i="43"/>
  <c r="L80" i="43"/>
  <c r="M80" i="43"/>
  <c r="N80" i="43"/>
  <c r="O80" i="43"/>
  <c r="P80" i="43"/>
  <c r="Q80" i="43"/>
  <c r="R80" i="43"/>
  <c r="S80" i="43"/>
  <c r="T80" i="43"/>
  <c r="U80" i="43"/>
  <c r="V80" i="43"/>
  <c r="W80" i="43"/>
  <c r="X80" i="43"/>
  <c r="Y80" i="43"/>
  <c r="Z80" i="43"/>
  <c r="G80" i="43"/>
  <c r="D259" i="53"/>
  <c r="E259" i="53"/>
  <c r="D129" i="51"/>
  <c r="E129" i="51"/>
  <c r="E127" i="49"/>
  <c r="E110" i="47"/>
  <c r="E59" i="45"/>
  <c r="E212" i="43"/>
  <c r="E43" i="47"/>
  <c r="D12" i="53"/>
  <c r="D12" i="52"/>
  <c r="E70" i="49"/>
  <c r="E37" i="46"/>
  <c r="E24" i="44"/>
  <c r="D12" i="51"/>
  <c r="E11" i="45"/>
  <c r="E25" i="43"/>
  <c r="E34" i="46"/>
  <c r="E12" i="54"/>
  <c r="J12" i="54"/>
  <c r="AE12" i="54"/>
  <c r="I12" i="54" a="1"/>
  <c r="C12" i="54"/>
  <c r="D91" i="54"/>
  <c r="B91" i="54"/>
  <c r="D90" i="54"/>
  <c r="B90" i="54"/>
  <c r="D89" i="54"/>
  <c r="B89" i="54"/>
  <c r="D88" i="54"/>
  <c r="B88" i="54"/>
  <c r="D87" i="54"/>
  <c r="B87" i="54"/>
  <c r="B86" i="54"/>
  <c r="E85" i="54"/>
  <c r="B85" i="54"/>
  <c r="E84" i="54"/>
  <c r="B84" i="54"/>
  <c r="E83" i="54"/>
  <c r="B83" i="54"/>
  <c r="E82" i="54"/>
  <c r="D82" i="54"/>
  <c r="B82" i="54"/>
  <c r="E81" i="54"/>
  <c r="D81" i="54"/>
  <c r="B81" i="54"/>
  <c r="E80" i="54"/>
  <c r="D80" i="54"/>
  <c r="B80" i="54"/>
  <c r="E79" i="54"/>
  <c r="D79" i="54"/>
  <c r="B79" i="54"/>
  <c r="E78" i="54"/>
  <c r="D78" i="54"/>
  <c r="B78" i="54"/>
  <c r="E77" i="54"/>
  <c r="D77" i="54"/>
  <c r="B77" i="54"/>
  <c r="E76" i="54"/>
  <c r="D76" i="54"/>
  <c r="B76" i="54"/>
  <c r="E75" i="54"/>
  <c r="D75" i="54"/>
  <c r="B75" i="54"/>
  <c r="E74" i="54"/>
  <c r="D74" i="54"/>
  <c r="B74" i="54"/>
  <c r="E73" i="54"/>
  <c r="D73" i="54"/>
  <c r="B73" i="54"/>
  <c r="E72" i="54"/>
  <c r="D72" i="54"/>
  <c r="B72" i="54"/>
  <c r="E71" i="54"/>
  <c r="D71" i="54"/>
  <c r="B71" i="54"/>
  <c r="E70" i="54"/>
  <c r="D70" i="54"/>
  <c r="B70" i="54"/>
  <c r="B66" i="54"/>
  <c r="B65" i="54"/>
  <c r="B64" i="54"/>
  <c r="B63" i="54"/>
  <c r="B62" i="54"/>
  <c r="B61" i="54"/>
  <c r="B60" i="54"/>
  <c r="B59" i="54"/>
  <c r="B58" i="54"/>
  <c r="B57" i="54"/>
  <c r="B56" i="54"/>
  <c r="B55" i="54"/>
  <c r="B54" i="54"/>
  <c r="B53" i="54"/>
  <c r="B52" i="54"/>
  <c r="B51" i="54"/>
  <c r="B50" i="54"/>
  <c r="B49" i="54"/>
  <c r="B48" i="54"/>
  <c r="B47" i="54"/>
  <c r="B46" i="54"/>
  <c r="B45" i="54"/>
  <c r="AD27" i="54"/>
  <c r="O82" i="54" s="1"/>
  <c r="AE24" i="54"/>
  <c r="AE23" i="54"/>
  <c r="AE22" i="54"/>
  <c r="AE21" i="54"/>
  <c r="AE20" i="54"/>
  <c r="AE19" i="54"/>
  <c r="AE14" i="54"/>
  <c r="K10" i="54"/>
  <c r="D70" i="52"/>
  <c r="E70" i="52" s="1"/>
  <c r="F70" i="52" s="1"/>
  <c r="D69" i="52"/>
  <c r="E69" i="52" s="1"/>
  <c r="F69" i="52" s="1"/>
  <c r="G67" i="52"/>
  <c r="G65" i="52"/>
  <c r="E70" i="53"/>
  <c r="F70" i="53" s="1"/>
  <c r="E67" i="53"/>
  <c r="F67" i="53" s="1"/>
  <c r="E28" i="53"/>
  <c r="F28" i="53" s="1"/>
  <c r="E30" i="52"/>
  <c r="F30" i="52" s="1"/>
  <c r="E22" i="52"/>
  <c r="F22" i="52"/>
  <c r="E28" i="52"/>
  <c r="F28" i="52"/>
  <c r="AC229" i="53"/>
  <c r="AC228" i="53"/>
  <c r="AC226" i="53"/>
  <c r="AD23" i="54" s="1"/>
  <c r="AC225" i="53"/>
  <c r="AD21" i="54" s="1"/>
  <c r="AC224" i="53"/>
  <c r="AD19" i="54" s="1"/>
  <c r="I223" i="53"/>
  <c r="J223" i="53"/>
  <c r="K223" i="53" s="1"/>
  <c r="L223" i="53" s="1"/>
  <c r="M223" i="53" s="1"/>
  <c r="N223" i="53" s="1"/>
  <c r="O223" i="53" s="1"/>
  <c r="P223" i="53" s="1"/>
  <c r="Q223" i="53" s="1"/>
  <c r="R223" i="53" s="1"/>
  <c r="S223" i="53" s="1"/>
  <c r="T223" i="53" s="1"/>
  <c r="U223" i="53" s="1"/>
  <c r="V223" i="53" s="1"/>
  <c r="W223" i="53" s="1"/>
  <c r="X223" i="53" s="1"/>
  <c r="Y223" i="53" s="1"/>
  <c r="Z223" i="53" s="1"/>
  <c r="AA223" i="53" s="1"/>
  <c r="AB223" i="53" s="1"/>
  <c r="AC229" i="52"/>
  <c r="AC228" i="52"/>
  <c r="AC226" i="52"/>
  <c r="AD24" i="54" s="1"/>
  <c r="AC225" i="52"/>
  <c r="AD22" i="54" s="1"/>
  <c r="AC224" i="52"/>
  <c r="AD20" i="54" s="1"/>
  <c r="I223" i="52"/>
  <c r="J223" i="52"/>
  <c r="K223" i="52" s="1"/>
  <c r="L223" i="52" s="1"/>
  <c r="M223" i="52" s="1"/>
  <c r="N223" i="52" s="1"/>
  <c r="O223" i="52" s="1"/>
  <c r="P223" i="52" s="1"/>
  <c r="Q223" i="52" s="1"/>
  <c r="R223" i="52" s="1"/>
  <c r="S223" i="52" s="1"/>
  <c r="T223" i="52" s="1"/>
  <c r="U223" i="52" s="1"/>
  <c r="V223" i="52" s="1"/>
  <c r="W223" i="52" s="1"/>
  <c r="X223" i="52" s="1"/>
  <c r="Y223" i="52" s="1"/>
  <c r="Z223" i="52" s="1"/>
  <c r="AA223" i="52" s="1"/>
  <c r="AB223" i="52" s="1"/>
  <c r="I200" i="53"/>
  <c r="I164" i="53"/>
  <c r="I128" i="53"/>
  <c r="I6" i="53"/>
  <c r="J6" i="53"/>
  <c r="I5" i="53"/>
  <c r="J5" i="53"/>
  <c r="K5" i="53" s="1"/>
  <c r="L5" i="53" s="1"/>
  <c r="M5" i="53" s="1"/>
  <c r="N5" i="53" s="1"/>
  <c r="O5" i="53" s="1"/>
  <c r="P5" i="53" s="1"/>
  <c r="Q5" i="53" s="1"/>
  <c r="R5" i="53" s="1"/>
  <c r="S5" i="53" s="1"/>
  <c r="T5" i="53" s="1"/>
  <c r="U5" i="53" s="1"/>
  <c r="V5" i="53" s="1"/>
  <c r="W5" i="53" s="1"/>
  <c r="X5" i="53" s="1"/>
  <c r="Y5" i="53" s="1"/>
  <c r="Z5" i="53" s="1"/>
  <c r="AA5" i="53" s="1"/>
  <c r="AB5" i="53" s="1"/>
  <c r="AC5" i="53" s="1"/>
  <c r="AD5" i="53" s="1"/>
  <c r="AE5" i="53" s="1"/>
  <c r="AF5" i="53" s="1"/>
  <c r="AG5" i="53" s="1"/>
  <c r="AH5" i="53" s="1"/>
  <c r="AI5" i="53" s="1"/>
  <c r="AJ5" i="53" s="1"/>
  <c r="AK5" i="53" s="1"/>
  <c r="AL5" i="53" s="1"/>
  <c r="AM5" i="53" s="1"/>
  <c r="AN5" i="53" s="1"/>
  <c r="AO5" i="53" s="1"/>
  <c r="AP5" i="53" s="1"/>
  <c r="AQ5" i="53" s="1"/>
  <c r="AR5" i="53" s="1"/>
  <c r="AS5" i="53" s="1"/>
  <c r="AT5" i="53" s="1"/>
  <c r="AU5" i="53" s="1"/>
  <c r="AV5" i="53" s="1"/>
  <c r="AW5" i="53" s="1"/>
  <c r="AX5" i="53" s="1"/>
  <c r="AY5" i="53" s="1"/>
  <c r="AZ5" i="53" s="1"/>
  <c r="BA5" i="53" s="1"/>
  <c r="BB5" i="53" s="1"/>
  <c r="BC5" i="53" s="1"/>
  <c r="BD5" i="53" s="1"/>
  <c r="BE5" i="53" s="1"/>
  <c r="BF5" i="53" s="1"/>
  <c r="BG5" i="53" s="1"/>
  <c r="BH5" i="53" s="1"/>
  <c r="BI5" i="53" s="1"/>
  <c r="BJ5" i="53" s="1"/>
  <c r="BK5" i="53" s="1"/>
  <c r="BL5" i="53" s="1"/>
  <c r="BM5" i="53" s="1"/>
  <c r="BN5" i="53" s="1"/>
  <c r="BO5" i="53" s="1"/>
  <c r="BP5" i="53" s="1"/>
  <c r="BQ5" i="53" s="1"/>
  <c r="BR5" i="53" s="1"/>
  <c r="BS5" i="53" s="1"/>
  <c r="BT5" i="53" s="1"/>
  <c r="BU5" i="53" s="1"/>
  <c r="BV5" i="53" s="1"/>
  <c r="BW5" i="53" s="1"/>
  <c r="BX5" i="53" s="1"/>
  <c r="BY5" i="53" s="1"/>
  <c r="BZ5" i="53" s="1"/>
  <c r="CA5" i="53" s="1"/>
  <c r="CB5" i="53" s="1"/>
  <c r="CC5" i="53" s="1"/>
  <c r="CD5" i="53" s="1"/>
  <c r="CE5" i="53" s="1"/>
  <c r="CF5" i="53" s="1"/>
  <c r="CG5" i="53" s="1"/>
  <c r="CH5" i="53" s="1"/>
  <c r="CI5" i="53" s="1"/>
  <c r="CJ5" i="53" s="1"/>
  <c r="CK5" i="53" s="1"/>
  <c r="CL5" i="53" s="1"/>
  <c r="CM5" i="53" s="1"/>
  <c r="CN5" i="53" s="1"/>
  <c r="CO5" i="53" s="1"/>
  <c r="CP5" i="53" s="1"/>
  <c r="CQ5" i="53" s="1"/>
  <c r="CR5" i="53" s="1"/>
  <c r="CS5" i="53" s="1"/>
  <c r="CT5" i="53" s="1"/>
  <c r="CU5" i="53" s="1"/>
  <c r="CV5" i="53" s="1"/>
  <c r="CW5" i="53" s="1"/>
  <c r="CX5" i="53" s="1"/>
  <c r="CY5" i="53" s="1"/>
  <c r="CZ5" i="53" s="1"/>
  <c r="DA5" i="53" s="1"/>
  <c r="DB5" i="53" s="1"/>
  <c r="DC5" i="53" s="1"/>
  <c r="DD5" i="53" s="1"/>
  <c r="DE5" i="53" s="1"/>
  <c r="DF5" i="53" s="1"/>
  <c r="DG5" i="53" s="1"/>
  <c r="DH5" i="53" s="1"/>
  <c r="DI5" i="53" s="1"/>
  <c r="DJ5" i="53" s="1"/>
  <c r="DK5" i="53" s="1"/>
  <c r="DL5" i="53" s="1"/>
  <c r="DM5" i="53" s="1"/>
  <c r="DN5" i="53" s="1"/>
  <c r="DO5" i="53" s="1"/>
  <c r="DP5" i="53" s="1"/>
  <c r="DQ5" i="53" s="1"/>
  <c r="DR5" i="53" s="1"/>
  <c r="DS5" i="53" s="1"/>
  <c r="DT5" i="53" s="1"/>
  <c r="DU5" i="53" s="1"/>
  <c r="DV5" i="53" s="1"/>
  <c r="DW5" i="53" s="1"/>
  <c r="DX5" i="53" s="1"/>
  <c r="DY5" i="53" s="1"/>
  <c r="DZ5" i="53" s="1"/>
  <c r="EA5" i="53" s="1"/>
  <c r="EB5" i="53" s="1"/>
  <c r="EC5" i="53" s="1"/>
  <c r="ED5" i="53" s="1"/>
  <c r="EE5" i="53" s="1"/>
  <c r="EF5" i="53" s="1"/>
  <c r="EG5" i="53" s="1"/>
  <c r="EH5" i="53" s="1"/>
  <c r="EI5" i="53" s="1"/>
  <c r="EJ5" i="53" s="1"/>
  <c r="EK5" i="53" s="1"/>
  <c r="EL5" i="53" s="1"/>
  <c r="EM5" i="53" s="1"/>
  <c r="EN5" i="53" s="1"/>
  <c r="EO5" i="53" s="1"/>
  <c r="EP5" i="53" s="1"/>
  <c r="EQ5" i="53" s="1"/>
  <c r="ER5" i="53" s="1"/>
  <c r="ES5" i="53" s="1"/>
  <c r="ET5" i="53" s="1"/>
  <c r="EU5" i="53" s="1"/>
  <c r="EV5" i="53" s="1"/>
  <c r="EW5" i="53" s="1"/>
  <c r="EX5" i="53" s="1"/>
  <c r="EY5" i="53" s="1"/>
  <c r="EZ5" i="53" s="1"/>
  <c r="FA5" i="53" s="1"/>
  <c r="FB5" i="53" s="1"/>
  <c r="FC5" i="53" s="1"/>
  <c r="FD5" i="53" s="1"/>
  <c r="FE5" i="53" s="1"/>
  <c r="FF5" i="53" s="1"/>
  <c r="FG5" i="53" s="1"/>
  <c r="FH5" i="53" s="1"/>
  <c r="I200" i="52"/>
  <c r="I164" i="52"/>
  <c r="I128" i="52"/>
  <c r="I6" i="52"/>
  <c r="J6" i="52"/>
  <c r="I5" i="52"/>
  <c r="J5" i="52" s="1"/>
  <c r="K5" i="52" s="1"/>
  <c r="L5" i="52" s="1"/>
  <c r="M5" i="52" s="1"/>
  <c r="N5" i="52" s="1"/>
  <c r="O5" i="52" s="1"/>
  <c r="P5" i="52" s="1"/>
  <c r="Q5" i="52" s="1"/>
  <c r="R5" i="52" s="1"/>
  <c r="S5" i="52" s="1"/>
  <c r="T5" i="52" s="1"/>
  <c r="U5" i="52" s="1"/>
  <c r="V5" i="52" s="1"/>
  <c r="W5" i="52" s="1"/>
  <c r="X5" i="52" s="1"/>
  <c r="Y5" i="52" s="1"/>
  <c r="Z5" i="52" s="1"/>
  <c r="AA5" i="52" s="1"/>
  <c r="AB5" i="52" s="1"/>
  <c r="AC5" i="52" s="1"/>
  <c r="AD5" i="52" s="1"/>
  <c r="AE5" i="52" s="1"/>
  <c r="AF5" i="52" s="1"/>
  <c r="AG5" i="52" s="1"/>
  <c r="AH5" i="52" s="1"/>
  <c r="AI5" i="52" s="1"/>
  <c r="AJ5" i="52" s="1"/>
  <c r="AK5" i="52" s="1"/>
  <c r="AL5" i="52" s="1"/>
  <c r="AM5" i="52" s="1"/>
  <c r="AN5" i="52" s="1"/>
  <c r="AO5" i="52" s="1"/>
  <c r="AP5" i="52" s="1"/>
  <c r="AQ5" i="52" s="1"/>
  <c r="AR5" i="52" s="1"/>
  <c r="AS5" i="52" s="1"/>
  <c r="AT5" i="52" s="1"/>
  <c r="AU5" i="52" s="1"/>
  <c r="AV5" i="52" s="1"/>
  <c r="AW5" i="52" s="1"/>
  <c r="AX5" i="52" s="1"/>
  <c r="AY5" i="52" s="1"/>
  <c r="AZ5" i="52" s="1"/>
  <c r="BA5" i="52" s="1"/>
  <c r="BB5" i="52" s="1"/>
  <c r="BC5" i="52" s="1"/>
  <c r="BD5" i="52" s="1"/>
  <c r="BE5" i="52" s="1"/>
  <c r="BF5" i="52" s="1"/>
  <c r="BG5" i="52" s="1"/>
  <c r="BH5" i="52" s="1"/>
  <c r="BI5" i="52" s="1"/>
  <c r="BJ5" i="52" s="1"/>
  <c r="BK5" i="52" s="1"/>
  <c r="BL5" i="52" s="1"/>
  <c r="BM5" i="52" s="1"/>
  <c r="BN5" i="52" s="1"/>
  <c r="BO5" i="52" s="1"/>
  <c r="BP5" i="52" s="1"/>
  <c r="BQ5" i="52" s="1"/>
  <c r="BR5" i="52" s="1"/>
  <c r="BS5" i="52" s="1"/>
  <c r="BT5" i="52" s="1"/>
  <c r="BU5" i="52" s="1"/>
  <c r="BV5" i="52" s="1"/>
  <c r="BW5" i="52" s="1"/>
  <c r="BX5" i="52" s="1"/>
  <c r="BY5" i="52" s="1"/>
  <c r="BZ5" i="52" s="1"/>
  <c r="CA5" i="52" s="1"/>
  <c r="CB5" i="52" s="1"/>
  <c r="CC5" i="52" s="1"/>
  <c r="CD5" i="52" s="1"/>
  <c r="CE5" i="52" s="1"/>
  <c r="CF5" i="52" s="1"/>
  <c r="CG5" i="52" s="1"/>
  <c r="CH5" i="52" s="1"/>
  <c r="CI5" i="52" s="1"/>
  <c r="CJ5" i="52" s="1"/>
  <c r="CK5" i="52" s="1"/>
  <c r="CL5" i="52" s="1"/>
  <c r="CM5" i="52" s="1"/>
  <c r="CN5" i="52" s="1"/>
  <c r="CO5" i="52" s="1"/>
  <c r="CP5" i="52" s="1"/>
  <c r="CQ5" i="52" s="1"/>
  <c r="CR5" i="52" s="1"/>
  <c r="CS5" i="52" s="1"/>
  <c r="CT5" i="52" s="1"/>
  <c r="CU5" i="52" s="1"/>
  <c r="CV5" i="52" s="1"/>
  <c r="CW5" i="52" s="1"/>
  <c r="CX5" i="52" s="1"/>
  <c r="CY5" i="52" s="1"/>
  <c r="CZ5" i="52" s="1"/>
  <c r="DA5" i="52" s="1"/>
  <c r="DB5" i="52" s="1"/>
  <c r="DC5" i="52" s="1"/>
  <c r="DD5" i="52" s="1"/>
  <c r="DE5" i="52" s="1"/>
  <c r="DF5" i="52" s="1"/>
  <c r="DG5" i="52" s="1"/>
  <c r="DH5" i="52" s="1"/>
  <c r="DI5" i="52" s="1"/>
  <c r="DJ5" i="52" s="1"/>
  <c r="DK5" i="52" s="1"/>
  <c r="DL5" i="52" s="1"/>
  <c r="DM5" i="52" s="1"/>
  <c r="DN5" i="52" s="1"/>
  <c r="DO5" i="52" s="1"/>
  <c r="DP5" i="52" s="1"/>
  <c r="DQ5" i="52" s="1"/>
  <c r="DR5" i="52" s="1"/>
  <c r="DS5" i="52" s="1"/>
  <c r="DT5" i="52" s="1"/>
  <c r="DU5" i="52" s="1"/>
  <c r="DV5" i="52" s="1"/>
  <c r="DW5" i="52" s="1"/>
  <c r="DX5" i="52" s="1"/>
  <c r="DY5" i="52" s="1"/>
  <c r="DZ5" i="52" s="1"/>
  <c r="EA5" i="52" s="1"/>
  <c r="EB5" i="52" s="1"/>
  <c r="EC5" i="52" s="1"/>
  <c r="ED5" i="52" s="1"/>
  <c r="EE5" i="52" s="1"/>
  <c r="EF5" i="52" s="1"/>
  <c r="EG5" i="52" s="1"/>
  <c r="EH5" i="52" s="1"/>
  <c r="EI5" i="52" s="1"/>
  <c r="EJ5" i="52" s="1"/>
  <c r="EK5" i="52" s="1"/>
  <c r="EL5" i="52" s="1"/>
  <c r="EM5" i="52" s="1"/>
  <c r="EN5" i="52" s="1"/>
  <c r="EO5" i="52" s="1"/>
  <c r="EP5" i="52" s="1"/>
  <c r="EQ5" i="52" s="1"/>
  <c r="ER5" i="52" s="1"/>
  <c r="ES5" i="52" s="1"/>
  <c r="ET5" i="52" s="1"/>
  <c r="EU5" i="52" s="1"/>
  <c r="EV5" i="52" s="1"/>
  <c r="EW5" i="52" s="1"/>
  <c r="EX5" i="52" s="1"/>
  <c r="EY5" i="52" s="1"/>
  <c r="EZ5" i="52" s="1"/>
  <c r="FA5" i="52" s="1"/>
  <c r="FB5" i="52" s="1"/>
  <c r="FC5" i="52" s="1"/>
  <c r="FD5" i="52" s="1"/>
  <c r="FE5" i="52" s="1"/>
  <c r="FF5" i="52" s="1"/>
  <c r="FG5" i="52" s="1"/>
  <c r="FH5" i="52" s="1"/>
  <c r="E95" i="53"/>
  <c r="F95" i="53"/>
  <c r="G95" i="53"/>
  <c r="H95" i="53"/>
  <c r="I95" i="53"/>
  <c r="Q95" i="53"/>
  <c r="N94" i="53"/>
  <c r="O94" i="53"/>
  <c r="P94" i="53"/>
  <c r="N93" i="53"/>
  <c r="O93" i="53"/>
  <c r="P93" i="53"/>
  <c r="N92" i="53"/>
  <c r="O92" i="53"/>
  <c r="P92" i="53"/>
  <c r="N91" i="53"/>
  <c r="O91" i="53"/>
  <c r="P91" i="53"/>
  <c r="N90" i="53"/>
  <c r="O90" i="53"/>
  <c r="P90" i="53"/>
  <c r="N89" i="53"/>
  <c r="O89" i="53"/>
  <c r="P89" i="53"/>
  <c r="N88" i="53"/>
  <c r="O88" i="53"/>
  <c r="P88" i="53"/>
  <c r="F23" i="53" s="1"/>
  <c r="N87" i="53"/>
  <c r="O87" i="53"/>
  <c r="P87" i="53"/>
  <c r="N86" i="53"/>
  <c r="O86" i="53"/>
  <c r="P86" i="53"/>
  <c r="N85" i="53"/>
  <c r="O85" i="53"/>
  <c r="P85" i="53"/>
  <c r="N84" i="53"/>
  <c r="O84" i="53"/>
  <c r="P84" i="53"/>
  <c r="N83" i="53"/>
  <c r="O83" i="53"/>
  <c r="P83" i="53"/>
  <c r="E23" i="53" s="1"/>
  <c r="N82" i="53"/>
  <c r="O82" i="53"/>
  <c r="P82" i="53"/>
  <c r="N81" i="53"/>
  <c r="O81" i="53"/>
  <c r="P81" i="53"/>
  <c r="N80" i="53"/>
  <c r="N95" i="53" s="1"/>
  <c r="O80" i="53"/>
  <c r="O95" i="53" s="1"/>
  <c r="P80" i="53"/>
  <c r="I84" i="52"/>
  <c r="J84" i="52"/>
  <c r="D83" i="52"/>
  <c r="E83" i="52"/>
  <c r="F83" i="52"/>
  <c r="K83" i="52"/>
  <c r="D82" i="52"/>
  <c r="E82" i="52"/>
  <c r="F82" i="52"/>
  <c r="K82" i="52"/>
  <c r="D81" i="52"/>
  <c r="E81" i="52"/>
  <c r="F81" i="52"/>
  <c r="K81" i="52"/>
  <c r="D80" i="52"/>
  <c r="D84" i="52" s="1"/>
  <c r="E80" i="52"/>
  <c r="E84" i="52" s="1"/>
  <c r="F80" i="52"/>
  <c r="F84" i="52" s="1"/>
  <c r="K80" i="52"/>
  <c r="E75" i="53"/>
  <c r="F75" i="53" s="1"/>
  <c r="E74" i="53"/>
  <c r="F74" i="53" s="1"/>
  <c r="E63" i="53"/>
  <c r="F63" i="53" s="1"/>
  <c r="E62" i="53"/>
  <c r="F62" i="53" s="1"/>
  <c r="E61" i="53"/>
  <c r="F61" i="53" s="1"/>
  <c r="E60" i="53"/>
  <c r="F60" i="53" s="1"/>
  <c r="E59" i="53"/>
  <c r="F59" i="53" s="1"/>
  <c r="E58" i="53"/>
  <c r="F58" i="53" s="1"/>
  <c r="E57" i="53"/>
  <c r="F57" i="53" s="1"/>
  <c r="E56" i="53"/>
  <c r="F56" i="53" s="1"/>
  <c r="D53" i="53"/>
  <c r="E52" i="53"/>
  <c r="F52" i="53" s="1"/>
  <c r="E51" i="53"/>
  <c r="F51" i="53" s="1"/>
  <c r="E50" i="53"/>
  <c r="F50" i="53" s="1"/>
  <c r="E49" i="53"/>
  <c r="D42" i="53"/>
  <c r="E41" i="53"/>
  <c r="E40" i="53"/>
  <c r="F40" i="53" s="1"/>
  <c r="E39" i="53"/>
  <c r="F39" i="53" s="1"/>
  <c r="E38" i="53"/>
  <c r="D34" i="53"/>
  <c r="E33" i="53"/>
  <c r="F33" i="53" s="1"/>
  <c r="E32" i="53"/>
  <c r="E31" i="53"/>
  <c r="F31" i="53" s="1"/>
  <c r="F25" i="53"/>
  <c r="E25" i="53"/>
  <c r="D25" i="53"/>
  <c r="F24" i="53"/>
  <c r="F30" i="53" s="1"/>
  <c r="E24" i="53"/>
  <c r="E30" i="53" s="1"/>
  <c r="D24" i="53"/>
  <c r="D30" i="53" s="1"/>
  <c r="F20" i="53"/>
  <c r="E20" i="53"/>
  <c r="D20" i="53"/>
  <c r="F19" i="53"/>
  <c r="E19" i="53"/>
  <c r="D19" i="53"/>
  <c r="E75" i="52"/>
  <c r="F75" i="52" s="1"/>
  <c r="E74" i="52"/>
  <c r="F74" i="52" s="1"/>
  <c r="E63" i="52"/>
  <c r="F63" i="52" s="1"/>
  <c r="E62" i="52"/>
  <c r="F62" i="52" s="1"/>
  <c r="E61" i="52"/>
  <c r="F61" i="52" s="1"/>
  <c r="E60" i="52"/>
  <c r="F60" i="52" s="1"/>
  <c r="E59" i="52"/>
  <c r="F59" i="52" s="1"/>
  <c r="E58" i="52"/>
  <c r="F58" i="52" s="1"/>
  <c r="E57" i="52"/>
  <c r="F57" i="52" s="1"/>
  <c r="E56" i="52"/>
  <c r="F56" i="52" s="1"/>
  <c r="D53" i="52"/>
  <c r="E52" i="52"/>
  <c r="F52" i="52" s="1"/>
  <c r="E51" i="52"/>
  <c r="F51" i="52" s="1"/>
  <c r="E50" i="52"/>
  <c r="F50" i="52" s="1"/>
  <c r="E49" i="52"/>
  <c r="D42" i="52"/>
  <c r="E41" i="52"/>
  <c r="F41" i="52" s="1"/>
  <c r="E40" i="52"/>
  <c r="F40" i="52" s="1"/>
  <c r="E39" i="52"/>
  <c r="F39" i="52" s="1"/>
  <c r="E38" i="52"/>
  <c r="D34" i="52"/>
  <c r="D43" i="52" s="1"/>
  <c r="E33" i="52"/>
  <c r="F33" i="52" s="1"/>
  <c r="E32" i="52"/>
  <c r="E31" i="52"/>
  <c r="F31" i="52" s="1"/>
  <c r="E24" i="52"/>
  <c r="F24" i="52" s="1"/>
  <c r="E21" i="52"/>
  <c r="F21" i="52" s="1"/>
  <c r="F20" i="52" s="1"/>
  <c r="E20" i="52"/>
  <c r="D20" i="52"/>
  <c r="G19" i="52"/>
  <c r="E341" i="43"/>
  <c r="H340" i="43"/>
  <c r="H339" i="43"/>
  <c r="E50" i="51"/>
  <c r="F49" i="51"/>
  <c r="E49" i="51"/>
  <c r="E48" i="51"/>
  <c r="E44" i="51"/>
  <c r="E42" i="51"/>
  <c r="E135" i="51"/>
  <c r="D135" i="51"/>
  <c r="C115" i="51"/>
  <c r="AC115" i="51"/>
  <c r="AD14" i="54" s="1"/>
  <c r="AC114" i="51"/>
  <c r="AC113" i="51"/>
  <c r="AC112" i="51"/>
  <c r="I111" i="51"/>
  <c r="J111" i="51" s="1"/>
  <c r="K111" i="51" s="1"/>
  <c r="L111" i="51" s="1"/>
  <c r="M111" i="51" s="1"/>
  <c r="N111" i="51" s="1"/>
  <c r="O111" i="51" s="1"/>
  <c r="P111" i="51" s="1"/>
  <c r="Q111" i="51" s="1"/>
  <c r="R111" i="51" s="1"/>
  <c r="S111" i="51" s="1"/>
  <c r="T111" i="51" s="1"/>
  <c r="U111" i="51" s="1"/>
  <c r="V111" i="51" s="1"/>
  <c r="W111" i="51" s="1"/>
  <c r="X111" i="51" s="1"/>
  <c r="Y111" i="51" s="1"/>
  <c r="Z111" i="51" s="1"/>
  <c r="AA111" i="51" s="1"/>
  <c r="AB111" i="51" s="1"/>
  <c r="I100" i="51"/>
  <c r="C94" i="51"/>
  <c r="C93" i="51"/>
  <c r="C92" i="51"/>
  <c r="C91" i="51"/>
  <c r="C90" i="51"/>
  <c r="C89" i="51"/>
  <c r="C88" i="51"/>
  <c r="C87" i="51"/>
  <c r="C86" i="51"/>
  <c r="C85" i="51"/>
  <c r="H48" i="51"/>
  <c r="H47" i="51"/>
  <c r="H46" i="51"/>
  <c r="H45" i="51"/>
  <c r="H44" i="51"/>
  <c r="F43" i="51"/>
  <c r="E43" i="51"/>
  <c r="H42" i="51"/>
  <c r="H43" i="51" s="1"/>
  <c r="D39" i="51"/>
  <c r="D138" i="51" s="1"/>
  <c r="E29" i="51"/>
  <c r="D29" i="51"/>
  <c r="D31" i="51" s="1"/>
  <c r="D137" i="51" s="1"/>
  <c r="E25" i="51"/>
  <c r="H23" i="51"/>
  <c r="F23" i="51"/>
  <c r="E23" i="51"/>
  <c r="E19" i="51"/>
  <c r="D13" i="51" s="1"/>
  <c r="H22" i="51" s="1"/>
  <c r="H49" i="51" s="1"/>
  <c r="D19" i="51"/>
  <c r="H18" i="51"/>
  <c r="F18" i="51"/>
  <c r="H17" i="51"/>
  <c r="F17" i="51"/>
  <c r="H16" i="51"/>
  <c r="F16" i="51"/>
  <c r="H15" i="51"/>
  <c r="H19" i="51" s="1"/>
  <c r="F15" i="51"/>
  <c r="I6" i="51"/>
  <c r="I5" i="51"/>
  <c r="J5" i="51" s="1"/>
  <c r="K5" i="51" s="1"/>
  <c r="L5" i="51" s="1"/>
  <c r="M5" i="51" s="1"/>
  <c r="N5" i="51" s="1"/>
  <c r="O5" i="51" s="1"/>
  <c r="P5" i="51" s="1"/>
  <c r="Q5" i="51" s="1"/>
  <c r="R5" i="51" s="1"/>
  <c r="S5" i="51" s="1"/>
  <c r="T5" i="51" s="1"/>
  <c r="U5" i="51" s="1"/>
  <c r="V5" i="51" s="1"/>
  <c r="W5" i="51" s="1"/>
  <c r="X5" i="51" s="1"/>
  <c r="Y5" i="51" s="1"/>
  <c r="Z5" i="51" s="1"/>
  <c r="AA5" i="51" s="1"/>
  <c r="AB5" i="51" s="1"/>
  <c r="AC5" i="51" s="1"/>
  <c r="AD5" i="51" s="1"/>
  <c r="AE5" i="51" s="1"/>
  <c r="AF5" i="51" s="1"/>
  <c r="AG5" i="51" s="1"/>
  <c r="AH5" i="51" s="1"/>
  <c r="AI5" i="51" s="1"/>
  <c r="AJ5" i="51" s="1"/>
  <c r="AK5" i="51" s="1"/>
  <c r="AL5" i="51" s="1"/>
  <c r="AM5" i="51" s="1"/>
  <c r="AN5" i="51" s="1"/>
  <c r="AO5" i="51" s="1"/>
  <c r="AP5" i="51" s="1"/>
  <c r="AQ5" i="51" s="1"/>
  <c r="AR5" i="51" s="1"/>
  <c r="AS5" i="51" s="1"/>
  <c r="AT5" i="51" s="1"/>
  <c r="AU5" i="51" s="1"/>
  <c r="AV5" i="51" s="1"/>
  <c r="AW5" i="51" s="1"/>
  <c r="AX5" i="51" s="1"/>
  <c r="AY5" i="51" s="1"/>
  <c r="AZ5" i="51" s="1"/>
  <c r="BA5" i="51" s="1"/>
  <c r="BB5" i="51" s="1"/>
  <c r="BC5" i="51" s="1"/>
  <c r="BD5" i="51" s="1"/>
  <c r="BE5" i="51" s="1"/>
  <c r="BF5" i="51" s="1"/>
  <c r="BG5" i="51" s="1"/>
  <c r="BH5" i="51" s="1"/>
  <c r="BI5" i="51" s="1"/>
  <c r="BJ5" i="51" s="1"/>
  <c r="BK5" i="51" s="1"/>
  <c r="BL5" i="51" s="1"/>
  <c r="BM5" i="51" s="1"/>
  <c r="BN5" i="51" s="1"/>
  <c r="BO5" i="51" s="1"/>
  <c r="BP5" i="51" s="1"/>
  <c r="BQ5" i="51" s="1"/>
  <c r="BR5" i="51" s="1"/>
  <c r="BS5" i="51" s="1"/>
  <c r="BT5" i="51" s="1"/>
  <c r="BU5" i="51" s="1"/>
  <c r="BV5" i="51" s="1"/>
  <c r="BW5" i="51" s="1"/>
  <c r="BX5" i="51" s="1"/>
  <c r="BY5" i="51" s="1"/>
  <c r="BZ5" i="51" s="1"/>
  <c r="CA5" i="51" s="1"/>
  <c r="CB5" i="51" s="1"/>
  <c r="CC5" i="51" s="1"/>
  <c r="CD5" i="51" s="1"/>
  <c r="CE5" i="51" s="1"/>
  <c r="CF5" i="51" s="1"/>
  <c r="CG5" i="51" s="1"/>
  <c r="CH5" i="51" s="1"/>
  <c r="CI5" i="51" s="1"/>
  <c r="CJ5" i="51" s="1"/>
  <c r="CK5" i="51" s="1"/>
  <c r="CL5" i="51" s="1"/>
  <c r="CM5" i="51" s="1"/>
  <c r="CN5" i="51" s="1"/>
  <c r="G329" i="43"/>
  <c r="G330" i="43" s="1"/>
  <c r="H329" i="43"/>
  <c r="H330" i="43" s="1"/>
  <c r="I329" i="43"/>
  <c r="I330" i="43" s="1"/>
  <c r="J329" i="43"/>
  <c r="J330" i="43" s="1"/>
  <c r="K329" i="43"/>
  <c r="K330" i="43" s="1"/>
  <c r="L329" i="43"/>
  <c r="L330" i="43" s="1"/>
  <c r="M329" i="43"/>
  <c r="M330" i="43" s="1"/>
  <c r="N329" i="43"/>
  <c r="N330" i="43" s="1"/>
  <c r="O329" i="43"/>
  <c r="O330" i="43" s="1"/>
  <c r="P329" i="43"/>
  <c r="P330" i="43" s="1"/>
  <c r="Q329" i="43"/>
  <c r="Q330" i="43" s="1"/>
  <c r="R329" i="43"/>
  <c r="R330" i="43" s="1"/>
  <c r="S329" i="43"/>
  <c r="S330" i="43" s="1"/>
  <c r="T329" i="43"/>
  <c r="T330" i="43" s="1"/>
  <c r="U329" i="43"/>
  <c r="U330" i="43" s="1"/>
  <c r="V329" i="43"/>
  <c r="V330" i="43" s="1"/>
  <c r="W329" i="43"/>
  <c r="W330" i="43" s="1"/>
  <c r="X329" i="43"/>
  <c r="X330" i="43" s="1"/>
  <c r="Y329" i="43"/>
  <c r="Y330" i="43" s="1"/>
  <c r="Z329" i="43"/>
  <c r="Z330" i="43" s="1"/>
  <c r="AA329" i="43"/>
  <c r="G328" i="43"/>
  <c r="H328" i="43"/>
  <c r="I328" i="43"/>
  <c r="J328" i="43"/>
  <c r="K328" i="43"/>
  <c r="L328" i="43"/>
  <c r="M328" i="43"/>
  <c r="N328" i="43"/>
  <c r="O328" i="43"/>
  <c r="P328" i="43"/>
  <c r="Q328" i="43"/>
  <c r="R328" i="43"/>
  <c r="S328" i="43"/>
  <c r="T328" i="43"/>
  <c r="U328" i="43"/>
  <c r="V328" i="43"/>
  <c r="W328" i="43"/>
  <c r="X328" i="43"/>
  <c r="Y328" i="43"/>
  <c r="Z328" i="43"/>
  <c r="AA328" i="43"/>
  <c r="E327" i="43"/>
  <c r="E322" i="43"/>
  <c r="G317" i="43"/>
  <c r="H317" i="43"/>
  <c r="I317" i="43"/>
  <c r="J317" i="43"/>
  <c r="K317" i="43"/>
  <c r="L317" i="43"/>
  <c r="M317" i="43"/>
  <c r="N317" i="43"/>
  <c r="O317" i="43"/>
  <c r="P317" i="43"/>
  <c r="Q317" i="43"/>
  <c r="R317" i="43"/>
  <c r="S317" i="43"/>
  <c r="T317" i="43"/>
  <c r="U317" i="43"/>
  <c r="V317" i="43"/>
  <c r="W317" i="43"/>
  <c r="X317" i="43"/>
  <c r="Y317" i="43"/>
  <c r="Z317" i="43"/>
  <c r="AA317" i="43"/>
  <c r="E309" i="43"/>
  <c r="M304" i="43"/>
  <c r="N304" i="43"/>
  <c r="O304" i="43"/>
  <c r="P304" i="43"/>
  <c r="Q304" i="43"/>
  <c r="R304" i="43"/>
  <c r="V304" i="43"/>
  <c r="E300" i="43"/>
  <c r="E310" i="43" s="1"/>
  <c r="G299" i="43"/>
  <c r="H299" i="43"/>
  <c r="Z299" i="43"/>
  <c r="AA299" i="43"/>
  <c r="J295" i="43"/>
  <c r="K295" i="43"/>
  <c r="L295" i="43"/>
  <c r="K294" i="43"/>
  <c r="L294" i="43"/>
  <c r="M294" i="43"/>
  <c r="N294" i="43"/>
  <c r="O294" i="43"/>
  <c r="P294" i="43"/>
  <c r="Q294" i="43"/>
  <c r="R294" i="43"/>
  <c r="S294" i="43"/>
  <c r="P292" i="43"/>
  <c r="Q292" i="43"/>
  <c r="R292" i="43"/>
  <c r="S292" i="43"/>
  <c r="T292" i="43"/>
  <c r="U292" i="43"/>
  <c r="V292" i="43"/>
  <c r="W292" i="43"/>
  <c r="X292" i="43"/>
  <c r="Y292" i="43"/>
  <c r="N291" i="43"/>
  <c r="U291" i="43"/>
  <c r="J290" i="43"/>
  <c r="K290" i="43"/>
  <c r="L290" i="43"/>
  <c r="M290" i="43"/>
  <c r="N290" i="43"/>
  <c r="O290" i="43"/>
  <c r="J289" i="43"/>
  <c r="K289" i="43"/>
  <c r="L289" i="43"/>
  <c r="M289" i="43"/>
  <c r="N289" i="43"/>
  <c r="O289" i="43"/>
  <c r="P289" i="43"/>
  <c r="Q289" i="43"/>
  <c r="R289" i="43"/>
  <c r="S289" i="43"/>
  <c r="T289" i="43"/>
  <c r="U289" i="43"/>
  <c r="V289" i="43"/>
  <c r="W289" i="43"/>
  <c r="X289" i="43"/>
  <c r="X299" i="43" s="1"/>
  <c r="Y289" i="43"/>
  <c r="Y299" i="43" s="1"/>
  <c r="I288" i="43"/>
  <c r="I299" i="43" s="1"/>
  <c r="J288" i="43"/>
  <c r="J299" i="43" s="1"/>
  <c r="K288" i="43"/>
  <c r="K299" i="43" s="1"/>
  <c r="L288" i="43"/>
  <c r="L299" i="43" s="1"/>
  <c r="M288" i="43"/>
  <c r="M299" i="43" s="1"/>
  <c r="N288" i="43"/>
  <c r="N299" i="43" s="1"/>
  <c r="O288" i="43"/>
  <c r="P288" i="43"/>
  <c r="Q288" i="43"/>
  <c r="R288" i="43"/>
  <c r="S288" i="43"/>
  <c r="T288" i="43"/>
  <c r="U288" i="43"/>
  <c r="V288" i="43"/>
  <c r="W288" i="43"/>
  <c r="G285" i="43"/>
  <c r="G286" i="43" s="1"/>
  <c r="H285" i="43"/>
  <c r="H286" i="43" s="1"/>
  <c r="I285" i="43"/>
  <c r="I286" i="43" s="1"/>
  <c r="J285" i="43"/>
  <c r="J286" i="43" s="1"/>
  <c r="K285" i="43"/>
  <c r="K286" i="43" s="1"/>
  <c r="L285" i="43"/>
  <c r="L286" i="43" s="1"/>
  <c r="M285" i="43"/>
  <c r="M286" i="43" s="1"/>
  <c r="N285" i="43"/>
  <c r="N286" i="43" s="1"/>
  <c r="O285" i="43"/>
  <c r="O286" i="43" s="1"/>
  <c r="P285" i="43"/>
  <c r="P286" i="43" s="1"/>
  <c r="Q285" i="43"/>
  <c r="Q286" i="43" s="1"/>
  <c r="R285" i="43"/>
  <c r="R286" i="43" s="1"/>
  <c r="S285" i="43"/>
  <c r="S286" i="43" s="1"/>
  <c r="T285" i="43"/>
  <c r="T286" i="43" s="1"/>
  <c r="U285" i="43"/>
  <c r="U286" i="43" s="1"/>
  <c r="V285" i="43"/>
  <c r="V286" i="43" s="1"/>
  <c r="W285" i="43"/>
  <c r="W286" i="43" s="1"/>
  <c r="X285" i="43"/>
  <c r="X286" i="43" s="1"/>
  <c r="Y285" i="43"/>
  <c r="Y286" i="43" s="1"/>
  <c r="Z285" i="43"/>
  <c r="Z286" i="43" s="1"/>
  <c r="AA285" i="43"/>
  <c r="AA286" i="43" s="1"/>
  <c r="C275" i="47"/>
  <c r="C274" i="47"/>
  <c r="C273" i="47"/>
  <c r="C270" i="47"/>
  <c r="C269" i="47"/>
  <c r="C268" i="47"/>
  <c r="C267" i="47"/>
  <c r="C266" i="47"/>
  <c r="C265" i="47"/>
  <c r="C264" i="47"/>
  <c r="C263" i="47"/>
  <c r="C262" i="47"/>
  <c r="G261" i="47"/>
  <c r="H261" i="47"/>
  <c r="C257" i="47"/>
  <c r="C256" i="47"/>
  <c r="C255" i="47"/>
  <c r="C254" i="47"/>
  <c r="G253" i="47"/>
  <c r="H253" i="47"/>
  <c r="I253" i="47"/>
  <c r="J253" i="47"/>
  <c r="K253" i="47"/>
  <c r="C245" i="47"/>
  <c r="C244" i="47"/>
  <c r="C243" i="47"/>
  <c r="C240" i="47"/>
  <c r="C239" i="47"/>
  <c r="C238" i="47"/>
  <c r="C237" i="47"/>
  <c r="C236" i="47"/>
  <c r="G121" i="45"/>
  <c r="H121" i="45"/>
  <c r="I121" i="45"/>
  <c r="G120" i="45"/>
  <c r="H120" i="45"/>
  <c r="I120" i="45"/>
  <c r="C136" i="45"/>
  <c r="C135" i="45"/>
  <c r="C134" i="45"/>
  <c r="C111" i="45"/>
  <c r="C109" i="45"/>
  <c r="C106" i="45"/>
  <c r="C105" i="45"/>
  <c r="C104" i="45"/>
  <c r="C103" i="45"/>
  <c r="C102" i="45"/>
  <c r="C204" i="49"/>
  <c r="C203" i="49"/>
  <c r="C202" i="49"/>
  <c r="C195" i="49"/>
  <c r="C194" i="49"/>
  <c r="C193" i="49"/>
  <c r="C192" i="49"/>
  <c r="C191" i="49"/>
  <c r="C190" i="49"/>
  <c r="C189" i="49"/>
  <c r="C188" i="49"/>
  <c r="C187" i="49"/>
  <c r="C186" i="49"/>
  <c r="C177" i="49"/>
  <c r="C176" i="49"/>
  <c r="C172" i="49"/>
  <c r="C171" i="49"/>
  <c r="C170" i="49"/>
  <c r="C168" i="49"/>
  <c r="C165" i="49"/>
  <c r="E149" i="49"/>
  <c r="H137" i="49"/>
  <c r="E120" i="49"/>
  <c r="G114" i="49"/>
  <c r="H114" i="49"/>
  <c r="I114" i="49"/>
  <c r="J114" i="49"/>
  <c r="K114" i="49"/>
  <c r="L114" i="49"/>
  <c r="M114" i="49"/>
  <c r="N114" i="49"/>
  <c r="O114" i="49"/>
  <c r="P114" i="49"/>
  <c r="Q114" i="49"/>
  <c r="R114" i="49"/>
  <c r="S114" i="49"/>
  <c r="T114" i="49"/>
  <c r="U114" i="49"/>
  <c r="V114" i="49"/>
  <c r="W114" i="49"/>
  <c r="X114" i="49"/>
  <c r="Y114" i="49"/>
  <c r="Z114" i="49"/>
  <c r="AA114" i="49"/>
  <c r="AA115" i="49" s="1"/>
  <c r="E65" i="49"/>
  <c r="E64" i="49"/>
  <c r="E61" i="49"/>
  <c r="E59" i="49"/>
  <c r="E47" i="49"/>
  <c r="E36" i="49"/>
  <c r="E34" i="49"/>
  <c r="J33" i="49"/>
  <c r="K33" i="49" s="1"/>
  <c r="J32" i="49"/>
  <c r="K32" i="49" s="1"/>
  <c r="J31" i="49"/>
  <c r="K31" i="49" s="1"/>
  <c r="J30" i="49"/>
  <c r="E23" i="49"/>
  <c r="E24" i="49" s="1"/>
  <c r="E22" i="49"/>
  <c r="E12" i="49"/>
  <c r="C169" i="49" s="1"/>
  <c r="H6" i="49"/>
  <c r="I6" i="49"/>
  <c r="J6" i="49"/>
  <c r="K6" i="49" s="1"/>
  <c r="L6" i="49" s="1"/>
  <c r="M6" i="49" s="1"/>
  <c r="N6" i="49" s="1"/>
  <c r="O6" i="49" s="1"/>
  <c r="P6" i="49" s="1"/>
  <c r="Q6" i="49" s="1"/>
  <c r="R6" i="49" s="1"/>
  <c r="S6" i="49" s="1"/>
  <c r="T6" i="49" s="1"/>
  <c r="U6" i="49" s="1"/>
  <c r="V6" i="49" s="1"/>
  <c r="W6" i="49" s="1"/>
  <c r="X6" i="49" s="1"/>
  <c r="Y6" i="49" s="1"/>
  <c r="Z6" i="49" s="1"/>
  <c r="E208" i="47"/>
  <c r="J168" i="47"/>
  <c r="J167" i="47"/>
  <c r="J257" i="47" s="1"/>
  <c r="J164" i="47"/>
  <c r="J254" i="47" s="1"/>
  <c r="E189" i="47"/>
  <c r="E184" i="47"/>
  <c r="E181" i="47"/>
  <c r="E139" i="47"/>
  <c r="E138" i="47"/>
  <c r="E137" i="47"/>
  <c r="E100" i="47"/>
  <c r="G93" i="47"/>
  <c r="H93" i="47"/>
  <c r="I93" i="47"/>
  <c r="J93" i="47"/>
  <c r="K93" i="47"/>
  <c r="L93" i="47"/>
  <c r="M93" i="47"/>
  <c r="N93" i="47"/>
  <c r="O93" i="47"/>
  <c r="P93" i="47"/>
  <c r="Q93" i="47"/>
  <c r="R93" i="47"/>
  <c r="S93" i="47"/>
  <c r="T93" i="47"/>
  <c r="U93" i="47"/>
  <c r="V93" i="47"/>
  <c r="W93" i="47"/>
  <c r="X93" i="47"/>
  <c r="Y93" i="47"/>
  <c r="Z93" i="47"/>
  <c r="AA93" i="47"/>
  <c r="G72" i="47"/>
  <c r="G58" i="47"/>
  <c r="E51" i="47"/>
  <c r="E49" i="47"/>
  <c r="E47" i="47"/>
  <c r="E48" i="47" s="1"/>
  <c r="E203" i="47" s="1"/>
  <c r="E42" i="47"/>
  <c r="E19" i="47"/>
  <c r="H6" i="47"/>
  <c r="I6" i="47" s="1"/>
  <c r="J6" i="47" s="1"/>
  <c r="K6" i="47" s="1"/>
  <c r="L6" i="47" s="1"/>
  <c r="E231" i="43"/>
  <c r="E232" i="43" s="1"/>
  <c r="E233" i="43" s="1"/>
  <c r="E234" i="43" s="1"/>
  <c r="E235" i="43" s="1"/>
  <c r="E236" i="43" s="1"/>
  <c r="E237" i="43" s="1"/>
  <c r="E238" i="43" s="1"/>
  <c r="E239" i="43" s="1"/>
  <c r="E240" i="43" s="1"/>
  <c r="E241" i="43" s="1"/>
  <c r="E242" i="43" s="1"/>
  <c r="E243" i="43" s="1"/>
  <c r="E244" i="43" s="1"/>
  <c r="E245" i="43" s="1"/>
  <c r="E246" i="43" s="1"/>
  <c r="E247" i="43" s="1"/>
  <c r="E248" i="43" s="1"/>
  <c r="E249" i="43" s="1"/>
  <c r="E250" i="43" s="1"/>
  <c r="E251" i="43" s="1"/>
  <c r="E252" i="43" s="1"/>
  <c r="E253" i="43" s="1"/>
  <c r="E254" i="43" s="1"/>
  <c r="E255" i="43" s="1"/>
  <c r="H235" i="43"/>
  <c r="H236" i="43" s="1"/>
  <c r="H237" i="43" s="1"/>
  <c r="H238" i="43" s="1"/>
  <c r="H239" i="43" s="1"/>
  <c r="H240" i="43" s="1"/>
  <c r="H241" i="43" s="1"/>
  <c r="H242" i="43" s="1"/>
  <c r="H243" i="43" s="1"/>
  <c r="H244" i="43" s="1"/>
  <c r="H245" i="43" s="1"/>
  <c r="H246" i="43" s="1"/>
  <c r="H247" i="43" s="1"/>
  <c r="H248" i="43" s="1"/>
  <c r="H249" i="43" s="1"/>
  <c r="H250" i="43" s="1"/>
  <c r="H251" i="43" s="1"/>
  <c r="H252" i="43" s="1"/>
  <c r="H253" i="43" s="1"/>
  <c r="H254" i="43" s="1"/>
  <c r="H255" i="43" s="1"/>
  <c r="H256" i="43" s="1"/>
  <c r="H257" i="43" s="1"/>
  <c r="H258" i="43" s="1"/>
  <c r="H259" i="43" s="1"/>
  <c r="H260" i="43" s="1"/>
  <c r="H261" i="43" s="1"/>
  <c r="H262" i="43" s="1"/>
  <c r="H263" i="43" s="1"/>
  <c r="H264" i="43" s="1"/>
  <c r="H265" i="43" s="1"/>
  <c r="H266" i="43" s="1"/>
  <c r="H267" i="43" s="1"/>
  <c r="H268" i="43" s="1"/>
  <c r="H269" i="43" s="1"/>
  <c r="H270" i="43" s="1"/>
  <c r="H271" i="43" s="1"/>
  <c r="H272" i="43" s="1"/>
  <c r="H273" i="43" s="1"/>
  <c r="H274" i="43" s="1"/>
  <c r="H275" i="43" s="1"/>
  <c r="H276" i="43" s="1"/>
  <c r="H277" i="43" s="1"/>
  <c r="H278" i="43" s="1"/>
  <c r="H279" i="43" s="1"/>
  <c r="H280" i="43" s="1"/>
  <c r="E168" i="46"/>
  <c r="G120" i="46"/>
  <c r="G131" i="46" s="1"/>
  <c r="G117" i="46"/>
  <c r="G67" i="46"/>
  <c r="G57" i="46"/>
  <c r="E54" i="46"/>
  <c r="E53" i="46"/>
  <c r="E52" i="46"/>
  <c r="H6" i="46"/>
  <c r="G23" i="45"/>
  <c r="G93" i="45"/>
  <c r="H93" i="45"/>
  <c r="I93" i="45"/>
  <c r="J93" i="45"/>
  <c r="K93" i="45"/>
  <c r="I122" i="45" s="1"/>
  <c r="E93" i="45"/>
  <c r="G92" i="45"/>
  <c r="H92" i="45"/>
  <c r="I92" i="45"/>
  <c r="J92" i="45"/>
  <c r="K92" i="45"/>
  <c r="H122" i="45" s="1"/>
  <c r="E92" i="45"/>
  <c r="G91" i="45"/>
  <c r="H91" i="45"/>
  <c r="I91" i="45"/>
  <c r="J91" i="45"/>
  <c r="K91" i="45"/>
  <c r="G122" i="45" s="1"/>
  <c r="E91" i="45"/>
  <c r="E204" i="43"/>
  <c r="AA187" i="43"/>
  <c r="E167" i="43"/>
  <c r="G18" i="45"/>
  <c r="G43" i="44"/>
  <c r="G51" i="44"/>
  <c r="G41" i="44"/>
  <c r="G34" i="44"/>
  <c r="G35" i="44" s="1"/>
  <c r="G33" i="44"/>
  <c r="E15" i="44"/>
  <c r="E12" i="44"/>
  <c r="H6" i="44"/>
  <c r="H43" i="44" s="1"/>
  <c r="I6" i="44"/>
  <c r="I43" i="44" s="1"/>
  <c r="J6" i="44"/>
  <c r="J43" i="44" s="1"/>
  <c r="K6" i="44"/>
  <c r="K43" i="44" s="1"/>
  <c r="L6" i="44"/>
  <c r="L43" i="44" s="1"/>
  <c r="M6" i="44"/>
  <c r="M43" i="44" s="1"/>
  <c r="N6" i="44"/>
  <c r="N43" i="44" s="1"/>
  <c r="O6" i="44"/>
  <c r="O43" i="44" s="1"/>
  <c r="P6" i="44"/>
  <c r="P43" i="44" s="1"/>
  <c r="Q6" i="44"/>
  <c r="Q43" i="44" s="1"/>
  <c r="R6" i="44"/>
  <c r="R43" i="44" s="1"/>
  <c r="S6" i="44"/>
  <c r="S43" i="44" s="1"/>
  <c r="T6" i="44"/>
  <c r="T43" i="44" s="1"/>
  <c r="U6" i="44"/>
  <c r="U43" i="44" s="1"/>
  <c r="V6" i="44"/>
  <c r="V43" i="44" s="1"/>
  <c r="W6" i="44"/>
  <c r="H6" i="45"/>
  <c r="I6" i="45"/>
  <c r="I23" i="45" s="1"/>
  <c r="H110" i="43"/>
  <c r="I110" i="43"/>
  <c r="J110" i="43"/>
  <c r="K110" i="43"/>
  <c r="L110" i="43"/>
  <c r="M110" i="43"/>
  <c r="N110" i="43"/>
  <c r="O110" i="43"/>
  <c r="P110" i="43"/>
  <c r="Q110" i="43"/>
  <c r="R110" i="43"/>
  <c r="S110" i="43"/>
  <c r="T110" i="43"/>
  <c r="U110" i="43"/>
  <c r="V110" i="43"/>
  <c r="W110" i="43"/>
  <c r="X110" i="43"/>
  <c r="Y110" i="43"/>
  <c r="Z110" i="43"/>
  <c r="G101" i="43"/>
  <c r="H101" i="43"/>
  <c r="I101" i="43"/>
  <c r="J101" i="43"/>
  <c r="K101" i="43"/>
  <c r="L101" i="43"/>
  <c r="M101" i="43"/>
  <c r="N101" i="43"/>
  <c r="O101" i="43"/>
  <c r="P101" i="43"/>
  <c r="Q101" i="43"/>
  <c r="R101" i="43"/>
  <c r="S101" i="43"/>
  <c r="T101" i="43"/>
  <c r="U101" i="43"/>
  <c r="V101" i="43"/>
  <c r="W101" i="43"/>
  <c r="X101" i="43"/>
  <c r="Y101" i="43"/>
  <c r="Z101" i="43"/>
  <c r="G71" i="43"/>
  <c r="G102" i="43" s="1"/>
  <c r="C63" i="43"/>
  <c r="C62" i="43"/>
  <c r="G57" i="43"/>
  <c r="G51" i="43"/>
  <c r="G110" i="43" s="1"/>
  <c r="G50" i="43"/>
  <c r="G48" i="43"/>
  <c r="G45" i="43"/>
  <c r="G40" i="43"/>
  <c r="H40" i="43"/>
  <c r="I40" i="43"/>
  <c r="J40" i="43"/>
  <c r="K40" i="43"/>
  <c r="L40" i="43"/>
  <c r="M40" i="43"/>
  <c r="N40" i="43"/>
  <c r="O40" i="43"/>
  <c r="P40" i="43"/>
  <c r="Q40" i="43"/>
  <c r="R40" i="43"/>
  <c r="S40" i="43"/>
  <c r="T40" i="43"/>
  <c r="U40" i="43"/>
  <c r="V40" i="43"/>
  <c r="W40" i="43"/>
  <c r="X40" i="43"/>
  <c r="Y40" i="43"/>
  <c r="Z40" i="43"/>
  <c r="H58" i="43"/>
  <c r="H6" i="43"/>
  <c r="O77" i="54" l="1"/>
  <c r="O75" i="54"/>
  <c r="I158" i="53"/>
  <c r="I122" i="53"/>
  <c r="J158" i="53"/>
  <c r="J122" i="53"/>
  <c r="I158" i="52"/>
  <c r="J158" i="52"/>
  <c r="O79" i="54"/>
  <c r="O80" i="54"/>
  <c r="O78" i="54"/>
  <c r="O76" i="54"/>
  <c r="I122" i="52"/>
  <c r="K6" i="52"/>
  <c r="J122" i="52"/>
  <c r="I87" i="51"/>
  <c r="O71" i="54"/>
  <c r="I93" i="51"/>
  <c r="I92" i="51"/>
  <c r="I90" i="51"/>
  <c r="I68" i="51"/>
  <c r="I94" i="51"/>
  <c r="I91" i="51"/>
  <c r="I89" i="51"/>
  <c r="I88" i="51"/>
  <c r="I81" i="51"/>
  <c r="I82" i="51" s="1"/>
  <c r="E25" i="49"/>
  <c r="C175" i="49" s="1"/>
  <c r="E39" i="49"/>
  <c r="E14" i="49"/>
  <c r="C180" i="49" s="1"/>
  <c r="K30" i="49"/>
  <c r="J34" i="49"/>
  <c r="E52" i="49"/>
  <c r="G141" i="49" s="1"/>
  <c r="G137" i="49"/>
  <c r="H186" i="49"/>
  <c r="G262" i="47"/>
  <c r="I137" i="49"/>
  <c r="I186" i="49" s="1"/>
  <c r="P87" i="49"/>
  <c r="P88" i="49" s="1"/>
  <c r="R87" i="49"/>
  <c r="R88" i="49" s="1"/>
  <c r="X87" i="49"/>
  <c r="X88" i="49" s="1"/>
  <c r="V87" i="49"/>
  <c r="V88" i="49" s="1"/>
  <c r="S87" i="49"/>
  <c r="S88" i="49" s="1"/>
  <c r="L87" i="49"/>
  <c r="L88" i="49" s="1"/>
  <c r="U87" i="49"/>
  <c r="U88" i="49" s="1"/>
  <c r="I87" i="49"/>
  <c r="H87" i="49"/>
  <c r="K87" i="49"/>
  <c r="N87" i="49"/>
  <c r="N88" i="49" s="1"/>
  <c r="T87" i="49"/>
  <c r="T88" i="49" s="1"/>
  <c r="Y87" i="49"/>
  <c r="Y88" i="49" s="1"/>
  <c r="Q87" i="49"/>
  <c r="Q88" i="49" s="1"/>
  <c r="M87" i="49"/>
  <c r="M88" i="49" s="1"/>
  <c r="G87" i="49"/>
  <c r="Z87" i="49"/>
  <c r="Z88" i="49" s="1"/>
  <c r="W87" i="49"/>
  <c r="W88" i="49" s="1"/>
  <c r="J87" i="49"/>
  <c r="O87" i="49"/>
  <c r="O88" i="49" s="1"/>
  <c r="W73" i="49"/>
  <c r="W74" i="49" s="1"/>
  <c r="J73" i="49"/>
  <c r="J74" i="49" s="1"/>
  <c r="X73" i="49"/>
  <c r="X74" i="49" s="1"/>
  <c r="K73" i="49"/>
  <c r="K74" i="49" s="1"/>
  <c r="Q73" i="49"/>
  <c r="Q74" i="49" s="1"/>
  <c r="V73" i="49"/>
  <c r="V74" i="49" s="1"/>
  <c r="N73" i="49"/>
  <c r="N74" i="49" s="1"/>
  <c r="T73" i="49"/>
  <c r="T74" i="49" s="1"/>
  <c r="L73" i="49"/>
  <c r="L74" i="49" s="1"/>
  <c r="M73" i="49"/>
  <c r="M74" i="49" s="1"/>
  <c r="S73" i="49"/>
  <c r="S74" i="49" s="1"/>
  <c r="P73" i="49"/>
  <c r="P74" i="49" s="1"/>
  <c r="G73" i="49"/>
  <c r="G74" i="49" s="1"/>
  <c r="H73" i="49"/>
  <c r="H74" i="49" s="1"/>
  <c r="R73" i="49"/>
  <c r="R74" i="49" s="1"/>
  <c r="U73" i="49"/>
  <c r="U74" i="49" s="1"/>
  <c r="Z73" i="49"/>
  <c r="Z74" i="49" s="1"/>
  <c r="I73" i="49"/>
  <c r="I74" i="49" s="1"/>
  <c r="O73" i="49"/>
  <c r="O74" i="49" s="1"/>
  <c r="Y73" i="49"/>
  <c r="Y74" i="49" s="1"/>
  <c r="G73" i="47"/>
  <c r="G74" i="47" s="1"/>
  <c r="G75" i="47"/>
  <c r="G76" i="47" s="1"/>
  <c r="H137" i="46"/>
  <c r="AA137" i="46"/>
  <c r="Z137" i="46"/>
  <c r="Y137" i="46"/>
  <c r="X137" i="46"/>
  <c r="W137" i="46"/>
  <c r="V137" i="46"/>
  <c r="U137" i="46"/>
  <c r="T137" i="46"/>
  <c r="S137" i="46"/>
  <c r="R137" i="46"/>
  <c r="Q137" i="46"/>
  <c r="P137" i="46"/>
  <c r="O137" i="46"/>
  <c r="N137" i="46"/>
  <c r="M137" i="46"/>
  <c r="L137" i="46"/>
  <c r="K137" i="46"/>
  <c r="J137" i="46"/>
  <c r="I137" i="46"/>
  <c r="E182" i="46"/>
  <c r="G175" i="46"/>
  <c r="H175" i="46"/>
  <c r="I175" i="46"/>
  <c r="J175" i="46"/>
  <c r="K175" i="46"/>
  <c r="L175" i="46"/>
  <c r="M175" i="46"/>
  <c r="N175" i="46"/>
  <c r="O175" i="46"/>
  <c r="P175" i="46"/>
  <c r="Q175" i="46"/>
  <c r="R175" i="46"/>
  <c r="S175" i="46"/>
  <c r="T175" i="46"/>
  <c r="U175" i="46"/>
  <c r="V175" i="46"/>
  <c r="W175" i="46"/>
  <c r="X175" i="46"/>
  <c r="Y175" i="46"/>
  <c r="Z175" i="46"/>
  <c r="AA175" i="46"/>
  <c r="E144" i="46"/>
  <c r="G137" i="46"/>
  <c r="G71" i="46"/>
  <c r="G95" i="46"/>
  <c r="G96" i="46"/>
  <c r="G97" i="46"/>
  <c r="G98" i="46"/>
  <c r="G101" i="46"/>
  <c r="G68" i="46"/>
  <c r="G58" i="46"/>
  <c r="G60" i="46"/>
  <c r="G59" i="46"/>
  <c r="G61" i="46"/>
  <c r="I6" i="46"/>
  <c r="H120" i="46"/>
  <c r="H131" i="46" s="1"/>
  <c r="H57" i="46"/>
  <c r="H67" i="46"/>
  <c r="G72" i="44"/>
  <c r="G134" i="44" s="1"/>
  <c r="I72" i="44"/>
  <c r="I134" i="44" s="1"/>
  <c r="K72" i="44"/>
  <c r="K134" i="44" s="1"/>
  <c r="M72" i="44"/>
  <c r="M134" i="44" s="1"/>
  <c r="O72" i="44"/>
  <c r="O134" i="44" s="1"/>
  <c r="Q72" i="44"/>
  <c r="Q134" i="44" s="1"/>
  <c r="S72" i="44"/>
  <c r="S134" i="44" s="1"/>
  <c r="U72" i="44"/>
  <c r="U134" i="44" s="1"/>
  <c r="W72" i="44"/>
  <c r="W134" i="44" s="1"/>
  <c r="Y72" i="44"/>
  <c r="Y134" i="44" s="1"/>
  <c r="AA72" i="44"/>
  <c r="E79" i="44"/>
  <c r="H72" i="44"/>
  <c r="H134" i="44" s="1"/>
  <c r="J72" i="44"/>
  <c r="J134" i="44" s="1"/>
  <c r="L72" i="44"/>
  <c r="L134" i="44" s="1"/>
  <c r="N72" i="44"/>
  <c r="N134" i="44" s="1"/>
  <c r="P72" i="44"/>
  <c r="P134" i="44" s="1"/>
  <c r="R72" i="44"/>
  <c r="R134" i="44" s="1"/>
  <c r="T72" i="44"/>
  <c r="T134" i="44" s="1"/>
  <c r="V72" i="44"/>
  <c r="V134" i="44" s="1"/>
  <c r="X72" i="44"/>
  <c r="X134" i="44" s="1"/>
  <c r="Z72" i="44"/>
  <c r="Z134" i="44" s="1"/>
  <c r="W43" i="44"/>
  <c r="X6" i="44"/>
  <c r="N41" i="45"/>
  <c r="Y41" i="45"/>
  <c r="R41" i="45"/>
  <c r="U41" i="45"/>
  <c r="X41" i="45"/>
  <c r="AA41" i="45"/>
  <c r="E48" i="45"/>
  <c r="H41" i="45"/>
  <c r="I41" i="45"/>
  <c r="J41" i="45"/>
  <c r="K41" i="45"/>
  <c r="P41" i="45"/>
  <c r="O41" i="45"/>
  <c r="S41" i="45"/>
  <c r="V41" i="45"/>
  <c r="Z41" i="45"/>
  <c r="G41" i="45"/>
  <c r="L41" i="45"/>
  <c r="M41" i="45"/>
  <c r="Q41" i="45"/>
  <c r="T41" i="45"/>
  <c r="W41" i="45"/>
  <c r="H23" i="45"/>
  <c r="H18" i="45"/>
  <c r="E328" i="43"/>
  <c r="O299" i="43"/>
  <c r="P299" i="43"/>
  <c r="Q299" i="43"/>
  <c r="R299" i="43"/>
  <c r="S299" i="43"/>
  <c r="T299" i="43"/>
  <c r="U299" i="43"/>
  <c r="V299" i="43"/>
  <c r="W299" i="43"/>
  <c r="AA119" i="43"/>
  <c r="Z119" i="43"/>
  <c r="Y119" i="43"/>
  <c r="X119" i="43"/>
  <c r="W119" i="43"/>
  <c r="V119" i="43"/>
  <c r="U119" i="43"/>
  <c r="T119" i="43"/>
  <c r="S119" i="43"/>
  <c r="R119" i="43"/>
  <c r="Q119" i="43"/>
  <c r="P119" i="43"/>
  <c r="O119" i="43"/>
  <c r="N119" i="43"/>
  <c r="M119" i="43"/>
  <c r="L119" i="43"/>
  <c r="K119" i="43"/>
  <c r="J119" i="43"/>
  <c r="I119" i="43"/>
  <c r="H119" i="43"/>
  <c r="G119" i="43"/>
  <c r="E127" i="43"/>
  <c r="E201" i="43"/>
  <c r="G34" i="43"/>
  <c r="H34" i="43"/>
  <c r="H33" i="43"/>
  <c r="G33" i="43"/>
  <c r="AD32" i="54"/>
  <c r="O85" i="54" s="1"/>
  <c r="AD41" i="54"/>
  <c r="O91" i="54" s="1"/>
  <c r="L10" i="54"/>
  <c r="M10" i="54"/>
  <c r="G83" i="52"/>
  <c r="G82" i="52"/>
  <c r="G81" i="52"/>
  <c r="F29" i="53"/>
  <c r="I157" i="53"/>
  <c r="E29" i="53"/>
  <c r="J157" i="53"/>
  <c r="K6" i="53"/>
  <c r="P95" i="53"/>
  <c r="D23" i="53"/>
  <c r="AC227" i="53"/>
  <c r="E53" i="53"/>
  <c r="F49" i="53"/>
  <c r="F53" i="53" s="1"/>
  <c r="F41" i="53"/>
  <c r="E42" i="53"/>
  <c r="F38" i="53"/>
  <c r="F42" i="53" s="1"/>
  <c r="D43" i="53"/>
  <c r="D35" i="53"/>
  <c r="C101" i="53" s="1"/>
  <c r="E34" i="53"/>
  <c r="F32" i="53"/>
  <c r="F234" i="53"/>
  <c r="F250" i="53"/>
  <c r="E234" i="53"/>
  <c r="E250" i="53"/>
  <c r="G80" i="52"/>
  <c r="G20" i="52"/>
  <c r="AC227" i="52"/>
  <c r="I121" i="52"/>
  <c r="I157" i="52"/>
  <c r="I117" i="52"/>
  <c r="J117" i="52"/>
  <c r="J121" i="52"/>
  <c r="J157" i="52"/>
  <c r="E53" i="52"/>
  <c r="F49" i="52"/>
  <c r="F53" i="52" s="1"/>
  <c r="F38" i="52"/>
  <c r="F42" i="52" s="1"/>
  <c r="E42" i="52"/>
  <c r="D35" i="52"/>
  <c r="E34" i="52"/>
  <c r="E43" i="52" s="1"/>
  <c r="F32" i="52"/>
  <c r="G30" i="52"/>
  <c r="F25" i="52"/>
  <c r="F29" i="52" s="1"/>
  <c r="F23" i="52"/>
  <c r="E25" i="52"/>
  <c r="E29" i="52" s="1"/>
  <c r="E23" i="52"/>
  <c r="D23" i="52"/>
  <c r="D25" i="52"/>
  <c r="I202" i="53"/>
  <c r="I166" i="53"/>
  <c r="I130" i="53"/>
  <c r="I7" i="53"/>
  <c r="I114" i="53"/>
  <c r="I117" i="53"/>
  <c r="I121" i="53"/>
  <c r="J114" i="53"/>
  <c r="J121" i="53"/>
  <c r="J7" i="53"/>
  <c r="J117" i="53"/>
  <c r="K121" i="53"/>
  <c r="K117" i="53"/>
  <c r="K7" i="53"/>
  <c r="K114" i="53"/>
  <c r="I202" i="52"/>
  <c r="I166" i="52"/>
  <c r="I130" i="52"/>
  <c r="I7" i="52"/>
  <c r="I114" i="52"/>
  <c r="J7" i="52"/>
  <c r="J114" i="52"/>
  <c r="K114" i="52"/>
  <c r="K7" i="52"/>
  <c r="G23" i="53"/>
  <c r="G19" i="53"/>
  <c r="E22" i="53"/>
  <c r="E21" i="53"/>
  <c r="D22" i="53"/>
  <c r="D29" i="53"/>
  <c r="G29" i="53" s="1"/>
  <c r="G25" i="53"/>
  <c r="G24" i="53"/>
  <c r="F22" i="53"/>
  <c r="F21" i="53"/>
  <c r="D21" i="53"/>
  <c r="G20" i="53"/>
  <c r="E50" i="47"/>
  <c r="E329" i="43"/>
  <c r="AA330" i="43"/>
  <c r="E330" i="43" s="1"/>
  <c r="G331" i="43"/>
  <c r="G332" i="43" s="1"/>
  <c r="G318" i="43"/>
  <c r="H318" i="43"/>
  <c r="H331" i="43"/>
  <c r="H332" i="43" s="1"/>
  <c r="I318" i="43"/>
  <c r="I331" i="43"/>
  <c r="I332" i="43" s="1"/>
  <c r="J318" i="43"/>
  <c r="J331" i="43"/>
  <c r="J332" i="43" s="1"/>
  <c r="K318" i="43"/>
  <c r="K331" i="43"/>
  <c r="K332" i="43" s="1"/>
  <c r="L318" i="43"/>
  <c r="L331" i="43"/>
  <c r="L332" i="43" s="1"/>
  <c r="M331" i="43"/>
  <c r="M332" i="43" s="1"/>
  <c r="M318" i="43"/>
  <c r="N318" i="43"/>
  <c r="N331" i="43"/>
  <c r="N332" i="43" s="1"/>
  <c r="O331" i="43"/>
  <c r="O332" i="43" s="1"/>
  <c r="O318" i="43"/>
  <c r="P318" i="43"/>
  <c r="P331" i="43"/>
  <c r="P332" i="43" s="1"/>
  <c r="Q331" i="43"/>
  <c r="Q332" i="43" s="1"/>
  <c r="Q318" i="43"/>
  <c r="R318" i="43"/>
  <c r="R331" i="43"/>
  <c r="R332" i="43" s="1"/>
  <c r="S331" i="43"/>
  <c r="S332" i="43" s="1"/>
  <c r="S318" i="43"/>
  <c r="T318" i="43"/>
  <c r="T331" i="43"/>
  <c r="T332" i="43" s="1"/>
  <c r="U331" i="43"/>
  <c r="U332" i="43" s="1"/>
  <c r="U318" i="43"/>
  <c r="V331" i="43"/>
  <c r="V332" i="43" s="1"/>
  <c r="V318" i="43"/>
  <c r="W318" i="43"/>
  <c r="W331" i="43"/>
  <c r="W332" i="43" s="1"/>
  <c r="X318" i="43"/>
  <c r="X331" i="43"/>
  <c r="X332" i="43" s="1"/>
  <c r="Y331" i="43"/>
  <c r="Y332" i="43" s="1"/>
  <c r="Y318" i="43"/>
  <c r="Z318" i="43"/>
  <c r="Z331" i="43"/>
  <c r="Z332" i="43" s="1"/>
  <c r="AA331" i="43"/>
  <c r="AA332" i="43" s="1"/>
  <c r="AA318" i="43"/>
  <c r="P89" i="49"/>
  <c r="Z89" i="49"/>
  <c r="G89" i="49"/>
  <c r="H89" i="49"/>
  <c r="I89" i="49"/>
  <c r="J89" i="49"/>
  <c r="K89" i="49"/>
  <c r="L89" i="49"/>
  <c r="M89" i="49"/>
  <c r="N89" i="49"/>
  <c r="O89" i="49"/>
  <c r="Q89" i="49"/>
  <c r="R89" i="49"/>
  <c r="S89" i="49"/>
  <c r="T89" i="49"/>
  <c r="U89" i="49"/>
  <c r="V89" i="49"/>
  <c r="W89" i="49"/>
  <c r="X89" i="49"/>
  <c r="Y89" i="49"/>
  <c r="E98" i="49"/>
  <c r="J59" i="43"/>
  <c r="I59" i="43"/>
  <c r="G260" i="43"/>
  <c r="G261" i="43"/>
  <c r="G262" i="43"/>
  <c r="G265" i="43"/>
  <c r="G267" i="43"/>
  <c r="G259" i="43"/>
  <c r="G269" i="43"/>
  <c r="G271" i="43"/>
  <c r="G272" i="43"/>
  <c r="G256" i="43"/>
  <c r="G230" i="43"/>
  <c r="G231" i="43"/>
  <c r="G232" i="43"/>
  <c r="G233" i="43"/>
  <c r="G234" i="43"/>
  <c r="G235" i="43"/>
  <c r="G236" i="43"/>
  <c r="G237" i="43"/>
  <c r="G238" i="43"/>
  <c r="G239" i="43"/>
  <c r="G240" i="43"/>
  <c r="G241" i="43"/>
  <c r="G242" i="43"/>
  <c r="G243" i="43"/>
  <c r="G244" i="43"/>
  <c r="G245" i="43"/>
  <c r="G246" i="43"/>
  <c r="G247" i="43"/>
  <c r="G248" i="43"/>
  <c r="G249" i="43"/>
  <c r="G250" i="43"/>
  <c r="G251" i="43"/>
  <c r="G252" i="43"/>
  <c r="G253" i="43"/>
  <c r="G254" i="43"/>
  <c r="G255" i="43"/>
  <c r="G257" i="43"/>
  <c r="G258" i="43"/>
  <c r="G263" i="43"/>
  <c r="G264" i="43"/>
  <c r="G266" i="43"/>
  <c r="G270" i="43"/>
  <c r="G273" i="43"/>
  <c r="G274" i="43"/>
  <c r="G275" i="43"/>
  <c r="G276" i="43"/>
  <c r="G277" i="43"/>
  <c r="G278" i="43"/>
  <c r="G279" i="43"/>
  <c r="G280" i="43"/>
  <c r="G268" i="43"/>
  <c r="F19" i="51"/>
  <c r="I102" i="51"/>
  <c r="E30" i="51"/>
  <c r="F29" i="51"/>
  <c r="G19" i="51"/>
  <c r="H50" i="51"/>
  <c r="H51" i="51"/>
  <c r="I86" i="51"/>
  <c r="I85" i="51"/>
  <c r="I73" i="51"/>
  <c r="I7" i="51"/>
  <c r="J6" i="51"/>
  <c r="G195" i="47"/>
  <c r="H195" i="47"/>
  <c r="I195" i="47"/>
  <c r="J195" i="47"/>
  <c r="K195" i="47"/>
  <c r="L195" i="47"/>
  <c r="G60" i="47"/>
  <c r="G59" i="47"/>
  <c r="H72" i="47"/>
  <c r="H58" i="47"/>
  <c r="I72" i="47"/>
  <c r="I58" i="47"/>
  <c r="J72" i="47"/>
  <c r="J58" i="47"/>
  <c r="K72" i="47"/>
  <c r="K58" i="47"/>
  <c r="L72" i="47"/>
  <c r="L58" i="47"/>
  <c r="M6" i="47"/>
  <c r="E256" i="43"/>
  <c r="G27" i="45" a="1"/>
  <c r="G25" i="45" a="1"/>
  <c r="G24" i="45" a="1"/>
  <c r="G29" i="45" a="1"/>
  <c r="H27" i="45" a="1"/>
  <c r="H29" i="45" a="1"/>
  <c r="H24" i="45" a="1"/>
  <c r="H25" i="45" a="1"/>
  <c r="I27" i="45" a="1"/>
  <c r="I29" i="45" a="1"/>
  <c r="I24" i="45" a="1"/>
  <c r="I25" i="45" a="1"/>
  <c r="J6" i="45"/>
  <c r="J23" i="45" s="1"/>
  <c r="I18" i="45"/>
  <c r="I19" i="45" s="1"/>
  <c r="I20" i="45" s="1"/>
  <c r="I35" i="45" s="1"/>
  <c r="H57" i="43"/>
  <c r="G176" i="43"/>
  <c r="G177" i="43" s="1"/>
  <c r="E174" i="43"/>
  <c r="L58" i="43"/>
  <c r="P58" i="43"/>
  <c r="Q58" i="43"/>
  <c r="R58" i="43"/>
  <c r="T58" i="43"/>
  <c r="V58" i="43"/>
  <c r="X58" i="43"/>
  <c r="M58" i="43"/>
  <c r="W58" i="43"/>
  <c r="S58" i="43"/>
  <c r="Z58" i="43"/>
  <c r="N58" i="43"/>
  <c r="O58" i="43"/>
  <c r="U58" i="43"/>
  <c r="Y58" i="43"/>
  <c r="H176" i="43"/>
  <c r="H177" i="43" s="1"/>
  <c r="I6" i="43"/>
  <c r="G42" i="44"/>
  <c r="G40" i="44" s="1"/>
  <c r="G19" i="45"/>
  <c r="G20" i="45" s="1"/>
  <c r="G36" i="44"/>
  <c r="H33" i="44"/>
  <c r="H51" i="44"/>
  <c r="H34" i="44"/>
  <c r="H41" i="44"/>
  <c r="I33" i="44"/>
  <c r="I34" i="44"/>
  <c r="I35" i="44" s="1"/>
  <c r="I41" i="44"/>
  <c r="J33" i="44"/>
  <c r="J34" i="44"/>
  <c r="J35" i="44" s="1"/>
  <c r="J41" i="44"/>
  <c r="K33" i="44"/>
  <c r="K34" i="44"/>
  <c r="K35" i="44" s="1"/>
  <c r="K41" i="44"/>
  <c r="L33" i="44"/>
  <c r="L34" i="44"/>
  <c r="L35" i="44" s="1"/>
  <c r="L41" i="44"/>
  <c r="M33" i="44"/>
  <c r="M41" i="44"/>
  <c r="M34" i="44"/>
  <c r="M35" i="44" s="1"/>
  <c r="N41" i="44"/>
  <c r="N33" i="44"/>
  <c r="N34" i="44"/>
  <c r="N35" i="44" s="1"/>
  <c r="O41" i="44"/>
  <c r="O33" i="44"/>
  <c r="O34" i="44"/>
  <c r="O35" i="44" s="1"/>
  <c r="P34" i="44"/>
  <c r="P35" i="44" s="1"/>
  <c r="P41" i="44"/>
  <c r="P33" i="44"/>
  <c r="P36" i="44" s="1"/>
  <c r="Q34" i="44"/>
  <c r="Q35" i="44" s="1"/>
  <c r="Q41" i="44"/>
  <c r="Q33" i="44"/>
  <c r="R34" i="44"/>
  <c r="R35" i="44" s="1"/>
  <c r="R41" i="44"/>
  <c r="R33" i="44"/>
  <c r="R36" i="44" s="1"/>
  <c r="S34" i="44"/>
  <c r="S35" i="44" s="1"/>
  <c r="S33" i="44"/>
  <c r="S36" i="44" s="1"/>
  <c r="S41" i="44"/>
  <c r="T34" i="44"/>
  <c r="T35" i="44" s="1"/>
  <c r="T33" i="44"/>
  <c r="T41" i="44"/>
  <c r="U41" i="44"/>
  <c r="U33" i="44"/>
  <c r="U34" i="44"/>
  <c r="U35" i="44" s="1"/>
  <c r="V41" i="44"/>
  <c r="V34" i="44"/>
  <c r="V35" i="44" s="1"/>
  <c r="V33" i="44"/>
  <c r="W41" i="44"/>
  <c r="W34" i="44"/>
  <c r="W35" i="44" s="1"/>
  <c r="W33" i="44"/>
  <c r="K58" i="43"/>
  <c r="J58" i="43"/>
  <c r="I58" i="43"/>
  <c r="G68" i="43"/>
  <c r="G63" i="43"/>
  <c r="G83" i="43"/>
  <c r="G62" i="43"/>
  <c r="G61" i="43" s="1"/>
  <c r="G64" i="43" s="1"/>
  <c r="G66" i="43" s="1"/>
  <c r="G67" i="43"/>
  <c r="G52" i="43"/>
  <c r="H48" i="43"/>
  <c r="G109" i="43"/>
  <c r="M39" i="43"/>
  <c r="M41" i="43" s="1"/>
  <c r="R39" i="43"/>
  <c r="R41" i="43" s="1"/>
  <c r="P39" i="43"/>
  <c r="P41" i="43" s="1"/>
  <c r="O39" i="43"/>
  <c r="O41" i="43" s="1"/>
  <c r="S39" i="43"/>
  <c r="S41" i="43" s="1"/>
  <c r="T39" i="43"/>
  <c r="T41" i="43" s="1"/>
  <c r="L39" i="43"/>
  <c r="L41" i="43" s="1"/>
  <c r="K39" i="43"/>
  <c r="K41" i="43" s="1"/>
  <c r="J39" i="43"/>
  <c r="J41" i="43" s="1"/>
  <c r="N39" i="43"/>
  <c r="N41" i="43" s="1"/>
  <c r="I39" i="43"/>
  <c r="I41" i="43" s="1"/>
  <c r="H39" i="43"/>
  <c r="H41" i="43" s="1"/>
  <c r="G39" i="43"/>
  <c r="G41" i="43" s="1"/>
  <c r="U39" i="43"/>
  <c r="U41" i="43" s="1"/>
  <c r="V39" i="43"/>
  <c r="V41" i="43" s="1"/>
  <c r="W39" i="43"/>
  <c r="W41" i="43" s="1"/>
  <c r="X39" i="43"/>
  <c r="X41" i="43" s="1"/>
  <c r="Y39" i="43"/>
  <c r="Y41" i="43" s="1"/>
  <c r="Z39" i="43"/>
  <c r="Z41" i="43" s="1"/>
  <c r="Q39" i="43"/>
  <c r="Q41" i="43" s="1"/>
  <c r="H45" i="43"/>
  <c r="H71" i="43"/>
  <c r="H102" i="43" s="1"/>
  <c r="G131" i="44" l="1"/>
  <c r="P66" i="44"/>
  <c r="P131" i="44"/>
  <c r="R66" i="44"/>
  <c r="R131" i="44"/>
  <c r="S66" i="44"/>
  <c r="S131" i="44"/>
  <c r="G76" i="46"/>
  <c r="G70" i="46"/>
  <c r="K194" i="53"/>
  <c r="K158" i="53"/>
  <c r="K122" i="53"/>
  <c r="D250" i="53"/>
  <c r="D234" i="53"/>
  <c r="I194" i="53"/>
  <c r="J194" i="53"/>
  <c r="K117" i="52"/>
  <c r="L6" i="52"/>
  <c r="K121" i="52"/>
  <c r="K157" i="52"/>
  <c r="K158" i="52"/>
  <c r="K122" i="52"/>
  <c r="K194" i="52"/>
  <c r="G84" i="52"/>
  <c r="L194" i="52"/>
  <c r="L122" i="52"/>
  <c r="L158" i="52"/>
  <c r="I194" i="52"/>
  <c r="J194" i="52"/>
  <c r="I83" i="51"/>
  <c r="I84" i="51"/>
  <c r="K34" i="49"/>
  <c r="E37" i="49"/>
  <c r="G190" i="49"/>
  <c r="H265" i="47"/>
  <c r="H262" i="47"/>
  <c r="G186" i="49"/>
  <c r="I88" i="49"/>
  <c r="I95" i="49"/>
  <c r="I93" i="49"/>
  <c r="H93" i="49"/>
  <c r="H88" i="49"/>
  <c r="H95" i="49"/>
  <c r="K88" i="49"/>
  <c r="K93" i="49"/>
  <c r="K95" i="49"/>
  <c r="G95" i="49"/>
  <c r="G88" i="49"/>
  <c r="G93" i="49"/>
  <c r="J93" i="49"/>
  <c r="J95" i="49"/>
  <c r="J88" i="49"/>
  <c r="W75" i="49"/>
  <c r="W77" i="49" s="1"/>
  <c r="W109" i="49" s="1"/>
  <c r="W76" i="49"/>
  <c r="J75" i="49"/>
  <c r="J76" i="49"/>
  <c r="J77" i="49" s="1"/>
  <c r="J109" i="49" s="1"/>
  <c r="X75" i="49"/>
  <c r="X76" i="49"/>
  <c r="X77" i="49"/>
  <c r="X109" i="49" s="1"/>
  <c r="K75" i="49"/>
  <c r="K76" i="49"/>
  <c r="K77" i="49" s="1"/>
  <c r="K109" i="49" s="1"/>
  <c r="Q75" i="49"/>
  <c r="Q76" i="49"/>
  <c r="Q77" i="49"/>
  <c r="Q109" i="49" s="1"/>
  <c r="V75" i="49"/>
  <c r="V77" i="49" s="1"/>
  <c r="V109" i="49" s="1"/>
  <c r="V76" i="49"/>
  <c r="N75" i="49"/>
  <c r="N76" i="49"/>
  <c r="N77" i="49" s="1"/>
  <c r="N109" i="49" s="1"/>
  <c r="T75" i="49"/>
  <c r="T76" i="49"/>
  <c r="T77" i="49" s="1"/>
  <c r="T109" i="49" s="1"/>
  <c r="L76" i="49"/>
  <c r="L75" i="49"/>
  <c r="L77" i="49" s="1"/>
  <c r="L109" i="49" s="1"/>
  <c r="M75" i="49"/>
  <c r="M76" i="49"/>
  <c r="M77" i="49"/>
  <c r="M109" i="49" s="1"/>
  <c r="S75" i="49"/>
  <c r="S76" i="49"/>
  <c r="S77" i="49"/>
  <c r="S109" i="49" s="1"/>
  <c r="P75" i="49"/>
  <c r="P76" i="49"/>
  <c r="P77" i="49" s="1"/>
  <c r="P109" i="49" s="1"/>
  <c r="G76" i="49"/>
  <c r="E74" i="49"/>
  <c r="G75" i="49"/>
  <c r="G77" i="49" s="1"/>
  <c r="H75" i="49"/>
  <c r="H76" i="49"/>
  <c r="H77" i="49" s="1"/>
  <c r="H109" i="49" s="1"/>
  <c r="R75" i="49"/>
  <c r="R76" i="49"/>
  <c r="R77" i="49"/>
  <c r="R109" i="49" s="1"/>
  <c r="U76" i="49"/>
  <c r="U75" i="49"/>
  <c r="U77" i="49" s="1"/>
  <c r="U109" i="49" s="1"/>
  <c r="Z75" i="49"/>
  <c r="Z76" i="49"/>
  <c r="Z77" i="49" s="1"/>
  <c r="Z109" i="49" s="1"/>
  <c r="I75" i="49"/>
  <c r="I77" i="49" s="1"/>
  <c r="I109" i="49" s="1"/>
  <c r="I76" i="49"/>
  <c r="O76" i="49"/>
  <c r="O75" i="49"/>
  <c r="O77" i="49" s="1"/>
  <c r="O109" i="49" s="1"/>
  <c r="Y75" i="49"/>
  <c r="Y77" i="49" s="1"/>
  <c r="Y109" i="49" s="1"/>
  <c r="Y76" i="49"/>
  <c r="I120" i="46"/>
  <c r="I131" i="46" s="1"/>
  <c r="I57" i="46"/>
  <c r="I67" i="46"/>
  <c r="J6" i="46"/>
  <c r="H58" i="46"/>
  <c r="H59" i="46"/>
  <c r="H61" i="46"/>
  <c r="H60" i="46"/>
  <c r="H68" i="46"/>
  <c r="H71" i="46"/>
  <c r="H95" i="46"/>
  <c r="H96" i="46"/>
  <c r="H97" i="46"/>
  <c r="H98" i="46"/>
  <c r="H101" i="46"/>
  <c r="G62" i="46"/>
  <c r="Y6" i="44"/>
  <c r="X43" i="44"/>
  <c r="X34" i="44"/>
  <c r="X33" i="44"/>
  <c r="X41" i="44"/>
  <c r="X42" i="44" s="1"/>
  <c r="X40" i="44" s="1"/>
  <c r="G77" i="47"/>
  <c r="G78" i="47"/>
  <c r="G148" i="47" s="1"/>
  <c r="G79" i="47"/>
  <c r="G86" i="47" s="1"/>
  <c r="G87" i="47" s="1"/>
  <c r="G80" i="47"/>
  <c r="G149" i="47" s="1"/>
  <c r="G146" i="47"/>
  <c r="G150" i="47" s="1"/>
  <c r="G156" i="47"/>
  <c r="G157" i="47" s="1"/>
  <c r="H31" i="43" a="1"/>
  <c r="G31" i="43" a="1"/>
  <c r="E299" i="43"/>
  <c r="E301" i="43" s="1"/>
  <c r="E257" i="43"/>
  <c r="E258" i="43" s="1"/>
  <c r="E259" i="43" s="1"/>
  <c r="E260" i="43" s="1"/>
  <c r="E261" i="43" s="1"/>
  <c r="E262" i="43" s="1"/>
  <c r="E263" i="43" s="1"/>
  <c r="E264" i="43" s="1"/>
  <c r="E265" i="43" s="1"/>
  <c r="E266" i="43" s="1"/>
  <c r="E267" i="43" s="1"/>
  <c r="E268" i="43" s="1"/>
  <c r="E269" i="43" s="1"/>
  <c r="E270" i="43" s="1"/>
  <c r="E271" i="43" s="1"/>
  <c r="E272" i="43" s="1"/>
  <c r="E273" i="43" s="1"/>
  <c r="E274" i="43" s="1"/>
  <c r="E275" i="43" s="1"/>
  <c r="E276" i="43" s="1"/>
  <c r="E277" i="43" s="1"/>
  <c r="E278" i="43" s="1"/>
  <c r="E279" i="43" s="1"/>
  <c r="E280" i="43" s="1"/>
  <c r="K59" i="43"/>
  <c r="I34" i="43"/>
  <c r="I33" i="43"/>
  <c r="E332" i="43"/>
  <c r="I31" i="43" a="1"/>
  <c r="G147" i="47"/>
  <c r="G81" i="47"/>
  <c r="T36" i="44"/>
  <c r="N10" i="54"/>
  <c r="G21" i="52"/>
  <c r="F71" i="52"/>
  <c r="E71" i="52"/>
  <c r="L114" i="52"/>
  <c r="L7" i="52"/>
  <c r="L107" i="52"/>
  <c r="L193" i="52"/>
  <c r="J107" i="52"/>
  <c r="K107" i="52"/>
  <c r="I150" i="52"/>
  <c r="J150" i="52"/>
  <c r="K150" i="52"/>
  <c r="J193" i="52"/>
  <c r="K193" i="52"/>
  <c r="D266" i="53"/>
  <c r="F69" i="53"/>
  <c r="F68" i="53" s="1"/>
  <c r="F71" i="53" s="1"/>
  <c r="E69" i="53"/>
  <c r="E68" i="53" s="1"/>
  <c r="E71" i="53" s="1"/>
  <c r="D69" i="53"/>
  <c r="K157" i="53"/>
  <c r="L6" i="53"/>
  <c r="F34" i="53"/>
  <c r="F43" i="53"/>
  <c r="D44" i="53"/>
  <c r="D45" i="53"/>
  <c r="K107" i="53"/>
  <c r="J107" i="53"/>
  <c r="I107" i="53"/>
  <c r="E35" i="53"/>
  <c r="C137" i="53" s="1"/>
  <c r="K150" i="53"/>
  <c r="K153" i="53"/>
  <c r="J153" i="53"/>
  <c r="J150" i="53"/>
  <c r="I153" i="53"/>
  <c r="I150" i="53"/>
  <c r="E43" i="53"/>
  <c r="I193" i="53"/>
  <c r="J193" i="53"/>
  <c r="K193" i="53"/>
  <c r="L193" i="53"/>
  <c r="G250" i="53"/>
  <c r="G234" i="53"/>
  <c r="L117" i="52"/>
  <c r="L121" i="52"/>
  <c r="L150" i="52"/>
  <c r="L153" i="52"/>
  <c r="M6" i="52"/>
  <c r="L157" i="52"/>
  <c r="D44" i="52"/>
  <c r="D45" i="52"/>
  <c r="F34" i="52"/>
  <c r="F43" i="52" s="1"/>
  <c r="F234" i="52"/>
  <c r="F250" i="52"/>
  <c r="E234" i="52"/>
  <c r="E250" i="52"/>
  <c r="D234" i="52"/>
  <c r="G23" i="52"/>
  <c r="D250" i="52"/>
  <c r="D29" i="52"/>
  <c r="G29" i="52" s="1"/>
  <c r="G25" i="52"/>
  <c r="D266" i="52"/>
  <c r="I151" i="52"/>
  <c r="I156" i="52"/>
  <c r="I154" i="52"/>
  <c r="J151" i="52"/>
  <c r="J154" i="52"/>
  <c r="J156" i="52"/>
  <c r="K151" i="52"/>
  <c r="K154" i="52"/>
  <c r="K156" i="52"/>
  <c r="C101" i="52"/>
  <c r="I107" i="52"/>
  <c r="E35" i="52"/>
  <c r="J153" i="52"/>
  <c r="K153" i="52"/>
  <c r="I153" i="52"/>
  <c r="E44" i="52"/>
  <c r="I193" i="52"/>
  <c r="I216" i="53"/>
  <c r="I115" i="53"/>
  <c r="I118" i="53"/>
  <c r="I120" i="53"/>
  <c r="J115" i="53"/>
  <c r="J118" i="53"/>
  <c r="J120" i="53"/>
  <c r="K115" i="53"/>
  <c r="K118" i="53"/>
  <c r="K120" i="53"/>
  <c r="I216" i="52"/>
  <c r="I118" i="52"/>
  <c r="I115" i="52"/>
  <c r="I120" i="52"/>
  <c r="J118" i="52"/>
  <c r="J115" i="52"/>
  <c r="J120" i="52"/>
  <c r="K120" i="52"/>
  <c r="K115" i="52"/>
  <c r="K118" i="52"/>
  <c r="L115" i="52"/>
  <c r="L120" i="52"/>
  <c r="L118" i="52"/>
  <c r="G22" i="53"/>
  <c r="G21" i="53"/>
  <c r="I32" i="43" a="1"/>
  <c r="I29" i="43" a="1"/>
  <c r="H29" i="43" a="1"/>
  <c r="G29" i="43" a="1"/>
  <c r="I30" i="43" a="1"/>
  <c r="H30" i="43" a="1"/>
  <c r="G30" i="43" a="1"/>
  <c r="J32" i="43" a="1"/>
  <c r="H32" i="43" a="1"/>
  <c r="G32" i="43" a="1"/>
  <c r="P93" i="49"/>
  <c r="Z93" i="49"/>
  <c r="L93" i="49"/>
  <c r="M93" i="49"/>
  <c r="N93" i="49"/>
  <c r="O93" i="49"/>
  <c r="Q93" i="49"/>
  <c r="R93" i="49"/>
  <c r="S93" i="49"/>
  <c r="T93" i="49"/>
  <c r="U93" i="49"/>
  <c r="V93" i="49"/>
  <c r="W93" i="49"/>
  <c r="X93" i="49"/>
  <c r="Y93" i="49"/>
  <c r="E331" i="43"/>
  <c r="E188" i="47"/>
  <c r="E52" i="47"/>
  <c r="E53" i="47" s="1"/>
  <c r="I95" i="51"/>
  <c r="I98" i="51"/>
  <c r="K6" i="51"/>
  <c r="J7" i="51"/>
  <c r="J68" i="51"/>
  <c r="J73" i="51"/>
  <c r="J81" i="51"/>
  <c r="J82" i="51" s="1"/>
  <c r="J85" i="51"/>
  <c r="J86" i="51"/>
  <c r="J87" i="51"/>
  <c r="J88" i="51"/>
  <c r="J89" i="51"/>
  <c r="J90" i="51"/>
  <c r="J91" i="51"/>
  <c r="J92" i="51"/>
  <c r="J93" i="51"/>
  <c r="J94" i="51"/>
  <c r="E32" i="51"/>
  <c r="J64" i="51" s="1"/>
  <c r="I65" i="51"/>
  <c r="I64" i="51"/>
  <c r="G196" i="47"/>
  <c r="G197" i="47"/>
  <c r="H197" i="47"/>
  <c r="H196" i="47"/>
  <c r="H198" i="47"/>
  <c r="I196" i="47"/>
  <c r="I197" i="47"/>
  <c r="I198" i="47" s="1"/>
  <c r="J196" i="47"/>
  <c r="J197" i="47"/>
  <c r="J198" i="47"/>
  <c r="K196" i="47"/>
  <c r="K197" i="47"/>
  <c r="K198" i="47"/>
  <c r="L196" i="47"/>
  <c r="L197" i="47"/>
  <c r="L198" i="47" s="1"/>
  <c r="G61" i="47"/>
  <c r="G62" i="47"/>
  <c r="G63" i="47"/>
  <c r="G223" i="47"/>
  <c r="H73" i="47"/>
  <c r="H74" i="47" s="1"/>
  <c r="H75" i="47"/>
  <c r="H59" i="47"/>
  <c r="H60" i="47"/>
  <c r="I73" i="47"/>
  <c r="I74" i="47" s="1"/>
  <c r="I75" i="47"/>
  <c r="I59" i="47"/>
  <c r="I60" i="47"/>
  <c r="J73" i="47"/>
  <c r="J74" i="47" s="1"/>
  <c r="J75" i="47"/>
  <c r="J59" i="47"/>
  <c r="J60" i="47"/>
  <c r="K73" i="47"/>
  <c r="K74" i="47" s="1"/>
  <c r="K75" i="47"/>
  <c r="K59" i="47"/>
  <c r="K60" i="47"/>
  <c r="L73" i="47"/>
  <c r="L74" i="47" s="1"/>
  <c r="L75" i="47"/>
  <c r="L59" i="47"/>
  <c r="L60" i="47"/>
  <c r="M58" i="47"/>
  <c r="M72" i="47"/>
  <c r="N6" i="47"/>
  <c r="M195" i="47"/>
  <c r="I26" i="45"/>
  <c r="I28" i="45" s="1"/>
  <c r="G26" i="45"/>
  <c r="G28" i="45" s="1"/>
  <c r="G31" i="45"/>
  <c r="H26" i="45"/>
  <c r="H28" i="45" s="1"/>
  <c r="H31" i="45" s="1"/>
  <c r="Q36" i="44"/>
  <c r="W36" i="44"/>
  <c r="J27" i="45" a="1"/>
  <c r="J29" i="45" a="1"/>
  <c r="J24" i="45" a="1"/>
  <c r="J25" i="45" a="1"/>
  <c r="G46" i="44"/>
  <c r="G48" i="44"/>
  <c r="G58" i="44"/>
  <c r="G45" i="44"/>
  <c r="G44" i="44" s="1"/>
  <c r="G47" i="44" s="1"/>
  <c r="G49" i="44" s="1"/>
  <c r="J18" i="45"/>
  <c r="J19" i="45" s="1"/>
  <c r="J20" i="45" s="1"/>
  <c r="J35" i="45" s="1"/>
  <c r="K6" i="45"/>
  <c r="K23" i="45" s="1"/>
  <c r="H83" i="43"/>
  <c r="H67" i="43"/>
  <c r="H62" i="43"/>
  <c r="H68" i="43"/>
  <c r="H63" i="43"/>
  <c r="H183" i="43"/>
  <c r="G183" i="43"/>
  <c r="I45" i="43"/>
  <c r="I176" i="43"/>
  <c r="J6" i="43"/>
  <c r="J30" i="43" s="1" a="1"/>
  <c r="G44" i="43"/>
  <c r="G35" i="45"/>
  <c r="G66" i="44"/>
  <c r="H35" i="44"/>
  <c r="H42" i="44"/>
  <c r="H40" i="44" s="1"/>
  <c r="I42" i="44"/>
  <c r="I40" i="44" s="1"/>
  <c r="J42" i="44"/>
  <c r="J40" i="44" s="1"/>
  <c r="K42" i="44"/>
  <c r="K40" i="44" s="1"/>
  <c r="L42" i="44"/>
  <c r="L40" i="44" s="1"/>
  <c r="M42" i="44"/>
  <c r="M40" i="44" s="1"/>
  <c r="N42" i="44"/>
  <c r="N40" i="44" s="1"/>
  <c r="O42" i="44"/>
  <c r="O40" i="44" s="1"/>
  <c r="P42" i="44"/>
  <c r="P40" i="44" s="1"/>
  <c r="Q42" i="44"/>
  <c r="Q40" i="44" s="1"/>
  <c r="R42" i="44"/>
  <c r="R40" i="44" s="1"/>
  <c r="S42" i="44"/>
  <c r="S40" i="44" s="1"/>
  <c r="T42" i="44"/>
  <c r="T40" i="44" s="1"/>
  <c r="U42" i="44"/>
  <c r="U40" i="44" s="1"/>
  <c r="V42" i="44"/>
  <c r="V40" i="44" s="1"/>
  <c r="W42" i="44"/>
  <c r="W40" i="44" s="1"/>
  <c r="V36" i="44"/>
  <c r="J36" i="44"/>
  <c r="K36" i="44"/>
  <c r="L36" i="44"/>
  <c r="N36" i="44"/>
  <c r="O36" i="44"/>
  <c r="U36" i="44"/>
  <c r="I36" i="44"/>
  <c r="M36" i="44"/>
  <c r="G84" i="43"/>
  <c r="G85" i="43"/>
  <c r="G87" i="43"/>
  <c r="G77" i="43" s="1"/>
  <c r="G99" i="43" s="1"/>
  <c r="H109" i="43"/>
  <c r="I48" i="43"/>
  <c r="G69" i="43"/>
  <c r="T66" i="44" l="1"/>
  <c r="T131" i="44"/>
  <c r="Q66" i="44"/>
  <c r="Q131" i="44"/>
  <c r="W66" i="44"/>
  <c r="W131" i="44"/>
  <c r="V66" i="44"/>
  <c r="V131" i="44"/>
  <c r="J66" i="44"/>
  <c r="J131" i="44"/>
  <c r="K66" i="44"/>
  <c r="K131" i="44"/>
  <c r="L66" i="44"/>
  <c r="L131" i="44"/>
  <c r="N66" i="44"/>
  <c r="N131" i="44"/>
  <c r="O66" i="44"/>
  <c r="O131" i="44"/>
  <c r="U66" i="44"/>
  <c r="U131" i="44"/>
  <c r="I66" i="44"/>
  <c r="I131" i="44"/>
  <c r="M66" i="44"/>
  <c r="M131" i="44"/>
  <c r="L194" i="53"/>
  <c r="L158" i="53"/>
  <c r="L122" i="53"/>
  <c r="M194" i="52"/>
  <c r="M158" i="52"/>
  <c r="M122" i="52"/>
  <c r="E41" i="49"/>
  <c r="R92" i="49"/>
  <c r="P92" i="49"/>
  <c r="Y92" i="49"/>
  <c r="Z92" i="49"/>
  <c r="X92" i="49"/>
  <c r="L92" i="49"/>
  <c r="W92" i="49"/>
  <c r="M92" i="49"/>
  <c r="V92" i="49"/>
  <c r="N92" i="49"/>
  <c r="U92" i="49"/>
  <c r="O92" i="49"/>
  <c r="T92" i="49"/>
  <c r="Q92" i="49"/>
  <c r="S92" i="49"/>
  <c r="E77" i="49"/>
  <c r="G109" i="49"/>
  <c r="E109" i="49" s="1"/>
  <c r="E80" i="49" a="1"/>
  <c r="E81" i="49" s="1"/>
  <c r="G198" i="47"/>
  <c r="E76" i="49"/>
  <c r="E75" i="49"/>
  <c r="I90" i="49"/>
  <c r="I92" i="49"/>
  <c r="H90" i="49"/>
  <c r="H92" i="49"/>
  <c r="K90" i="49"/>
  <c r="K92" i="49"/>
  <c r="G90" i="49"/>
  <c r="G92" i="49"/>
  <c r="E92" i="49" s="1"/>
  <c r="J90" i="49"/>
  <c r="J92" i="49"/>
  <c r="I58" i="46"/>
  <c r="I61" i="46"/>
  <c r="I59" i="46"/>
  <c r="I60" i="46"/>
  <c r="I101" i="46"/>
  <c r="I68" i="46"/>
  <c r="I71" i="46"/>
  <c r="I95" i="46"/>
  <c r="I96" i="46"/>
  <c r="I97" i="46"/>
  <c r="I98" i="46"/>
  <c r="J57" i="46"/>
  <c r="J120" i="46"/>
  <c r="J131" i="46" s="1"/>
  <c r="J67" i="46"/>
  <c r="K6" i="46"/>
  <c r="H62" i="46"/>
  <c r="H118" i="46" s="1"/>
  <c r="H129" i="46" s="1"/>
  <c r="H76" i="46"/>
  <c r="H70" i="46"/>
  <c r="G118" i="46"/>
  <c r="Y34" i="44"/>
  <c r="Y35" i="44" s="1"/>
  <c r="Y33" i="44"/>
  <c r="Y41" i="44"/>
  <c r="Y42" i="44" s="1"/>
  <c r="Z6" i="44"/>
  <c r="Y43" i="44"/>
  <c r="X35" i="44"/>
  <c r="X36" i="44"/>
  <c r="I31" i="45"/>
  <c r="I30" i="45" s="1"/>
  <c r="Q59" i="43"/>
  <c r="Z59" i="43"/>
  <c r="Y59" i="43"/>
  <c r="X59" i="43"/>
  <c r="W59" i="43"/>
  <c r="T59" i="43"/>
  <c r="O59" i="43"/>
  <c r="L59" i="43"/>
  <c r="S59" i="43"/>
  <c r="P59" i="43"/>
  <c r="N59" i="43"/>
  <c r="V59" i="43"/>
  <c r="R59" i="43"/>
  <c r="M59" i="43"/>
  <c r="U59" i="43"/>
  <c r="J31" i="43" a="1"/>
  <c r="J29" i="43" a="1"/>
  <c r="J34" i="43"/>
  <c r="J33" i="43"/>
  <c r="G178" i="43"/>
  <c r="G179" i="43" s="1"/>
  <c r="O10" i="54"/>
  <c r="D71" i="52"/>
  <c r="G68" i="52"/>
  <c r="L143" i="52"/>
  <c r="K143" i="52"/>
  <c r="C137" i="52"/>
  <c r="D68" i="53"/>
  <c r="D71" i="53" s="1"/>
  <c r="G69" i="53"/>
  <c r="L7" i="53"/>
  <c r="L121" i="53"/>
  <c r="L114" i="53"/>
  <c r="L117" i="53"/>
  <c r="M6" i="53"/>
  <c r="L157" i="53"/>
  <c r="L107" i="53"/>
  <c r="L153" i="53"/>
  <c r="L150" i="53"/>
  <c r="D46" i="53"/>
  <c r="K102" i="53"/>
  <c r="K103" i="53" s="1"/>
  <c r="L186" i="53"/>
  <c r="L189" i="53"/>
  <c r="K186" i="53"/>
  <c r="K189" i="53"/>
  <c r="J186" i="53"/>
  <c r="J189" i="53"/>
  <c r="I189" i="53"/>
  <c r="I186" i="53"/>
  <c r="F35" i="53"/>
  <c r="F44" i="53" s="1"/>
  <c r="L143" i="53"/>
  <c r="K143" i="53"/>
  <c r="J143" i="53"/>
  <c r="I143" i="53"/>
  <c r="E45" i="53"/>
  <c r="E46" i="53" s="1"/>
  <c r="I138" i="53" s="1"/>
  <c r="J138" i="53"/>
  <c r="J139" i="53" s="1"/>
  <c r="K138" i="53"/>
  <c r="K139" i="53" s="1"/>
  <c r="L138" i="53"/>
  <c r="L139" i="53" s="1"/>
  <c r="M138" i="53"/>
  <c r="M139" i="53" s="1"/>
  <c r="E44" i="53"/>
  <c r="L151" i="53"/>
  <c r="L154" i="53"/>
  <c r="L156" i="53"/>
  <c r="K151" i="53"/>
  <c r="K154" i="53"/>
  <c r="K156" i="53"/>
  <c r="J154" i="53"/>
  <c r="J156" i="53"/>
  <c r="J151" i="53"/>
  <c r="I156" i="53"/>
  <c r="I154" i="53"/>
  <c r="I151" i="53"/>
  <c r="I152" i="53" s="1"/>
  <c r="K126" i="53"/>
  <c r="I126" i="53"/>
  <c r="J126" i="53"/>
  <c r="L154" i="52"/>
  <c r="L151" i="52"/>
  <c r="L156" i="52"/>
  <c r="M143" i="52"/>
  <c r="M193" i="52"/>
  <c r="M7" i="52"/>
  <c r="M186" i="52"/>
  <c r="M107" i="52"/>
  <c r="M189" i="52"/>
  <c r="M114" i="52"/>
  <c r="M157" i="52"/>
  <c r="N6" i="52"/>
  <c r="M117" i="52"/>
  <c r="M121" i="52"/>
  <c r="M150" i="52"/>
  <c r="M153" i="52"/>
  <c r="D46" i="52"/>
  <c r="L189" i="52"/>
  <c r="K189" i="52"/>
  <c r="J189" i="52"/>
  <c r="I186" i="52"/>
  <c r="L186" i="52"/>
  <c r="J186" i="52"/>
  <c r="I189" i="52"/>
  <c r="K186" i="52"/>
  <c r="F35" i="52"/>
  <c r="F44" i="52" s="1"/>
  <c r="G234" i="52"/>
  <c r="G250" i="52"/>
  <c r="G22" i="52"/>
  <c r="L162" i="52"/>
  <c r="K162" i="52"/>
  <c r="J162" i="52"/>
  <c r="I162" i="52"/>
  <c r="I143" i="52"/>
  <c r="J143" i="52"/>
  <c r="E45" i="52"/>
  <c r="I152" i="52"/>
  <c r="I155" i="52"/>
  <c r="J152" i="52"/>
  <c r="J159" i="52" s="1"/>
  <c r="J155" i="52"/>
  <c r="K152" i="52"/>
  <c r="K155" i="52"/>
  <c r="K126" i="52"/>
  <c r="L126" i="52"/>
  <c r="I126" i="52"/>
  <c r="J126" i="52"/>
  <c r="I116" i="53"/>
  <c r="I123" i="53" s="1"/>
  <c r="I119" i="53"/>
  <c r="J116" i="53"/>
  <c r="J123" i="53" s="1"/>
  <c r="J119" i="53"/>
  <c r="K116" i="53"/>
  <c r="K119" i="53"/>
  <c r="I119" i="52"/>
  <c r="I116" i="52"/>
  <c r="I123" i="52" s="1"/>
  <c r="J119" i="52"/>
  <c r="J116" i="52"/>
  <c r="K119" i="52"/>
  <c r="K116" i="52"/>
  <c r="K123" i="52" s="1"/>
  <c r="L116" i="52"/>
  <c r="L119" i="52"/>
  <c r="G91" i="49"/>
  <c r="G94" i="49"/>
  <c r="H91" i="49"/>
  <c r="H94" i="49"/>
  <c r="I91" i="49"/>
  <c r="I94" i="49" s="1"/>
  <c r="J91" i="49"/>
  <c r="J94" i="49"/>
  <c r="K91" i="49"/>
  <c r="K94" i="49"/>
  <c r="H142" i="49"/>
  <c r="C248" i="47"/>
  <c r="E93" i="49"/>
  <c r="I76" i="47"/>
  <c r="J76" i="47"/>
  <c r="L76" i="47"/>
  <c r="E190" i="47"/>
  <c r="J74" i="51"/>
  <c r="J79" i="51" s="1"/>
  <c r="J65" i="51"/>
  <c r="L6" i="51"/>
  <c r="K7" i="51"/>
  <c r="K64" i="51"/>
  <c r="K65" i="51"/>
  <c r="K68" i="51"/>
  <c r="K73" i="51"/>
  <c r="K74" i="51"/>
  <c r="K79" i="51" s="1"/>
  <c r="K81" i="51"/>
  <c r="K82" i="51" s="1"/>
  <c r="K85" i="51"/>
  <c r="K86" i="51"/>
  <c r="K87" i="51"/>
  <c r="K88" i="51"/>
  <c r="K89" i="51"/>
  <c r="K90" i="51"/>
  <c r="K91" i="51"/>
  <c r="K92" i="51"/>
  <c r="K93" i="51"/>
  <c r="K94" i="51"/>
  <c r="J67" i="51"/>
  <c r="J69" i="51"/>
  <c r="J83" i="51"/>
  <c r="J84" i="51"/>
  <c r="E61" i="51"/>
  <c r="I74" i="51"/>
  <c r="I69" i="51"/>
  <c r="I67" i="51"/>
  <c r="I66" i="51"/>
  <c r="J66" i="51" s="1"/>
  <c r="K66" i="51" s="1"/>
  <c r="G199" i="47"/>
  <c r="G88" i="47"/>
  <c r="G158" i="47"/>
  <c r="G159" i="47" s="1"/>
  <c r="G151" i="47"/>
  <c r="G152" i="47" s="1"/>
  <c r="G66" i="47"/>
  <c r="H66" i="47"/>
  <c r="M66" i="47"/>
  <c r="L66" i="47"/>
  <c r="E55" i="47"/>
  <c r="K66" i="47"/>
  <c r="N66" i="47"/>
  <c r="E54" i="47"/>
  <c r="J66" i="47"/>
  <c r="G82" i="47"/>
  <c r="I66" i="47"/>
  <c r="E124" i="47"/>
  <c r="H61" i="47"/>
  <c r="H62" i="47"/>
  <c r="H63" i="47"/>
  <c r="H223" i="47"/>
  <c r="I61" i="47"/>
  <c r="I62" i="47"/>
  <c r="I63" i="47"/>
  <c r="I223" i="47"/>
  <c r="J61" i="47"/>
  <c r="J62" i="47"/>
  <c r="J63" i="47"/>
  <c r="J223" i="47"/>
  <c r="K61" i="47"/>
  <c r="K62" i="47"/>
  <c r="K63" i="47"/>
  <c r="K223" i="47"/>
  <c r="L61" i="47"/>
  <c r="L62" i="47"/>
  <c r="L63" i="47"/>
  <c r="L223" i="47"/>
  <c r="M59" i="47"/>
  <c r="M60" i="47"/>
  <c r="M73" i="47"/>
  <c r="M74" i="47" s="1"/>
  <c r="M75" i="47"/>
  <c r="N195" i="47"/>
  <c r="N58" i="47"/>
  <c r="N72" i="47"/>
  <c r="O6" i="47"/>
  <c r="O66" i="47" s="1"/>
  <c r="M197" i="47"/>
  <c r="M196" i="47"/>
  <c r="M198" i="47" s="1"/>
  <c r="H76" i="47"/>
  <c r="K76" i="47"/>
  <c r="H61" i="43"/>
  <c r="H64" i="43" s="1"/>
  <c r="H66" i="43" s="1"/>
  <c r="H69" i="43" s="1"/>
  <c r="G34" i="45"/>
  <c r="G36" i="45" s="1"/>
  <c r="G30" i="45"/>
  <c r="H34" i="45"/>
  <c r="H30" i="45"/>
  <c r="J26" i="45"/>
  <c r="J28" i="45" s="1"/>
  <c r="J31" i="45" s="1"/>
  <c r="J30" i="45" s="1"/>
  <c r="G59" i="44"/>
  <c r="G60" i="44"/>
  <c r="G61" i="44"/>
  <c r="G54" i="44" s="1"/>
  <c r="K27" i="45" a="1"/>
  <c r="K29" i="45" a="1"/>
  <c r="K24" i="45" a="1"/>
  <c r="K25" i="45" a="1"/>
  <c r="K18" i="45"/>
  <c r="K19" i="45" s="1"/>
  <c r="K20" i="45" s="1"/>
  <c r="K35" i="45" s="1"/>
  <c r="L6" i="45"/>
  <c r="L23" i="45" s="1"/>
  <c r="H84" i="43"/>
  <c r="H87" i="43"/>
  <c r="H77" i="43" s="1"/>
  <c r="H99" i="43" s="1"/>
  <c r="H85" i="43"/>
  <c r="I183" i="43"/>
  <c r="G46" i="43"/>
  <c r="G53" i="43" s="1"/>
  <c r="G73" i="43"/>
  <c r="G100" i="43" s="1"/>
  <c r="K6" i="43"/>
  <c r="J176" i="43"/>
  <c r="H45" i="44"/>
  <c r="H46" i="44"/>
  <c r="H48" i="44"/>
  <c r="H58" i="44"/>
  <c r="I58" i="44"/>
  <c r="I46" i="44"/>
  <c r="I48" i="44"/>
  <c r="I45" i="44"/>
  <c r="I44" i="44" s="1"/>
  <c r="I47" i="44" s="1"/>
  <c r="I49" i="44" s="1"/>
  <c r="J45" i="44"/>
  <c r="J46" i="44"/>
  <c r="J48" i="44"/>
  <c r="J58" i="44"/>
  <c r="K45" i="44"/>
  <c r="K46" i="44"/>
  <c r="K58" i="44"/>
  <c r="K48" i="44"/>
  <c r="L46" i="44"/>
  <c r="L45" i="44"/>
  <c r="L44" i="44" s="1"/>
  <c r="L47" i="44" s="1"/>
  <c r="L58" i="44"/>
  <c r="L48" i="44"/>
  <c r="M58" i="44"/>
  <c r="M45" i="44"/>
  <c r="M46" i="44"/>
  <c r="M48" i="44"/>
  <c r="N46" i="44"/>
  <c r="N45" i="44"/>
  <c r="N44" i="44" s="1"/>
  <c r="N47" i="44" s="1"/>
  <c r="N48" i="44"/>
  <c r="N58" i="44"/>
  <c r="O58" i="44"/>
  <c r="O48" i="44"/>
  <c r="O46" i="44"/>
  <c r="O45" i="44"/>
  <c r="O44" i="44" s="1"/>
  <c r="O47" i="44" s="1"/>
  <c r="P45" i="44"/>
  <c r="P48" i="44"/>
  <c r="P58" i="44"/>
  <c r="P46" i="44"/>
  <c r="Q46" i="44"/>
  <c r="Q48" i="44"/>
  <c r="Q58" i="44"/>
  <c r="Q45" i="44"/>
  <c r="Q44" i="44" s="1"/>
  <c r="Q47" i="44" s="1"/>
  <c r="Q49" i="44" s="1"/>
  <c r="R45" i="44"/>
  <c r="R58" i="44"/>
  <c r="R48" i="44"/>
  <c r="R46" i="44"/>
  <c r="S45" i="44"/>
  <c r="S48" i="44"/>
  <c r="S46" i="44"/>
  <c r="S58" i="44"/>
  <c r="T45" i="44"/>
  <c r="T46" i="44"/>
  <c r="T48" i="44"/>
  <c r="T58" i="44"/>
  <c r="U45" i="44"/>
  <c r="U46" i="44"/>
  <c r="U48" i="44"/>
  <c r="U58" i="44"/>
  <c r="V58" i="44"/>
  <c r="V48" i="44"/>
  <c r="V45" i="44"/>
  <c r="V46" i="44"/>
  <c r="W45" i="44"/>
  <c r="W46" i="44"/>
  <c r="W48" i="44"/>
  <c r="W58" i="44"/>
  <c r="X58" i="44"/>
  <c r="X48" i="44"/>
  <c r="X45" i="44"/>
  <c r="X46" i="44"/>
  <c r="G64" i="44"/>
  <c r="G52" i="44"/>
  <c r="G50" i="44"/>
  <c r="H36" i="44"/>
  <c r="I109" i="43"/>
  <c r="J48" i="43"/>
  <c r="G72" i="43"/>
  <c r="G70" i="43"/>
  <c r="G86" i="43"/>
  <c r="G76" i="43" s="1"/>
  <c r="X66" i="44" l="1"/>
  <c r="X131" i="44"/>
  <c r="H131" i="44"/>
  <c r="K123" i="53"/>
  <c r="M189" i="53"/>
  <c r="M186" i="53"/>
  <c r="M143" i="53"/>
  <c r="L102" i="53"/>
  <c r="L103" i="53" s="1"/>
  <c r="J102" i="53"/>
  <c r="J103" i="53" s="1"/>
  <c r="I102" i="53"/>
  <c r="I103" i="53" s="1"/>
  <c r="L108" i="53"/>
  <c r="K108" i="53"/>
  <c r="J108" i="53"/>
  <c r="I108" i="53"/>
  <c r="D76" i="53"/>
  <c r="K104" i="53"/>
  <c r="K105" i="53"/>
  <c r="K110" i="53"/>
  <c r="M194" i="53"/>
  <c r="M158" i="53"/>
  <c r="M122" i="53"/>
  <c r="I159" i="52"/>
  <c r="K159" i="52"/>
  <c r="J123" i="52"/>
  <c r="L123" i="52"/>
  <c r="N194" i="52"/>
  <c r="N122" i="52"/>
  <c r="N158" i="52"/>
  <c r="E49" i="49"/>
  <c r="Z90" i="49"/>
  <c r="Z91" i="49" s="1"/>
  <c r="Z94" i="49" s="1"/>
  <c r="Z95" i="49" s="1"/>
  <c r="Y90" i="49"/>
  <c r="Y91" i="49" s="1"/>
  <c r="Y94" i="49" s="1"/>
  <c r="Y95" i="49" s="1"/>
  <c r="L90" i="49"/>
  <c r="X90" i="49"/>
  <c r="M90" i="49"/>
  <c r="W90" i="49"/>
  <c r="N90" i="49"/>
  <c r="V90" i="49"/>
  <c r="V91" i="49" s="1"/>
  <c r="V94" i="49" s="1"/>
  <c r="V95" i="49" s="1"/>
  <c r="O90" i="49"/>
  <c r="U90" i="49"/>
  <c r="Q90" i="49"/>
  <c r="Q91" i="49" s="1"/>
  <c r="Q94" i="49" s="1"/>
  <c r="Q95" i="49" s="1"/>
  <c r="T90" i="49"/>
  <c r="R90" i="49"/>
  <c r="S90" i="49"/>
  <c r="S91" i="49" s="1"/>
  <c r="S94" i="49" s="1"/>
  <c r="S95" i="49" s="1"/>
  <c r="P90" i="49"/>
  <c r="G138" i="49"/>
  <c r="E83" i="49"/>
  <c r="G139" i="49" s="1"/>
  <c r="E99" i="49"/>
  <c r="Y106" i="49"/>
  <c r="T106" i="49"/>
  <c r="M106" i="49"/>
  <c r="E82" i="49"/>
  <c r="W106" i="49"/>
  <c r="Q106" i="49"/>
  <c r="L106" i="49"/>
  <c r="H106" i="49"/>
  <c r="N106" i="49"/>
  <c r="I106" i="49"/>
  <c r="U106" i="49"/>
  <c r="G140" i="49"/>
  <c r="Z106" i="49"/>
  <c r="X106" i="49"/>
  <c r="V106" i="49"/>
  <c r="R106" i="49"/>
  <c r="O106" i="49"/>
  <c r="K106" i="49"/>
  <c r="G106" i="49"/>
  <c r="E84" i="49"/>
  <c r="S106" i="49"/>
  <c r="P106" i="49"/>
  <c r="J106" i="49"/>
  <c r="I70" i="46"/>
  <c r="I76" i="46"/>
  <c r="J59" i="46"/>
  <c r="J61" i="46"/>
  <c r="J60" i="46"/>
  <c r="J58" i="46"/>
  <c r="J68" i="46"/>
  <c r="J101" i="46"/>
  <c r="J71" i="46"/>
  <c r="K57" i="46"/>
  <c r="K67" i="46"/>
  <c r="L6" i="46"/>
  <c r="G121" i="46"/>
  <c r="H117" i="46" s="1"/>
  <c r="G129" i="46"/>
  <c r="G119" i="46"/>
  <c r="I62" i="46"/>
  <c r="Z34" i="44"/>
  <c r="Z41" i="44"/>
  <c r="Z42" i="44" s="1"/>
  <c r="Z33" i="44"/>
  <c r="Z43" i="44"/>
  <c r="Y36" i="44"/>
  <c r="Y40" i="44"/>
  <c r="K34" i="43"/>
  <c r="K33" i="43"/>
  <c r="G71" i="52"/>
  <c r="G71" i="53"/>
  <c r="G53" i="44"/>
  <c r="P10" i="54"/>
  <c r="E46" i="52"/>
  <c r="N144" i="52" s="1"/>
  <c r="L138" i="52"/>
  <c r="L139" i="52" s="1"/>
  <c r="J138" i="52"/>
  <c r="J139" i="52" s="1"/>
  <c r="K138" i="52"/>
  <c r="K139" i="52" s="1"/>
  <c r="I138" i="52"/>
  <c r="I139" i="52" s="1"/>
  <c r="L120" i="53"/>
  <c r="L115" i="53"/>
  <c r="L118" i="53"/>
  <c r="M193" i="53"/>
  <c r="M153" i="53"/>
  <c r="M102" i="53"/>
  <c r="M103" i="53" s="1"/>
  <c r="M117" i="53"/>
  <c r="M114" i="53"/>
  <c r="M107" i="53"/>
  <c r="M121" i="53"/>
  <c r="M7" i="53"/>
  <c r="M150" i="53"/>
  <c r="M108" i="53"/>
  <c r="M157" i="53"/>
  <c r="N6" i="53"/>
  <c r="L192" i="53"/>
  <c r="L190" i="53"/>
  <c r="L187" i="53"/>
  <c r="K192" i="53"/>
  <c r="K190" i="53"/>
  <c r="K187" i="53"/>
  <c r="J192" i="53"/>
  <c r="J190" i="53"/>
  <c r="J187" i="53"/>
  <c r="I192" i="53"/>
  <c r="I190" i="53"/>
  <c r="I187" i="53"/>
  <c r="C173" i="53"/>
  <c r="N179" i="53"/>
  <c r="M179" i="53"/>
  <c r="L179" i="53"/>
  <c r="K179" i="53"/>
  <c r="J179" i="53"/>
  <c r="I179" i="53"/>
  <c r="F45" i="53"/>
  <c r="J144" i="53"/>
  <c r="I144" i="53"/>
  <c r="M144" i="53"/>
  <c r="L144" i="53"/>
  <c r="K144" i="53"/>
  <c r="E76" i="53"/>
  <c r="I139" i="53"/>
  <c r="J141" i="53"/>
  <c r="J140" i="53"/>
  <c r="J146" i="53"/>
  <c r="K141" i="53"/>
  <c r="K140" i="53"/>
  <c r="K146" i="53"/>
  <c r="L146" i="53"/>
  <c r="L140" i="53"/>
  <c r="L141" i="53"/>
  <c r="M146" i="53"/>
  <c r="M141" i="53"/>
  <c r="M140" i="53"/>
  <c r="I162" i="53"/>
  <c r="J162" i="53"/>
  <c r="K162" i="53"/>
  <c r="L162" i="53"/>
  <c r="L155" i="53"/>
  <c r="L152" i="53"/>
  <c r="L159" i="53" s="1"/>
  <c r="K155" i="53"/>
  <c r="K152" i="53"/>
  <c r="K159" i="53" s="1"/>
  <c r="J155" i="53"/>
  <c r="J152" i="53"/>
  <c r="J159" i="53" s="1"/>
  <c r="I155" i="53"/>
  <c r="I159" i="53" s="1"/>
  <c r="L155" i="52"/>
  <c r="L152" i="52"/>
  <c r="L159" i="52" s="1"/>
  <c r="M192" i="52"/>
  <c r="M190" i="52"/>
  <c r="M187" i="52"/>
  <c r="M120" i="52"/>
  <c r="M118" i="52"/>
  <c r="M115" i="52"/>
  <c r="N189" i="52"/>
  <c r="N7" i="52"/>
  <c r="N108" i="52"/>
  <c r="N102" i="52"/>
  <c r="N103" i="52" s="1"/>
  <c r="N104" i="52" s="1"/>
  <c r="N186" i="52"/>
  <c r="N179" i="52"/>
  <c r="N114" i="52"/>
  <c r="N107" i="52"/>
  <c r="N193" i="52"/>
  <c r="N143" i="52"/>
  <c r="O6" i="52"/>
  <c r="N117" i="52"/>
  <c r="N121" i="52"/>
  <c r="N138" i="52"/>
  <c r="N150" i="52"/>
  <c r="N153" i="52"/>
  <c r="N157" i="52"/>
  <c r="M156" i="52"/>
  <c r="M151" i="52"/>
  <c r="M154" i="52"/>
  <c r="I102" i="52"/>
  <c r="J108" i="52"/>
  <c r="K108" i="52"/>
  <c r="I108" i="52"/>
  <c r="L108" i="52"/>
  <c r="D76" i="52"/>
  <c r="N131" i="52" s="1"/>
  <c r="I192" i="52"/>
  <c r="I190" i="52"/>
  <c r="I187" i="52"/>
  <c r="L192" i="52"/>
  <c r="L190" i="52"/>
  <c r="L187" i="52"/>
  <c r="J192" i="52"/>
  <c r="J190" i="52"/>
  <c r="J187" i="52"/>
  <c r="K192" i="52"/>
  <c r="K190" i="52"/>
  <c r="K187" i="52"/>
  <c r="C173" i="52"/>
  <c r="K179" i="52"/>
  <c r="I179" i="52"/>
  <c r="J179" i="52"/>
  <c r="L179" i="52"/>
  <c r="F45" i="52"/>
  <c r="I144" i="52"/>
  <c r="E76" i="52"/>
  <c r="I140" i="52"/>
  <c r="I146" i="52"/>
  <c r="I141" i="52"/>
  <c r="M102" i="52"/>
  <c r="M103" i="52" s="1"/>
  <c r="M108" i="52"/>
  <c r="L102" i="52"/>
  <c r="L103" i="52" s="1"/>
  <c r="J102" i="52"/>
  <c r="J103" i="52" s="1"/>
  <c r="K102" i="52"/>
  <c r="K103" i="52" s="1"/>
  <c r="M179" i="52"/>
  <c r="H191" i="49"/>
  <c r="G266" i="47"/>
  <c r="I79" i="47"/>
  <c r="I86" i="47" s="1"/>
  <c r="I87" i="47" s="1"/>
  <c r="I78" i="47"/>
  <c r="I148" i="47" s="1"/>
  <c r="I80" i="47"/>
  <c r="I149" i="47" s="1"/>
  <c r="I156" i="47"/>
  <c r="I157" i="47" s="1"/>
  <c r="I159" i="47" s="1"/>
  <c r="I146" i="47"/>
  <c r="I150" i="47" s="1"/>
  <c r="I77" i="47"/>
  <c r="J146" i="47"/>
  <c r="J150" i="47" s="1"/>
  <c r="J79" i="47"/>
  <c r="J86" i="47" s="1"/>
  <c r="J87" i="47" s="1"/>
  <c r="J78" i="47"/>
  <c r="J148" i="47" s="1"/>
  <c r="J80" i="47"/>
  <c r="J149" i="47" s="1"/>
  <c r="J77" i="47"/>
  <c r="J156" i="47"/>
  <c r="J157" i="47" s="1"/>
  <c r="L77" i="47"/>
  <c r="L78" i="47"/>
  <c r="L148" i="47" s="1"/>
  <c r="L79" i="47"/>
  <c r="L86" i="47" s="1"/>
  <c r="L87" i="47" s="1"/>
  <c r="L80" i="47"/>
  <c r="L149" i="47" s="1"/>
  <c r="L146" i="47"/>
  <c r="L150" i="47" s="1"/>
  <c r="L156" i="47"/>
  <c r="L157" i="47" s="1"/>
  <c r="K31" i="43" a="1"/>
  <c r="K29" i="43" a="1"/>
  <c r="K30" i="43" a="1"/>
  <c r="K32" i="43" a="1"/>
  <c r="M6" i="51"/>
  <c r="L7" i="51"/>
  <c r="L65" i="51"/>
  <c r="L68" i="51"/>
  <c r="L73" i="51"/>
  <c r="L74" i="51"/>
  <c r="L64" i="51"/>
  <c r="L81" i="51"/>
  <c r="L82" i="51" s="1"/>
  <c r="L85" i="51"/>
  <c r="L86" i="51"/>
  <c r="L87" i="51"/>
  <c r="L88" i="51"/>
  <c r="L89" i="51"/>
  <c r="L90" i="51"/>
  <c r="L91" i="51"/>
  <c r="L92" i="51"/>
  <c r="L93" i="51"/>
  <c r="L94" i="51"/>
  <c r="L103" i="51"/>
  <c r="K67" i="51"/>
  <c r="K69" i="51"/>
  <c r="K83" i="51"/>
  <c r="K84" i="51"/>
  <c r="J70" i="51"/>
  <c r="J71" i="51"/>
  <c r="J76" i="51"/>
  <c r="J98" i="51"/>
  <c r="K98" i="51"/>
  <c r="K99" i="51" s="1"/>
  <c r="J95" i="51"/>
  <c r="J99" i="51"/>
  <c r="J103" i="51"/>
  <c r="I99" i="51"/>
  <c r="I101" i="51" s="1"/>
  <c r="I103" i="51"/>
  <c r="I79" i="51"/>
  <c r="I70" i="51"/>
  <c r="I71" i="51"/>
  <c r="I76" i="51"/>
  <c r="K103" i="51"/>
  <c r="H199" i="47"/>
  <c r="G160" i="47"/>
  <c r="G153" i="47"/>
  <c r="G68" i="47"/>
  <c r="G67" i="47"/>
  <c r="G69" i="47" s="1"/>
  <c r="H68" i="47"/>
  <c r="H67" i="47"/>
  <c r="H69" i="47" s="1"/>
  <c r="H85" i="47" s="1"/>
  <c r="M68" i="47"/>
  <c r="M67" i="47"/>
  <c r="M69" i="47" s="1"/>
  <c r="M85" i="47" s="1"/>
  <c r="L68" i="47"/>
  <c r="L67" i="47"/>
  <c r="L69" i="47" s="1"/>
  <c r="L85" i="47" s="1"/>
  <c r="K68" i="47"/>
  <c r="K67" i="47"/>
  <c r="K69" i="47" s="1"/>
  <c r="K85" i="47" s="1"/>
  <c r="N68" i="47"/>
  <c r="N67" i="47"/>
  <c r="N69" i="47" s="1"/>
  <c r="N85" i="47" s="1"/>
  <c r="J68" i="47"/>
  <c r="J67" i="47"/>
  <c r="J69" i="47" s="1"/>
  <c r="J85" i="47" s="1"/>
  <c r="I68" i="47"/>
  <c r="I67" i="47"/>
  <c r="I69" i="47" s="1"/>
  <c r="I85" i="47" s="1"/>
  <c r="O68" i="47"/>
  <c r="O67" i="47"/>
  <c r="H88" i="47"/>
  <c r="H151" i="47"/>
  <c r="H158" i="47"/>
  <c r="I88" i="47"/>
  <c r="I158" i="47"/>
  <c r="I151" i="47"/>
  <c r="J88" i="47"/>
  <c r="J158" i="47"/>
  <c r="J151" i="47"/>
  <c r="K88" i="47"/>
  <c r="K151" i="47"/>
  <c r="K158" i="47"/>
  <c r="L88" i="47"/>
  <c r="L151" i="47"/>
  <c r="L158" i="47"/>
  <c r="M61" i="47"/>
  <c r="M62" i="47"/>
  <c r="M63" i="47"/>
  <c r="M223" i="47"/>
  <c r="N197" i="47"/>
  <c r="N196" i="47"/>
  <c r="N198" i="47" s="1"/>
  <c r="N59" i="47"/>
  <c r="N60" i="47"/>
  <c r="N73" i="47"/>
  <c r="N74" i="47" s="1"/>
  <c r="N75" i="47"/>
  <c r="O195" i="47"/>
  <c r="O58" i="47"/>
  <c r="O72" i="47"/>
  <c r="P6" i="47"/>
  <c r="H156" i="47"/>
  <c r="H146" i="47"/>
  <c r="H80" i="47"/>
  <c r="H79" i="47"/>
  <c r="H78" i="47"/>
  <c r="H77" i="47"/>
  <c r="H81" i="47" s="1"/>
  <c r="K156" i="47"/>
  <c r="K146" i="47"/>
  <c r="K80" i="47"/>
  <c r="K149" i="47" s="1"/>
  <c r="K79" i="47"/>
  <c r="K86" i="47" s="1"/>
  <c r="K87" i="47" s="1"/>
  <c r="K78" i="47"/>
  <c r="K148" i="47" s="1"/>
  <c r="K77" i="47"/>
  <c r="M76" i="47"/>
  <c r="H86" i="43"/>
  <c r="H76" i="43" s="1"/>
  <c r="H178" i="43"/>
  <c r="H179" i="43" s="1"/>
  <c r="H72" i="43"/>
  <c r="H70" i="43"/>
  <c r="K26" i="45"/>
  <c r="K28" i="45" s="1"/>
  <c r="K31" i="45" s="1"/>
  <c r="K30" i="45" s="1"/>
  <c r="N49" i="44"/>
  <c r="G37" i="45"/>
  <c r="G42" i="45"/>
  <c r="G43" i="45" s="1"/>
  <c r="G40" i="45"/>
  <c r="L29" i="45" a="1"/>
  <c r="L24" i="45" a="1"/>
  <c r="L25" i="45" a="1"/>
  <c r="L27" i="45" a="1"/>
  <c r="L18" i="45"/>
  <c r="L19" i="45" s="1"/>
  <c r="L20" i="45" s="1"/>
  <c r="L35" i="45" s="1"/>
  <c r="M6" i="45"/>
  <c r="M23" i="45" s="1"/>
  <c r="J183" i="43"/>
  <c r="G75" i="43"/>
  <c r="L6" i="43"/>
  <c r="K176" i="43"/>
  <c r="O49" i="44"/>
  <c r="T44" i="44"/>
  <c r="T47" i="44" s="1"/>
  <c r="T49" i="44" s="1"/>
  <c r="S44" i="44"/>
  <c r="S47" i="44" s="1"/>
  <c r="S49" i="44" s="1"/>
  <c r="H59" i="44"/>
  <c r="H60" i="44"/>
  <c r="H61" i="44"/>
  <c r="H54" i="44" s="1"/>
  <c r="I50" i="44"/>
  <c r="I64" i="44"/>
  <c r="I59" i="44"/>
  <c r="I60" i="44"/>
  <c r="I61" i="44"/>
  <c r="I54" i="44" s="1"/>
  <c r="J59" i="44"/>
  <c r="J60" i="44"/>
  <c r="J61" i="44"/>
  <c r="J54" i="44" s="1"/>
  <c r="K59" i="44"/>
  <c r="K60" i="44"/>
  <c r="K61" i="44"/>
  <c r="K54" i="44" s="1"/>
  <c r="L59" i="44"/>
  <c r="L60" i="44"/>
  <c r="L61" i="44"/>
  <c r="L54" i="44" s="1"/>
  <c r="M59" i="44"/>
  <c r="M60" i="44"/>
  <c r="M61" i="44"/>
  <c r="M54" i="44" s="1"/>
  <c r="N59" i="44"/>
  <c r="N60" i="44"/>
  <c r="N61" i="44"/>
  <c r="N54" i="44" s="1"/>
  <c r="O59" i="44"/>
  <c r="O60" i="44"/>
  <c r="O61" i="44"/>
  <c r="O54" i="44" s="1"/>
  <c r="O50" i="44"/>
  <c r="O64" i="44"/>
  <c r="P59" i="44"/>
  <c r="P60" i="44"/>
  <c r="P61" i="44"/>
  <c r="P54" i="44" s="1"/>
  <c r="Q59" i="44"/>
  <c r="Q60" i="44"/>
  <c r="Q61" i="44"/>
  <c r="Q54" i="44" s="1"/>
  <c r="Q50" i="44"/>
  <c r="Q64" i="44"/>
  <c r="R59" i="44"/>
  <c r="R60" i="44"/>
  <c r="R61" i="44"/>
  <c r="R54" i="44" s="1"/>
  <c r="S59" i="44"/>
  <c r="S60" i="44"/>
  <c r="S61" i="44"/>
  <c r="S54" i="44" s="1"/>
  <c r="T59" i="44"/>
  <c r="T60" i="44"/>
  <c r="T61" i="44"/>
  <c r="T54" i="44" s="1"/>
  <c r="U59" i="44"/>
  <c r="U60" i="44"/>
  <c r="U61" i="44"/>
  <c r="U54" i="44" s="1"/>
  <c r="V59" i="44"/>
  <c r="V60" i="44"/>
  <c r="V61" i="44"/>
  <c r="V54" i="44" s="1"/>
  <c r="W59" i="44"/>
  <c r="W60" i="44"/>
  <c r="W61" i="44"/>
  <c r="W54" i="44" s="1"/>
  <c r="X59" i="44"/>
  <c r="X60" i="44"/>
  <c r="X61" i="44"/>
  <c r="X54" i="44" s="1"/>
  <c r="H66" i="44"/>
  <c r="H44" i="44"/>
  <c r="H47" i="44" s="1"/>
  <c r="H49" i="44" s="1"/>
  <c r="J44" i="44"/>
  <c r="J47" i="44" s="1"/>
  <c r="J49" i="44" s="1"/>
  <c r="K44" i="44"/>
  <c r="K47" i="44" s="1"/>
  <c r="K49" i="44" s="1"/>
  <c r="L49" i="44"/>
  <c r="M44" i="44"/>
  <c r="M47" i="44" s="1"/>
  <c r="M49" i="44" s="1"/>
  <c r="P44" i="44"/>
  <c r="P47" i="44" s="1"/>
  <c r="P49" i="44" s="1"/>
  <c r="R44" i="44"/>
  <c r="R47" i="44" s="1"/>
  <c r="R49" i="44" s="1"/>
  <c r="U44" i="44"/>
  <c r="U47" i="44" s="1"/>
  <c r="U49" i="44" s="1"/>
  <c r="V44" i="44"/>
  <c r="V47" i="44" s="1"/>
  <c r="V49" i="44" s="1"/>
  <c r="W44" i="44"/>
  <c r="W47" i="44" s="1"/>
  <c r="W49" i="44" s="1"/>
  <c r="X44" i="44"/>
  <c r="X47" i="44" s="1"/>
  <c r="X49" i="44" s="1"/>
  <c r="J109" i="43"/>
  <c r="K48" i="43"/>
  <c r="G111" i="43"/>
  <c r="G98" i="43"/>
  <c r="G54" i="43"/>
  <c r="G108" i="43"/>
  <c r="G123" i="43" s="1"/>
  <c r="Y131" i="44" l="1"/>
  <c r="M192" i="53"/>
  <c r="M190" i="53"/>
  <c r="M187" i="53"/>
  <c r="L104" i="53"/>
  <c r="L105" i="53"/>
  <c r="L110" i="53"/>
  <c r="J104" i="53"/>
  <c r="J110" i="53"/>
  <c r="J105" i="53"/>
  <c r="I105" i="53"/>
  <c r="I104" i="53"/>
  <c r="I110" i="53"/>
  <c r="J127" i="53"/>
  <c r="J129" i="53" s="1"/>
  <c r="J132" i="53" s="1"/>
  <c r="K128" i="53" s="1"/>
  <c r="K127" i="53"/>
  <c r="K129" i="53" s="1"/>
  <c r="I127" i="53"/>
  <c r="I129" i="53" s="1"/>
  <c r="I131" i="53"/>
  <c r="I132" i="53" s="1"/>
  <c r="J128" i="53" s="1"/>
  <c r="J130" i="53" s="1"/>
  <c r="K131" i="53"/>
  <c r="L131" i="53"/>
  <c r="J131" i="53"/>
  <c r="M131" i="53"/>
  <c r="N131" i="53"/>
  <c r="N194" i="53"/>
  <c r="N158" i="53"/>
  <c r="N122" i="53"/>
  <c r="O194" i="52"/>
  <c r="O122" i="52"/>
  <c r="O158" i="52"/>
  <c r="E100" i="49"/>
  <c r="E50" i="49"/>
  <c r="C181" i="49" s="1"/>
  <c r="L91" i="49"/>
  <c r="E90" i="49"/>
  <c r="X91" i="49"/>
  <c r="X94" i="49" s="1"/>
  <c r="X95" i="49" s="1"/>
  <c r="M91" i="49"/>
  <c r="M94" i="49" s="1"/>
  <c r="M95" i="49" s="1"/>
  <c r="W91" i="49"/>
  <c r="W94" i="49" s="1"/>
  <c r="W95" i="49" s="1"/>
  <c r="N91" i="49"/>
  <c r="N94" i="49" s="1"/>
  <c r="N95" i="49" s="1"/>
  <c r="O91" i="49"/>
  <c r="O94" i="49" s="1"/>
  <c r="O95" i="49" s="1"/>
  <c r="U91" i="49"/>
  <c r="U94" i="49" s="1"/>
  <c r="U95" i="49" s="1"/>
  <c r="T91" i="49"/>
  <c r="T94" i="49" s="1"/>
  <c r="T95" i="49" s="1"/>
  <c r="R91" i="49"/>
  <c r="R94" i="49" s="1"/>
  <c r="R95" i="49" s="1"/>
  <c r="P91" i="49"/>
  <c r="P94" i="49" s="1"/>
  <c r="P95" i="49" s="1"/>
  <c r="G187" i="49"/>
  <c r="H263" i="47"/>
  <c r="G188" i="49"/>
  <c r="Y107" i="49"/>
  <c r="Y108" i="49"/>
  <c r="Y110" i="49"/>
  <c r="Y115" i="49" s="1"/>
  <c r="T108" i="49"/>
  <c r="T107" i="49"/>
  <c r="T110" i="49" s="1"/>
  <c r="T115" i="49" s="1"/>
  <c r="M107" i="49"/>
  <c r="M108" i="49"/>
  <c r="M110" i="49" s="1"/>
  <c r="M115" i="49" s="1"/>
  <c r="W107" i="49"/>
  <c r="W108" i="49"/>
  <c r="W110" i="49"/>
  <c r="W115" i="49" s="1"/>
  <c r="Q107" i="49"/>
  <c r="Q108" i="49"/>
  <c r="Q110" i="49"/>
  <c r="Q115" i="49" s="1"/>
  <c r="L107" i="49"/>
  <c r="L108" i="49"/>
  <c r="L110" i="49"/>
  <c r="L115" i="49" s="1"/>
  <c r="H108" i="49"/>
  <c r="H107" i="49"/>
  <c r="H110" i="49" s="1"/>
  <c r="N108" i="49"/>
  <c r="N107" i="49"/>
  <c r="N110" i="49" s="1"/>
  <c r="N115" i="49" s="1"/>
  <c r="I107" i="49"/>
  <c r="I110" i="49" s="1"/>
  <c r="I115" i="49" s="1"/>
  <c r="I108" i="49"/>
  <c r="U108" i="49"/>
  <c r="U107" i="49"/>
  <c r="U110" i="49" s="1"/>
  <c r="U115" i="49" s="1"/>
  <c r="G189" i="49"/>
  <c r="H264" i="47"/>
  <c r="Z107" i="49"/>
  <c r="Z108" i="49"/>
  <c r="Z110" i="49"/>
  <c r="Z115" i="49" s="1"/>
  <c r="X108" i="49"/>
  <c r="X107" i="49"/>
  <c r="X110" i="49" s="1"/>
  <c r="X115" i="49" s="1"/>
  <c r="V108" i="49"/>
  <c r="V107" i="49"/>
  <c r="V110" i="49"/>
  <c r="V115" i="49" s="1"/>
  <c r="R107" i="49"/>
  <c r="R108" i="49"/>
  <c r="R110" i="49"/>
  <c r="R115" i="49" s="1"/>
  <c r="O108" i="49"/>
  <c r="O107" i="49"/>
  <c r="O110" i="49"/>
  <c r="O115" i="49" s="1"/>
  <c r="K107" i="49"/>
  <c r="K108" i="49"/>
  <c r="K110" i="49"/>
  <c r="K115" i="49" s="1"/>
  <c r="G107" i="49"/>
  <c r="E106" i="49"/>
  <c r="G108" i="49"/>
  <c r="G110" i="49"/>
  <c r="S108" i="49"/>
  <c r="S107" i="49"/>
  <c r="S110" i="49"/>
  <c r="S115" i="49" s="1"/>
  <c r="P107" i="49"/>
  <c r="P108" i="49"/>
  <c r="J107" i="49"/>
  <c r="J108" i="49"/>
  <c r="J110" i="49" s="1"/>
  <c r="J115" i="49" s="1"/>
  <c r="J62" i="46"/>
  <c r="J118" i="46" s="1"/>
  <c r="J129" i="46" s="1"/>
  <c r="K58" i="46"/>
  <c r="K60" i="46"/>
  <c r="K61" i="46"/>
  <c r="K59" i="46"/>
  <c r="K71" i="46"/>
  <c r="K68" i="46"/>
  <c r="K101" i="46"/>
  <c r="L57" i="46"/>
  <c r="L67" i="46"/>
  <c r="M6" i="46"/>
  <c r="H119" i="46"/>
  <c r="H121" i="46"/>
  <c r="I117" i="46" s="1"/>
  <c r="G122" i="46"/>
  <c r="G130" i="46"/>
  <c r="G103" i="46"/>
  <c r="I118" i="46"/>
  <c r="J96" i="46"/>
  <c r="J98" i="46"/>
  <c r="J95" i="46"/>
  <c r="J97" i="46"/>
  <c r="E34" i="44"/>
  <c r="Z35" i="44"/>
  <c r="E35" i="44" s="1"/>
  <c r="E33" i="44"/>
  <c r="Z36" i="44"/>
  <c r="Y58" i="44"/>
  <c r="Y48" i="44"/>
  <c r="Y46" i="44"/>
  <c r="Y45" i="44"/>
  <c r="Y44" i="44" s="1"/>
  <c r="Y47" i="44" s="1"/>
  <c r="Y49" i="44" s="1"/>
  <c r="Z40" i="44"/>
  <c r="Y66" i="44"/>
  <c r="E36" i="44"/>
  <c r="E121" i="44" s="1"/>
  <c r="G55" i="44"/>
  <c r="G65" i="44"/>
  <c r="G67" i="44" s="1"/>
  <c r="O69" i="47"/>
  <c r="O85" i="47" s="1"/>
  <c r="L147" i="47"/>
  <c r="L152" i="47" s="1"/>
  <c r="L81" i="47"/>
  <c r="L82" i="47" s="1"/>
  <c r="L33" i="43"/>
  <c r="L34" i="43"/>
  <c r="Q10" i="54"/>
  <c r="M144" i="52"/>
  <c r="M138" i="52"/>
  <c r="M139" i="52" s="1"/>
  <c r="L144" i="52"/>
  <c r="K144" i="52"/>
  <c r="J144" i="52"/>
  <c r="L140" i="52"/>
  <c r="L146" i="52"/>
  <c r="L141" i="52"/>
  <c r="J141" i="52"/>
  <c r="J146" i="52"/>
  <c r="J140" i="52"/>
  <c r="K140" i="52"/>
  <c r="K146" i="52"/>
  <c r="K141" i="52"/>
  <c r="I167" i="52"/>
  <c r="N167" i="52"/>
  <c r="J167" i="52"/>
  <c r="K167" i="52"/>
  <c r="L167" i="52"/>
  <c r="M167" i="52"/>
  <c r="I163" i="52"/>
  <c r="I165" i="52" s="1"/>
  <c r="I168" i="52" s="1"/>
  <c r="J164" i="52" s="1"/>
  <c r="K163" i="52"/>
  <c r="J163" i="52"/>
  <c r="J165" i="52" s="1"/>
  <c r="L163" i="52"/>
  <c r="L119" i="53"/>
  <c r="L116" i="53"/>
  <c r="L123" i="53" s="1"/>
  <c r="L126" i="53"/>
  <c r="L127" i="53" s="1"/>
  <c r="M110" i="53"/>
  <c r="M105" i="53"/>
  <c r="M104" i="53"/>
  <c r="M120" i="53"/>
  <c r="M118" i="53"/>
  <c r="M115" i="53"/>
  <c r="M154" i="53"/>
  <c r="M156" i="53"/>
  <c r="M151" i="53"/>
  <c r="N138" i="53"/>
  <c r="N139" i="53" s="1"/>
  <c r="N189" i="53"/>
  <c r="N186" i="53"/>
  <c r="N143" i="53"/>
  <c r="N102" i="53"/>
  <c r="N103" i="53" s="1"/>
  <c r="N108" i="53"/>
  <c r="N150" i="53"/>
  <c r="N153" i="53"/>
  <c r="N117" i="53"/>
  <c r="N121" i="53"/>
  <c r="N107" i="53"/>
  <c r="N114" i="53"/>
  <c r="N7" i="53"/>
  <c r="N193" i="53"/>
  <c r="O6" i="53"/>
  <c r="N157" i="53"/>
  <c r="N144" i="53"/>
  <c r="N140" i="53"/>
  <c r="L191" i="53"/>
  <c r="L188" i="53"/>
  <c r="L195" i="53" s="1"/>
  <c r="K191" i="53"/>
  <c r="K188" i="53"/>
  <c r="K195" i="53" s="1"/>
  <c r="K213" i="53" s="1"/>
  <c r="J191" i="53"/>
  <c r="J188" i="53"/>
  <c r="J195" i="53" s="1"/>
  <c r="J213" i="53" s="1"/>
  <c r="I191" i="53"/>
  <c r="I188" i="53"/>
  <c r="I195" i="53" s="1"/>
  <c r="I198" i="53"/>
  <c r="J198" i="53"/>
  <c r="K198" i="53"/>
  <c r="L198" i="53"/>
  <c r="F46" i="53"/>
  <c r="J163" i="53"/>
  <c r="L163" i="53"/>
  <c r="I163" i="53"/>
  <c r="I165" i="53" s="1"/>
  <c r="K163" i="53"/>
  <c r="K165" i="53" s="1"/>
  <c r="N167" i="53"/>
  <c r="M167" i="53"/>
  <c r="J167" i="53"/>
  <c r="I167" i="53"/>
  <c r="L167" i="53"/>
  <c r="K167" i="53"/>
  <c r="I146" i="53"/>
  <c r="I141" i="53"/>
  <c r="I140" i="53"/>
  <c r="M174" i="53"/>
  <c r="M175" i="53" s="1"/>
  <c r="M191" i="52"/>
  <c r="M188" i="52"/>
  <c r="M195" i="52" s="1"/>
  <c r="M126" i="52"/>
  <c r="M127" i="52" s="1"/>
  <c r="M116" i="52"/>
  <c r="M119" i="52"/>
  <c r="N110" i="52"/>
  <c r="N105" i="52"/>
  <c r="N192" i="52"/>
  <c r="N190" i="52"/>
  <c r="N187" i="52"/>
  <c r="N198" i="52" s="1"/>
  <c r="N120" i="52"/>
  <c r="N115" i="52"/>
  <c r="N118" i="52"/>
  <c r="O144" i="52"/>
  <c r="O7" i="52"/>
  <c r="O114" i="52"/>
  <c r="O189" i="52"/>
  <c r="O102" i="52"/>
  <c r="O193" i="52"/>
  <c r="O179" i="52"/>
  <c r="O107" i="52"/>
  <c r="O167" i="52"/>
  <c r="O186" i="52"/>
  <c r="O143" i="52"/>
  <c r="O108" i="52"/>
  <c r="P6" i="52"/>
  <c r="O117" i="52"/>
  <c r="O121" i="52"/>
  <c r="O138" i="52"/>
  <c r="O139" i="52" s="1"/>
  <c r="O140" i="52" s="1"/>
  <c r="O150" i="52"/>
  <c r="O153" i="52"/>
  <c r="O131" i="52"/>
  <c r="O157" i="52"/>
  <c r="N139" i="52"/>
  <c r="N154" i="52"/>
  <c r="N151" i="52"/>
  <c r="N162" i="52" s="1"/>
  <c r="N163" i="52" s="1"/>
  <c r="N156" i="52"/>
  <c r="M162" i="52"/>
  <c r="M163" i="52" s="1"/>
  <c r="M165" i="52" s="1"/>
  <c r="M152" i="52"/>
  <c r="M155" i="52"/>
  <c r="I103" i="52"/>
  <c r="M131" i="52"/>
  <c r="I127" i="52"/>
  <c r="I129" i="52" s="1"/>
  <c r="J127" i="52"/>
  <c r="K127" i="52"/>
  <c r="L127" i="52"/>
  <c r="L131" i="52"/>
  <c r="K131" i="52"/>
  <c r="J131" i="52"/>
  <c r="I131" i="52"/>
  <c r="I191" i="52"/>
  <c r="I188" i="52"/>
  <c r="I195" i="52" s="1"/>
  <c r="M198" i="52"/>
  <c r="L198" i="52"/>
  <c r="K198" i="52"/>
  <c r="J198" i="52"/>
  <c r="I198" i="52"/>
  <c r="L191" i="52"/>
  <c r="L188" i="52"/>
  <c r="L195" i="52" s="1"/>
  <c r="L213" i="52" s="1"/>
  <c r="J191" i="52"/>
  <c r="J188" i="52"/>
  <c r="J195" i="52" s="1"/>
  <c r="J213" i="52" s="1"/>
  <c r="K191" i="52"/>
  <c r="K188" i="52"/>
  <c r="K195" i="52" s="1"/>
  <c r="K213" i="52" s="1"/>
  <c r="F46" i="52"/>
  <c r="O174" i="52" s="1"/>
  <c r="O175" i="52" s="1"/>
  <c r="I142" i="52"/>
  <c r="M104" i="52"/>
  <c r="M105" i="52"/>
  <c r="M110" i="52"/>
  <c r="L104" i="52"/>
  <c r="L105" i="52"/>
  <c r="L110" i="52"/>
  <c r="J104" i="52"/>
  <c r="J105" i="52"/>
  <c r="J110" i="52"/>
  <c r="K104" i="52"/>
  <c r="K105" i="52"/>
  <c r="K110" i="52"/>
  <c r="N174" i="52"/>
  <c r="N175" i="52" s="1"/>
  <c r="I174" i="52"/>
  <c r="J168" i="52"/>
  <c r="K164" i="52" s="1"/>
  <c r="J166" i="52"/>
  <c r="L142" i="47"/>
  <c r="K142" i="47"/>
  <c r="J142" i="47"/>
  <c r="I142" i="47"/>
  <c r="J159" i="47"/>
  <c r="L159" i="47"/>
  <c r="I147" i="47"/>
  <c r="I152" i="47" s="1"/>
  <c r="I81" i="47"/>
  <c r="I82" i="47" s="1"/>
  <c r="J147" i="47"/>
  <c r="J152" i="47" s="1"/>
  <c r="J81" i="47"/>
  <c r="J82" i="47" s="1"/>
  <c r="L31" i="43" a="1"/>
  <c r="L32" i="43" a="1"/>
  <c r="L29" i="43" a="1"/>
  <c r="L30" i="43" a="1"/>
  <c r="K95" i="51"/>
  <c r="J101" i="51"/>
  <c r="K101" i="51"/>
  <c r="N6" i="51"/>
  <c r="M7" i="51"/>
  <c r="M64" i="51"/>
  <c r="M65" i="51"/>
  <c r="M68" i="51"/>
  <c r="M73" i="51"/>
  <c r="M74" i="51"/>
  <c r="M79" i="51" s="1"/>
  <c r="M103" i="51"/>
  <c r="M81" i="51"/>
  <c r="M82" i="51" s="1"/>
  <c r="M85" i="51"/>
  <c r="M86" i="51"/>
  <c r="M87" i="51"/>
  <c r="M88" i="51"/>
  <c r="M89" i="51"/>
  <c r="M90" i="51"/>
  <c r="M91" i="51"/>
  <c r="M92" i="51"/>
  <c r="M93" i="51"/>
  <c r="M94" i="51"/>
  <c r="L66" i="51"/>
  <c r="L67" i="51"/>
  <c r="L69" i="51"/>
  <c r="L83" i="51"/>
  <c r="L84" i="51"/>
  <c r="K70" i="51"/>
  <c r="K72" i="51" s="1"/>
  <c r="K71" i="51"/>
  <c r="K76" i="51"/>
  <c r="I104" i="51"/>
  <c r="J100" i="51" s="1"/>
  <c r="J72" i="51"/>
  <c r="J75" i="51" s="1"/>
  <c r="I72" i="51"/>
  <c r="I75" i="51"/>
  <c r="L79" i="51"/>
  <c r="G85" i="47"/>
  <c r="G142" i="47" s="1"/>
  <c r="M88" i="47"/>
  <c r="M158" i="47"/>
  <c r="M151" i="47"/>
  <c r="N61" i="47"/>
  <c r="N62" i="47"/>
  <c r="N63" i="47"/>
  <c r="N223" i="47"/>
  <c r="O197" i="47"/>
  <c r="O196" i="47"/>
  <c r="O198" i="47" s="1"/>
  <c r="O59" i="47"/>
  <c r="O60" i="47"/>
  <c r="O73" i="47"/>
  <c r="O74" i="47" s="1"/>
  <c r="O75" i="47"/>
  <c r="P66" i="47"/>
  <c r="P195" i="47"/>
  <c r="P58" i="47"/>
  <c r="P72" i="47"/>
  <c r="Q6" i="47"/>
  <c r="H82" i="47"/>
  <c r="H157" i="47"/>
  <c r="H159" i="47"/>
  <c r="H160" i="47" s="1"/>
  <c r="H150" i="47"/>
  <c r="H149" i="47"/>
  <c r="H86" i="47"/>
  <c r="H148" i="47"/>
  <c r="H147" i="47"/>
  <c r="H152" i="47" s="1"/>
  <c r="H153" i="47" s="1"/>
  <c r="K157" i="47"/>
  <c r="K159" i="47"/>
  <c r="K150" i="47"/>
  <c r="M156" i="47"/>
  <c r="M146" i="47"/>
  <c r="M80" i="47"/>
  <c r="M79" i="47"/>
  <c r="M78" i="47"/>
  <c r="M148" i="47" s="1"/>
  <c r="M77" i="47"/>
  <c r="M147" i="47" s="1"/>
  <c r="N76" i="47"/>
  <c r="I199" i="47"/>
  <c r="J199" i="47" s="1"/>
  <c r="K199" i="47" s="1"/>
  <c r="L199" i="47" s="1"/>
  <c r="M199" i="47" s="1"/>
  <c r="N199" i="47" s="1"/>
  <c r="K147" i="47"/>
  <c r="K81" i="47"/>
  <c r="H111" i="43"/>
  <c r="H98" i="43"/>
  <c r="L26" i="45"/>
  <c r="L28" i="45" s="1"/>
  <c r="L31" i="45" s="1"/>
  <c r="L30" i="45" s="1"/>
  <c r="N50" i="44"/>
  <c r="N64" i="44"/>
  <c r="M29" i="45" a="1"/>
  <c r="M24" i="45" a="1"/>
  <c r="C114" i="45" s="1"/>
  <c r="M25" i="45" a="1"/>
  <c r="M27" i="45" a="1"/>
  <c r="M18" i="45"/>
  <c r="M19" i="45" s="1"/>
  <c r="M20" i="45" s="1"/>
  <c r="M35" i="45" s="1"/>
  <c r="N6" i="45"/>
  <c r="N23" i="45" s="1"/>
  <c r="K183" i="43"/>
  <c r="G89" i="43"/>
  <c r="G78" i="43"/>
  <c r="L176" i="43"/>
  <c r="M6" i="43"/>
  <c r="H50" i="43"/>
  <c r="H52" i="43" s="1"/>
  <c r="G184" i="43"/>
  <c r="T50" i="44"/>
  <c r="T64" i="44"/>
  <c r="S50" i="44"/>
  <c r="S64" i="44"/>
  <c r="H64" i="44"/>
  <c r="H52" i="44"/>
  <c r="H50" i="44"/>
  <c r="J64" i="44"/>
  <c r="J50" i="44"/>
  <c r="K64" i="44"/>
  <c r="K50" i="44"/>
  <c r="L64" i="44"/>
  <c r="L50" i="44"/>
  <c r="M64" i="44"/>
  <c r="M50" i="44"/>
  <c r="P64" i="44"/>
  <c r="P50" i="44"/>
  <c r="R64" i="44"/>
  <c r="R50" i="44"/>
  <c r="U50" i="44"/>
  <c r="U64" i="44"/>
  <c r="V64" i="44"/>
  <c r="V50" i="44"/>
  <c r="W64" i="44"/>
  <c r="W50" i="44"/>
  <c r="X64" i="44"/>
  <c r="X50" i="44"/>
  <c r="J53" i="44"/>
  <c r="O53" i="44"/>
  <c r="P53" i="44"/>
  <c r="R53" i="44"/>
  <c r="S53" i="44"/>
  <c r="T53" i="44"/>
  <c r="U53" i="44"/>
  <c r="V53" i="44"/>
  <c r="W53" i="44"/>
  <c r="X53" i="44"/>
  <c r="H53" i="44"/>
  <c r="I53" i="44"/>
  <c r="K53" i="44"/>
  <c r="L53" i="44"/>
  <c r="M53" i="44"/>
  <c r="N53" i="44"/>
  <c r="N65" i="44" s="1"/>
  <c r="Q53" i="44"/>
  <c r="K109" i="43"/>
  <c r="L48" i="43"/>
  <c r="Z66" i="44" l="1"/>
  <c r="E119" i="44"/>
  <c r="Z131" i="44"/>
  <c r="E131" i="44" s="1"/>
  <c r="L129" i="53"/>
  <c r="M106" i="53"/>
  <c r="M109" i="53" s="1"/>
  <c r="M191" i="53"/>
  <c r="M188" i="53"/>
  <c r="M195" i="53" s="1"/>
  <c r="M198" i="53"/>
  <c r="K106" i="53"/>
  <c r="K109" i="53" s="1"/>
  <c r="I106" i="53"/>
  <c r="I109" i="53" s="1"/>
  <c r="J106" i="53"/>
  <c r="J109" i="53" s="1"/>
  <c r="L106" i="53"/>
  <c r="L109" i="53" s="1"/>
  <c r="O167" i="53"/>
  <c r="O194" i="53"/>
  <c r="O158" i="53"/>
  <c r="O122" i="53"/>
  <c r="L213" i="53"/>
  <c r="M123" i="52"/>
  <c r="M159" i="52"/>
  <c r="J129" i="52"/>
  <c r="J142" i="52"/>
  <c r="J145" i="52" s="1"/>
  <c r="K142" i="52"/>
  <c r="K145" i="52" s="1"/>
  <c r="L142" i="52"/>
  <c r="L145" i="52" s="1"/>
  <c r="P194" i="52"/>
  <c r="P158" i="52"/>
  <c r="P122" i="52"/>
  <c r="E102" i="49"/>
  <c r="G143" i="49" s="1"/>
  <c r="E101" i="49"/>
  <c r="E150" i="49"/>
  <c r="G142" i="49"/>
  <c r="E91" i="49"/>
  <c r="L94" i="49"/>
  <c r="P110" i="49"/>
  <c r="P115" i="49" s="1"/>
  <c r="O27" i="54" a="1"/>
  <c r="N27" i="54" a="1"/>
  <c r="M27" i="54" a="1"/>
  <c r="K27" i="54" a="1"/>
  <c r="L27" i="54" a="1"/>
  <c r="G115" i="49"/>
  <c r="G113" i="49"/>
  <c r="E124" i="49"/>
  <c r="E130" i="49"/>
  <c r="J27" i="54" a="1"/>
  <c r="E129" i="49"/>
  <c r="E131" i="49" s="1"/>
  <c r="E119" i="49"/>
  <c r="G144" i="49" s="1"/>
  <c r="E107" i="49"/>
  <c r="E108" i="49"/>
  <c r="K152" i="47"/>
  <c r="P27" i="54" a="1"/>
  <c r="H115" i="49"/>
  <c r="L59" i="46"/>
  <c r="L61" i="46"/>
  <c r="L58" i="46"/>
  <c r="L60" i="46"/>
  <c r="L68" i="46"/>
  <c r="L101" i="46"/>
  <c r="L71" i="46"/>
  <c r="M67" i="46"/>
  <c r="M57" i="46"/>
  <c r="N6" i="46"/>
  <c r="H130" i="46"/>
  <c r="H122" i="46"/>
  <c r="H103" i="46"/>
  <c r="I129" i="46"/>
  <c r="J70" i="46"/>
  <c r="K62" i="46"/>
  <c r="K96" i="46"/>
  <c r="K97" i="46"/>
  <c r="K95" i="46"/>
  <c r="K98" i="46"/>
  <c r="I119" i="46"/>
  <c r="I121" i="46"/>
  <c r="J117" i="46" s="1"/>
  <c r="Y61" i="44"/>
  <c r="Y54" i="44" s="1"/>
  <c r="Y60" i="44"/>
  <c r="Y59" i="44"/>
  <c r="Z48" i="44"/>
  <c r="Z58" i="44"/>
  <c r="Z46" i="44"/>
  <c r="Z45" i="44"/>
  <c r="Z44" i="44" s="1"/>
  <c r="Z47" i="44" s="1"/>
  <c r="Z49" i="44" s="1"/>
  <c r="Y64" i="44"/>
  <c r="Y50" i="44"/>
  <c r="W51" i="44"/>
  <c r="W52" i="44" s="1"/>
  <c r="W55" i="44" s="1"/>
  <c r="Z51" i="44"/>
  <c r="Z52" i="44" s="1"/>
  <c r="U51" i="44"/>
  <c r="U52" i="44" s="1"/>
  <c r="U55" i="44" s="1"/>
  <c r="I51" i="44"/>
  <c r="I52" i="44" s="1"/>
  <c r="I55" i="44" s="1"/>
  <c r="M51" i="44"/>
  <c r="M52" i="44" s="1"/>
  <c r="M55" i="44" s="1"/>
  <c r="Q51" i="44"/>
  <c r="Q52" i="44" s="1"/>
  <c r="Q55" i="44" s="1"/>
  <c r="L51" i="44"/>
  <c r="L52" i="44" s="1"/>
  <c r="L55" i="44" s="1"/>
  <c r="O51" i="44"/>
  <c r="O52" i="44" s="1"/>
  <c r="O55" i="44" s="1"/>
  <c r="S51" i="44"/>
  <c r="S52" i="44" s="1"/>
  <c r="S55" i="44" s="1"/>
  <c r="X51" i="44"/>
  <c r="X52" i="44" s="1"/>
  <c r="X55" i="44" s="1"/>
  <c r="Y51" i="44"/>
  <c r="Y52" i="44" s="1"/>
  <c r="T51" i="44"/>
  <c r="T52" i="44" s="1"/>
  <c r="T55" i="44" s="1"/>
  <c r="V51" i="44"/>
  <c r="V52" i="44" s="1"/>
  <c r="K51" i="44"/>
  <c r="K52" i="44" s="1"/>
  <c r="P51" i="44"/>
  <c r="P52" i="44" s="1"/>
  <c r="P55" i="44" s="1"/>
  <c r="J51" i="44"/>
  <c r="J52" i="44" s="1"/>
  <c r="J55" i="44" s="1"/>
  <c r="N51" i="44"/>
  <c r="N52" i="44" s="1"/>
  <c r="N55" i="44" s="1"/>
  <c r="R51" i="44"/>
  <c r="R52" i="44" s="1"/>
  <c r="R55" i="44" s="1"/>
  <c r="G71" i="44"/>
  <c r="G68" i="44"/>
  <c r="G73" i="44"/>
  <c r="G74" i="44" s="1"/>
  <c r="M33" i="43"/>
  <c r="M34" i="43"/>
  <c r="Q27" i="54" a="1"/>
  <c r="R10" i="54"/>
  <c r="L165" i="52"/>
  <c r="L129" i="52"/>
  <c r="M141" i="52"/>
  <c r="M146" i="52"/>
  <c r="M140" i="52"/>
  <c r="M142" i="52" s="1"/>
  <c r="M145" i="52" s="1"/>
  <c r="K165" i="52"/>
  <c r="K168" i="52" s="1"/>
  <c r="L164" i="52" s="1"/>
  <c r="N210" i="52"/>
  <c r="K129" i="52"/>
  <c r="M129" i="52"/>
  <c r="M119" i="53"/>
  <c r="M116" i="53"/>
  <c r="M123" i="53" s="1"/>
  <c r="M162" i="53"/>
  <c r="M163" i="53" s="1"/>
  <c r="M165" i="53" s="1"/>
  <c r="M152" i="53"/>
  <c r="M155" i="53"/>
  <c r="N146" i="53"/>
  <c r="N141" i="53"/>
  <c r="N187" i="53"/>
  <c r="N190" i="53"/>
  <c r="N192" i="53"/>
  <c r="N110" i="53"/>
  <c r="N105" i="53"/>
  <c r="N104" i="53"/>
  <c r="N156" i="53"/>
  <c r="N151" i="53"/>
  <c r="N154" i="53"/>
  <c r="N118" i="53"/>
  <c r="N120" i="53"/>
  <c r="N115" i="53"/>
  <c r="O144" i="53"/>
  <c r="O131" i="53"/>
  <c r="O179" i="53"/>
  <c r="O189" i="53"/>
  <c r="O186" i="53"/>
  <c r="O138" i="53"/>
  <c r="O139" i="53" s="1"/>
  <c r="O140" i="53" s="1"/>
  <c r="O142" i="53" s="1"/>
  <c r="O143" i="53"/>
  <c r="O193" i="53"/>
  <c r="O7" i="53"/>
  <c r="O108" i="53"/>
  <c r="O121" i="53"/>
  <c r="O153" i="53"/>
  <c r="O107" i="53"/>
  <c r="O117" i="53"/>
  <c r="O102" i="53"/>
  <c r="O103" i="53" s="1"/>
  <c r="O150" i="53"/>
  <c r="O114" i="53"/>
  <c r="O157" i="53"/>
  <c r="P6" i="53"/>
  <c r="M126" i="53"/>
  <c r="M127" i="53" s="1"/>
  <c r="M129" i="53" s="1"/>
  <c r="L174" i="53"/>
  <c r="L175" i="53" s="1"/>
  <c r="K174" i="53"/>
  <c r="K175" i="53" s="1"/>
  <c r="I174" i="53"/>
  <c r="J174" i="53"/>
  <c r="J175" i="53" s="1"/>
  <c r="F76" i="53"/>
  <c r="O180" i="53"/>
  <c r="N180" i="53"/>
  <c r="M180" i="53"/>
  <c r="L180" i="53"/>
  <c r="K180" i="53"/>
  <c r="J180" i="53"/>
  <c r="I180" i="53"/>
  <c r="K142" i="53"/>
  <c r="K145" i="53" s="1"/>
  <c r="L142" i="53"/>
  <c r="L145" i="53" s="1"/>
  <c r="I142" i="53"/>
  <c r="I145" i="53" s="1"/>
  <c r="M142" i="53"/>
  <c r="M145" i="53" s="1"/>
  <c r="N142" i="53"/>
  <c r="J142" i="53"/>
  <c r="J145" i="53" s="1"/>
  <c r="M177" i="53"/>
  <c r="M182" i="53"/>
  <c r="M210" i="53"/>
  <c r="M176" i="53"/>
  <c r="J165" i="53"/>
  <c r="I168" i="53"/>
  <c r="J164" i="53" s="1"/>
  <c r="L165" i="53"/>
  <c r="O174" i="53"/>
  <c r="O175" i="53" s="1"/>
  <c r="N174" i="53"/>
  <c r="N175" i="53" s="1"/>
  <c r="K112" i="53"/>
  <c r="K111" i="53"/>
  <c r="K113" i="53" s="1"/>
  <c r="N191" i="52"/>
  <c r="N188" i="52"/>
  <c r="N195" i="52" s="1"/>
  <c r="N119" i="52"/>
  <c r="N116" i="52"/>
  <c r="N123" i="52" s="1"/>
  <c r="O118" i="52"/>
  <c r="O115" i="52"/>
  <c r="O120" i="52"/>
  <c r="O182" i="52"/>
  <c r="O177" i="52"/>
  <c r="O176" i="52"/>
  <c r="O192" i="52"/>
  <c r="O190" i="52"/>
  <c r="O187" i="52"/>
  <c r="P7" i="52"/>
  <c r="P186" i="52"/>
  <c r="P174" i="52"/>
  <c r="P175" i="52" s="1"/>
  <c r="P114" i="52"/>
  <c r="P193" i="52"/>
  <c r="P167" i="52"/>
  <c r="P179" i="52"/>
  <c r="P143" i="52"/>
  <c r="P102" i="52"/>
  <c r="P103" i="52" s="1"/>
  <c r="P104" i="52" s="1"/>
  <c r="P108" i="52"/>
  <c r="P189" i="52"/>
  <c r="P144" i="52"/>
  <c r="P180" i="52"/>
  <c r="P107" i="52"/>
  <c r="P117" i="52"/>
  <c r="P121" i="52"/>
  <c r="P131" i="52"/>
  <c r="P138" i="52"/>
  <c r="P150" i="52"/>
  <c r="P153" i="52"/>
  <c r="P157" i="52"/>
  <c r="Q6" i="52"/>
  <c r="O141" i="52"/>
  <c r="O146" i="52"/>
  <c r="O151" i="52"/>
  <c r="O156" i="52"/>
  <c r="O154" i="52"/>
  <c r="N140" i="52"/>
  <c r="N146" i="52"/>
  <c r="N141" i="52"/>
  <c r="N155" i="52"/>
  <c r="N152" i="52"/>
  <c r="N159" i="52" s="1"/>
  <c r="I110" i="52"/>
  <c r="I105" i="52"/>
  <c r="I104" i="52"/>
  <c r="N180" i="52"/>
  <c r="M174" i="52"/>
  <c r="M175" i="52" s="1"/>
  <c r="M180" i="52"/>
  <c r="L180" i="52"/>
  <c r="J180" i="52"/>
  <c r="K180" i="52"/>
  <c r="I180" i="52"/>
  <c r="F76" i="52"/>
  <c r="I145" i="52"/>
  <c r="N176" i="52"/>
  <c r="N177" i="52"/>
  <c r="N182" i="52"/>
  <c r="I175" i="52"/>
  <c r="I210" i="52" s="1"/>
  <c r="I132" i="52"/>
  <c r="J128" i="52" s="1"/>
  <c r="N165" i="52"/>
  <c r="N126" i="52"/>
  <c r="N127" i="52" s="1"/>
  <c r="N129" i="52" s="1"/>
  <c r="O126" i="52"/>
  <c r="O127" i="52" s="1"/>
  <c r="O129" i="52" s="1"/>
  <c r="O103" i="52"/>
  <c r="J174" i="52"/>
  <c r="J175" i="52" s="1"/>
  <c r="K174" i="52"/>
  <c r="K175" i="52" s="1"/>
  <c r="O180" i="52"/>
  <c r="L174" i="52"/>
  <c r="L175" i="52" s="1"/>
  <c r="K166" i="52"/>
  <c r="K132" i="53"/>
  <c r="L128" i="53" s="1"/>
  <c r="K130" i="53"/>
  <c r="M31" i="43" a="1"/>
  <c r="M29" i="43" a="1"/>
  <c r="M30" i="43" a="1"/>
  <c r="M32" i="43" a="1"/>
  <c r="M66" i="51"/>
  <c r="O6" i="51"/>
  <c r="N7" i="51"/>
  <c r="N103" i="51"/>
  <c r="N65" i="51"/>
  <c r="N68" i="51"/>
  <c r="N73" i="51"/>
  <c r="N74" i="51"/>
  <c r="N64" i="51"/>
  <c r="N81" i="51"/>
  <c r="N82" i="51" s="1"/>
  <c r="N85" i="51"/>
  <c r="N86" i="51"/>
  <c r="N87" i="51"/>
  <c r="N88" i="51"/>
  <c r="N89" i="51"/>
  <c r="N90" i="51"/>
  <c r="N91" i="51"/>
  <c r="N92" i="51"/>
  <c r="N93" i="51"/>
  <c r="N94" i="51"/>
  <c r="M67" i="51"/>
  <c r="M69" i="51"/>
  <c r="M83" i="51"/>
  <c r="M84" i="51"/>
  <c r="L70" i="51"/>
  <c r="L71" i="51"/>
  <c r="L76" i="51"/>
  <c r="L98" i="51"/>
  <c r="L99" i="51" s="1"/>
  <c r="L101" i="51" s="1"/>
  <c r="L95" i="51"/>
  <c r="J104" i="51"/>
  <c r="K100" i="51" s="1"/>
  <c r="J102" i="51"/>
  <c r="J78" i="51"/>
  <c r="J77" i="51"/>
  <c r="J80" i="51" s="1"/>
  <c r="J96" i="51" s="1"/>
  <c r="I77" i="51"/>
  <c r="I78" i="51"/>
  <c r="K75" i="51"/>
  <c r="G143" i="47"/>
  <c r="N88" i="47"/>
  <c r="N151" i="47"/>
  <c r="N158" i="47"/>
  <c r="O61" i="47"/>
  <c r="O62" i="47"/>
  <c r="O63" i="47"/>
  <c r="O223" i="47"/>
  <c r="P67" i="47"/>
  <c r="P68" i="47"/>
  <c r="P69" i="47"/>
  <c r="P197" i="47"/>
  <c r="P196" i="47"/>
  <c r="P198" i="47" s="1"/>
  <c r="P59" i="47"/>
  <c r="P60" i="47"/>
  <c r="P73" i="47"/>
  <c r="P74" i="47" s="1"/>
  <c r="P75" i="47"/>
  <c r="Q66" i="47"/>
  <c r="Q195" i="47"/>
  <c r="Q58" i="47"/>
  <c r="Q72" i="47"/>
  <c r="R6" i="47"/>
  <c r="H87" i="47"/>
  <c r="H142" i="47" s="1"/>
  <c r="M157" i="47"/>
  <c r="M159" i="47"/>
  <c r="M150" i="47"/>
  <c r="N156" i="47"/>
  <c r="N146" i="47"/>
  <c r="N80" i="47"/>
  <c r="N149" i="47" s="1"/>
  <c r="N79" i="47"/>
  <c r="N86" i="47" s="1"/>
  <c r="N78" i="47"/>
  <c r="N77" i="47"/>
  <c r="O76" i="47"/>
  <c r="O199" i="47"/>
  <c r="I160" i="47"/>
  <c r="I153" i="47"/>
  <c r="M149" i="47"/>
  <c r="M86" i="47"/>
  <c r="M81" i="47"/>
  <c r="M82" i="47" s="1"/>
  <c r="K82" i="47"/>
  <c r="N67" i="44"/>
  <c r="N73" i="44" s="1"/>
  <c r="M26" i="45"/>
  <c r="M28" i="45" s="1"/>
  <c r="N29" i="45" a="1"/>
  <c r="N24" i="45" a="1"/>
  <c r="N25" i="45" a="1"/>
  <c r="N27" i="45" a="1"/>
  <c r="N18" i="45"/>
  <c r="N19" i="45" s="1"/>
  <c r="N20" i="45" s="1"/>
  <c r="N35" i="45" s="1"/>
  <c r="O6" i="45"/>
  <c r="O23" i="45" s="1"/>
  <c r="L183" i="43"/>
  <c r="G90" i="43"/>
  <c r="G91" i="43"/>
  <c r="G93" i="43"/>
  <c r="G94" i="43"/>
  <c r="G79" i="43"/>
  <c r="G97" i="43"/>
  <c r="G103" i="43" s="1"/>
  <c r="N6" i="43"/>
  <c r="M176" i="43"/>
  <c r="J65" i="44"/>
  <c r="J67" i="44" s="1"/>
  <c r="O65" i="44"/>
  <c r="O67" i="44" s="1"/>
  <c r="P65" i="44"/>
  <c r="P67" i="44" s="1"/>
  <c r="R65" i="44"/>
  <c r="R67" i="44" s="1"/>
  <c r="S65" i="44"/>
  <c r="S67" i="44" s="1"/>
  <c r="T65" i="44"/>
  <c r="T67" i="44" s="1"/>
  <c r="U65" i="44"/>
  <c r="U67" i="44" s="1"/>
  <c r="V55" i="44"/>
  <c r="V65" i="44"/>
  <c r="V67" i="44" s="1"/>
  <c r="W65" i="44"/>
  <c r="W67" i="44" s="1"/>
  <c r="X65" i="44"/>
  <c r="X67" i="44" s="1"/>
  <c r="H55" i="44"/>
  <c r="H65" i="44"/>
  <c r="H67" i="44" s="1"/>
  <c r="I65" i="44"/>
  <c r="I67" i="44" s="1"/>
  <c r="K55" i="44"/>
  <c r="K65" i="44"/>
  <c r="K67" i="44" s="1"/>
  <c r="L65" i="44"/>
  <c r="L67" i="44" s="1"/>
  <c r="M65" i="44"/>
  <c r="M67" i="44" s="1"/>
  <c r="Q65" i="44"/>
  <c r="Q67" i="44" s="1"/>
  <c r="L109" i="43"/>
  <c r="M48" i="43"/>
  <c r="E123" i="44" l="1"/>
  <c r="E120" i="44"/>
  <c r="E122" i="44"/>
  <c r="Y53" i="44"/>
  <c r="M159" i="53"/>
  <c r="M112" i="53"/>
  <c r="M111" i="53"/>
  <c r="M113" i="53" s="1"/>
  <c r="M124" i="53" s="1"/>
  <c r="J112" i="53"/>
  <c r="J111" i="53"/>
  <c r="J113" i="53" s="1"/>
  <c r="L112" i="53"/>
  <c r="L111" i="53"/>
  <c r="L113" i="53" s="1"/>
  <c r="L124" i="53" s="1"/>
  <c r="P180" i="53"/>
  <c r="P194" i="53"/>
  <c r="P158" i="53"/>
  <c r="P122" i="53"/>
  <c r="J147" i="52"/>
  <c r="J149" i="52" s="1"/>
  <c r="J160" i="52" s="1"/>
  <c r="J169" i="52" s="1"/>
  <c r="J171" i="52" s="1"/>
  <c r="J148" i="52"/>
  <c r="K147" i="52"/>
  <c r="K149" i="52" s="1"/>
  <c r="K160" i="52" s="1"/>
  <c r="K169" i="52" s="1"/>
  <c r="K171" i="52" s="1"/>
  <c r="K148" i="52"/>
  <c r="L147" i="52"/>
  <c r="L149" i="52" s="1"/>
  <c r="L160" i="52" s="1"/>
  <c r="L148" i="52"/>
  <c r="Q194" i="52"/>
  <c r="Q122" i="52"/>
  <c r="Q158" i="52"/>
  <c r="H267" i="47"/>
  <c r="G192" i="49"/>
  <c r="G152" i="49"/>
  <c r="H152" i="49"/>
  <c r="I152" i="49"/>
  <c r="J152" i="49"/>
  <c r="K152" i="49"/>
  <c r="L152" i="49"/>
  <c r="M152" i="49"/>
  <c r="N152" i="49"/>
  <c r="O152" i="49"/>
  <c r="P152" i="49"/>
  <c r="Q152" i="49"/>
  <c r="R152" i="49"/>
  <c r="S152" i="49"/>
  <c r="T152" i="49"/>
  <c r="U152" i="49"/>
  <c r="V152" i="49"/>
  <c r="W152" i="49"/>
  <c r="X152" i="49"/>
  <c r="Y152" i="49"/>
  <c r="Z152" i="49"/>
  <c r="E151" i="49"/>
  <c r="C198" i="49" s="1"/>
  <c r="H266" i="47"/>
  <c r="G191" i="49"/>
  <c r="I142" i="49"/>
  <c r="I191" i="49" s="1"/>
  <c r="E94" i="49"/>
  <c r="L95" i="49"/>
  <c r="E122" i="49"/>
  <c r="G116" i="49"/>
  <c r="H116" i="49" s="1"/>
  <c r="I116" i="49" s="1"/>
  <c r="J116" i="49" s="1"/>
  <c r="K116" i="49" s="1"/>
  <c r="L116" i="49" s="1"/>
  <c r="M116" i="49" s="1"/>
  <c r="N116" i="49" s="1"/>
  <c r="O116" i="49" s="1"/>
  <c r="P116" i="49" s="1"/>
  <c r="Q116" i="49" s="1"/>
  <c r="R116" i="49" s="1"/>
  <c r="S116" i="49" s="1"/>
  <c r="T116" i="49" s="1"/>
  <c r="U116" i="49" s="1"/>
  <c r="V116" i="49" s="1"/>
  <c r="W116" i="49" s="1"/>
  <c r="X116" i="49" s="1"/>
  <c r="Y116" i="49" s="1"/>
  <c r="Z116" i="49" s="1"/>
  <c r="E121" i="49"/>
  <c r="H113" i="49"/>
  <c r="I27" i="54" a="1"/>
  <c r="F82" i="54" s="1"/>
  <c r="J57" i="54"/>
  <c r="K57" i="54" s="1"/>
  <c r="L57" i="54" s="1"/>
  <c r="M57" i="54" s="1"/>
  <c r="N57" i="54" s="1"/>
  <c r="O57" i="54" s="1"/>
  <c r="P57" i="54" s="1"/>
  <c r="Q57" i="54" s="1"/>
  <c r="H268" i="47"/>
  <c r="G193" i="49"/>
  <c r="L62" i="46"/>
  <c r="L118" i="46" s="1"/>
  <c r="L129" i="46" s="1"/>
  <c r="M68" i="46"/>
  <c r="M101" i="46"/>
  <c r="M71" i="46"/>
  <c r="M58" i="46"/>
  <c r="M61" i="46"/>
  <c r="M59" i="46"/>
  <c r="M60" i="46"/>
  <c r="N67" i="46"/>
  <c r="N57" i="46"/>
  <c r="O6" i="46"/>
  <c r="K118" i="46"/>
  <c r="E208" i="46"/>
  <c r="I208" i="46" s="1"/>
  <c r="K70" i="46"/>
  <c r="L97" i="46"/>
  <c r="L95" i="46"/>
  <c r="L98" i="46"/>
  <c r="L96" i="46"/>
  <c r="I130" i="46"/>
  <c r="I103" i="46"/>
  <c r="I122" i="46"/>
  <c r="Z61" i="44"/>
  <c r="Z54" i="44" s="1"/>
  <c r="Z60" i="44"/>
  <c r="Z59" i="44"/>
  <c r="Z53" i="44" s="1"/>
  <c r="Z50" i="44"/>
  <c r="Z64" i="44"/>
  <c r="M31" i="45"/>
  <c r="C115" i="45"/>
  <c r="N81" i="47"/>
  <c r="N82" i="47" s="1"/>
  <c r="E131" i="47" s="1"/>
  <c r="M152" i="47"/>
  <c r="N33" i="43"/>
  <c r="N34" i="43"/>
  <c r="H71" i="44"/>
  <c r="J119" i="46"/>
  <c r="J121" i="46"/>
  <c r="S10" i="54"/>
  <c r="R27" i="54" a="1"/>
  <c r="M148" i="52"/>
  <c r="M147" i="52"/>
  <c r="N198" i="53"/>
  <c r="N188" i="53"/>
  <c r="N191" i="53"/>
  <c r="N106" i="53"/>
  <c r="N109" i="53" s="1"/>
  <c r="N152" i="53"/>
  <c r="N155" i="53"/>
  <c r="N116" i="53"/>
  <c r="N119" i="53"/>
  <c r="O190" i="53"/>
  <c r="O192" i="53"/>
  <c r="O187" i="53"/>
  <c r="O141" i="53"/>
  <c r="O145" i="53" s="1"/>
  <c r="O146" i="53"/>
  <c r="O110" i="53"/>
  <c r="O105" i="53"/>
  <c r="O104" i="53"/>
  <c r="O106" i="53" s="1"/>
  <c r="O109" i="53" s="1"/>
  <c r="O156" i="53"/>
  <c r="O154" i="53"/>
  <c r="O151" i="53"/>
  <c r="O162" i="53" s="1"/>
  <c r="O163" i="53" s="1"/>
  <c r="O120" i="53"/>
  <c r="O118" i="53"/>
  <c r="O115" i="53"/>
  <c r="O126" i="53" s="1"/>
  <c r="O127" i="53" s="1"/>
  <c r="P167" i="53"/>
  <c r="P144" i="53"/>
  <c r="P131" i="53"/>
  <c r="P179" i="53"/>
  <c r="P138" i="53"/>
  <c r="P139" i="53" s="1"/>
  <c r="P140" i="53" s="1"/>
  <c r="P142" i="53" s="1"/>
  <c r="P143" i="53"/>
  <c r="P189" i="53"/>
  <c r="P186" i="53"/>
  <c r="P114" i="53"/>
  <c r="P108" i="53"/>
  <c r="P7" i="53"/>
  <c r="P121" i="53"/>
  <c r="P153" i="53"/>
  <c r="P117" i="53"/>
  <c r="P107" i="53"/>
  <c r="P150" i="53"/>
  <c r="P193" i="53"/>
  <c r="P102" i="53"/>
  <c r="P103" i="53" s="1"/>
  <c r="P157" i="53"/>
  <c r="Q6" i="53"/>
  <c r="M213" i="53"/>
  <c r="N145" i="53"/>
  <c r="N162" i="53"/>
  <c r="N163" i="53" s="1"/>
  <c r="N165" i="53" s="1"/>
  <c r="N126" i="53"/>
  <c r="N127" i="53" s="1"/>
  <c r="N129" i="53" s="1"/>
  <c r="P174" i="53"/>
  <c r="P175" i="53" s="1"/>
  <c r="I213" i="53"/>
  <c r="L176" i="53"/>
  <c r="L177" i="53"/>
  <c r="L182" i="53"/>
  <c r="L210" i="53"/>
  <c r="K177" i="53"/>
  <c r="K182" i="53"/>
  <c r="K210" i="53"/>
  <c r="K176" i="53"/>
  <c r="I175" i="53"/>
  <c r="J176" i="53"/>
  <c r="J177" i="53"/>
  <c r="J182" i="53"/>
  <c r="J210" i="53"/>
  <c r="I199" i="53"/>
  <c r="I201" i="53" s="1"/>
  <c r="J199" i="53"/>
  <c r="K199" i="53"/>
  <c r="K201" i="53" s="1"/>
  <c r="L199" i="53"/>
  <c r="L201" i="53" s="1"/>
  <c r="M199" i="53"/>
  <c r="N199" i="53"/>
  <c r="P203" i="53"/>
  <c r="O203" i="53"/>
  <c r="N203" i="53"/>
  <c r="M203" i="53"/>
  <c r="L203" i="53"/>
  <c r="K203" i="53"/>
  <c r="J203" i="53"/>
  <c r="I203" i="53"/>
  <c r="Q203" i="53"/>
  <c r="I148" i="53"/>
  <c r="I147" i="53"/>
  <c r="I149" i="53" s="1"/>
  <c r="K147" i="53"/>
  <c r="K148" i="53"/>
  <c r="L147" i="53"/>
  <c r="L148" i="53"/>
  <c r="M147" i="53"/>
  <c r="M148" i="53"/>
  <c r="N147" i="53"/>
  <c r="N148" i="53"/>
  <c r="J147" i="53"/>
  <c r="J148" i="53"/>
  <c r="O147" i="53"/>
  <c r="O148" i="53"/>
  <c r="J166" i="53"/>
  <c r="J168" i="53"/>
  <c r="K164" i="53" s="1"/>
  <c r="O182" i="53"/>
  <c r="O177" i="53"/>
  <c r="O176" i="53"/>
  <c r="O210" i="53"/>
  <c r="N182" i="53"/>
  <c r="N177" i="53"/>
  <c r="N176" i="53"/>
  <c r="N210" i="53"/>
  <c r="I112" i="53"/>
  <c r="I111" i="53"/>
  <c r="I113" i="53" s="1"/>
  <c r="K124" i="53"/>
  <c r="J124" i="53"/>
  <c r="M213" i="52"/>
  <c r="O119" i="52"/>
  <c r="O116" i="52"/>
  <c r="O123" i="52" s="1"/>
  <c r="O198" i="52"/>
  <c r="O199" i="52" s="1"/>
  <c r="O191" i="52"/>
  <c r="O188" i="52"/>
  <c r="O195" i="52" s="1"/>
  <c r="P192" i="52"/>
  <c r="P190" i="52"/>
  <c r="P187" i="52"/>
  <c r="P182" i="52"/>
  <c r="P177" i="52"/>
  <c r="P176" i="52"/>
  <c r="P115" i="52"/>
  <c r="P118" i="52"/>
  <c r="P120" i="52"/>
  <c r="P110" i="52"/>
  <c r="P105" i="52"/>
  <c r="P139" i="52"/>
  <c r="P210" i="52" s="1"/>
  <c r="P154" i="52"/>
  <c r="P156" i="52"/>
  <c r="P151" i="52"/>
  <c r="P162" i="52" s="1"/>
  <c r="P163" i="52" s="1"/>
  <c r="Q107" i="52"/>
  <c r="Q144" i="52"/>
  <c r="Q180" i="52"/>
  <c r="Q114" i="52"/>
  <c r="Q167" i="52"/>
  <c r="Q174" i="52"/>
  <c r="Q108" i="52"/>
  <c r="Q102" i="52"/>
  <c r="Q179" i="52"/>
  <c r="Q143" i="52"/>
  <c r="Q203" i="52"/>
  <c r="Q186" i="52"/>
  <c r="Q7" i="52"/>
  <c r="Q189" i="52"/>
  <c r="Q193" i="52"/>
  <c r="Q117" i="52"/>
  <c r="Q121" i="52"/>
  <c r="Q138" i="52"/>
  <c r="Q150" i="52"/>
  <c r="Q153" i="52"/>
  <c r="R6" i="52"/>
  <c r="Q131" i="52"/>
  <c r="Q157" i="52"/>
  <c r="O162" i="52"/>
  <c r="O163" i="52" s="1"/>
  <c r="O165" i="52" s="1"/>
  <c r="O155" i="52"/>
  <c r="O152" i="52"/>
  <c r="O159" i="52" s="1"/>
  <c r="O142" i="52"/>
  <c r="O145" i="52" s="1"/>
  <c r="N142" i="52"/>
  <c r="J106" i="52"/>
  <c r="J109" i="52" s="1"/>
  <c r="K106" i="52"/>
  <c r="K109" i="52" s="1"/>
  <c r="L106" i="52"/>
  <c r="L109" i="52" s="1"/>
  <c r="M106" i="52"/>
  <c r="M109" i="52" s="1"/>
  <c r="N106" i="52"/>
  <c r="N109" i="52" s="1"/>
  <c r="I106" i="52"/>
  <c r="I109" i="52" s="1"/>
  <c r="I213" i="52"/>
  <c r="M210" i="52"/>
  <c r="M182" i="52"/>
  <c r="M177" i="52"/>
  <c r="M176" i="52"/>
  <c r="O203" i="52"/>
  <c r="N203" i="52"/>
  <c r="J199" i="52"/>
  <c r="N199" i="52"/>
  <c r="I199" i="52"/>
  <c r="I201" i="52" s="1"/>
  <c r="K199" i="52"/>
  <c r="K201" i="52" s="1"/>
  <c r="L199" i="52"/>
  <c r="M199" i="52"/>
  <c r="M201" i="52" s="1"/>
  <c r="M203" i="52"/>
  <c r="K203" i="52"/>
  <c r="J203" i="52"/>
  <c r="L203" i="52"/>
  <c r="I203" i="52"/>
  <c r="I147" i="52"/>
  <c r="I148" i="52"/>
  <c r="I176" i="52"/>
  <c r="I182" i="52"/>
  <c r="I177" i="52"/>
  <c r="J130" i="52"/>
  <c r="J132" i="52"/>
  <c r="K128" i="52" s="1"/>
  <c r="O105" i="52"/>
  <c r="O110" i="52"/>
  <c r="O210" i="52"/>
  <c r="O104" i="52"/>
  <c r="J182" i="52"/>
  <c r="J177" i="52"/>
  <c r="J176" i="52"/>
  <c r="J210" i="52"/>
  <c r="K182" i="52"/>
  <c r="K177" i="52"/>
  <c r="K176" i="52"/>
  <c r="K210" i="52"/>
  <c r="L182" i="52"/>
  <c r="L177" i="52"/>
  <c r="L176" i="52"/>
  <c r="L210" i="52"/>
  <c r="M149" i="52"/>
  <c r="M160" i="52" s="1"/>
  <c r="N213" i="52"/>
  <c r="P203" i="52"/>
  <c r="L166" i="52"/>
  <c r="L168" i="52"/>
  <c r="M164" i="52" s="1"/>
  <c r="L132" i="53"/>
  <c r="M128" i="53" s="1"/>
  <c r="L130" i="53"/>
  <c r="P76" i="47"/>
  <c r="N31" i="43" a="1"/>
  <c r="N32" i="43" a="1"/>
  <c r="N29" i="43" a="1"/>
  <c r="N30" i="43" a="1"/>
  <c r="J105" i="51"/>
  <c r="I80" i="51"/>
  <c r="P6" i="51"/>
  <c r="O7" i="51"/>
  <c r="O64" i="51"/>
  <c r="O65" i="51"/>
  <c r="O68" i="51"/>
  <c r="O73" i="51"/>
  <c r="O74" i="51"/>
  <c r="O79" i="51" s="1"/>
  <c r="O81" i="51"/>
  <c r="O82" i="51" s="1"/>
  <c r="O85" i="51"/>
  <c r="O86" i="51"/>
  <c r="O87" i="51"/>
  <c r="O88" i="51"/>
  <c r="O89" i="51"/>
  <c r="O90" i="51"/>
  <c r="O91" i="51"/>
  <c r="O92" i="51"/>
  <c r="O93" i="51"/>
  <c r="O94" i="51"/>
  <c r="O103" i="51"/>
  <c r="N66" i="51"/>
  <c r="O66" i="51" s="1"/>
  <c r="N67" i="51"/>
  <c r="N69" i="51"/>
  <c r="N79" i="51"/>
  <c r="N83" i="51"/>
  <c r="N84" i="51"/>
  <c r="M70" i="51"/>
  <c r="M71" i="51"/>
  <c r="M76" i="51"/>
  <c r="L72" i="51"/>
  <c r="L75" i="51" s="1"/>
  <c r="K102" i="51"/>
  <c r="K104" i="51"/>
  <c r="L100" i="51" s="1"/>
  <c r="J107" i="51"/>
  <c r="J108" i="51"/>
  <c r="I96" i="51"/>
  <c r="K78" i="51"/>
  <c r="K77" i="51"/>
  <c r="K80" i="51" s="1"/>
  <c r="M95" i="51"/>
  <c r="M98" i="51"/>
  <c r="M99" i="51" s="1"/>
  <c r="M101" i="51" s="1"/>
  <c r="H143" i="47"/>
  <c r="O88" i="47"/>
  <c r="O158" i="47"/>
  <c r="O151" i="47"/>
  <c r="P85" i="47"/>
  <c r="P61" i="47"/>
  <c r="P62" i="47"/>
  <c r="P63" i="47"/>
  <c r="P223" i="47"/>
  <c r="P79" i="47"/>
  <c r="P86" i="47" s="1"/>
  <c r="P87" i="47" s="1"/>
  <c r="P80" i="47"/>
  <c r="P149" i="47" s="1"/>
  <c r="P146" i="47"/>
  <c r="P156" i="47"/>
  <c r="Q67" i="47"/>
  <c r="Q68" i="47"/>
  <c r="Q69" i="47"/>
  <c r="Q85" i="47" s="1"/>
  <c r="Q197" i="47"/>
  <c r="Q196" i="47"/>
  <c r="Q198" i="47" s="1"/>
  <c r="Q59" i="47"/>
  <c r="Q60" i="47"/>
  <c r="Q73" i="47"/>
  <c r="Q74" i="47" s="1"/>
  <c r="Q75" i="47"/>
  <c r="R66" i="47"/>
  <c r="R195" i="47"/>
  <c r="R58" i="47"/>
  <c r="R72" i="47"/>
  <c r="S6" i="47"/>
  <c r="N157" i="47"/>
  <c r="N159" i="47"/>
  <c r="N150" i="47"/>
  <c r="N87" i="47"/>
  <c r="N142" i="47" s="1"/>
  <c r="N148" i="47"/>
  <c r="N147" i="47"/>
  <c r="N152" i="47" s="1"/>
  <c r="O156" i="47"/>
  <c r="O146" i="47"/>
  <c r="O80" i="47"/>
  <c r="O79" i="47"/>
  <c r="O78" i="47"/>
  <c r="O77" i="47"/>
  <c r="P199" i="47"/>
  <c r="M87" i="47"/>
  <c r="M142" i="47"/>
  <c r="J160" i="47"/>
  <c r="K160" i="47" s="1"/>
  <c r="L160" i="47" s="1"/>
  <c r="M160" i="47" s="1"/>
  <c r="J153" i="47"/>
  <c r="K153" i="47" s="1"/>
  <c r="L153" i="47" s="1"/>
  <c r="G92" i="43"/>
  <c r="N26" i="45"/>
  <c r="N28" i="45" s="1"/>
  <c r="N31" i="45" s="1"/>
  <c r="N30" i="45" s="1"/>
  <c r="O25" i="45" a="1"/>
  <c r="O29" i="45" a="1"/>
  <c r="O24" i="45" a="1"/>
  <c r="O26" i="45" s="1"/>
  <c r="O27" i="45" a="1"/>
  <c r="O18" i="45"/>
  <c r="O19" i="45" s="1"/>
  <c r="O20" i="45" s="1"/>
  <c r="O35" i="45" s="1"/>
  <c r="P6" i="45"/>
  <c r="P23" i="45" s="1"/>
  <c r="M183" i="43"/>
  <c r="N176" i="43"/>
  <c r="N186" i="43"/>
  <c r="O6" i="43"/>
  <c r="J73" i="44"/>
  <c r="O73" i="44"/>
  <c r="P73" i="44"/>
  <c r="R73" i="44"/>
  <c r="S73" i="44"/>
  <c r="T73" i="44"/>
  <c r="U73" i="44"/>
  <c r="V73" i="44"/>
  <c r="W73" i="44"/>
  <c r="X73" i="44"/>
  <c r="H68" i="44"/>
  <c r="H73" i="44"/>
  <c r="H74" i="44" s="1"/>
  <c r="I73" i="44"/>
  <c r="K73" i="44"/>
  <c r="L73" i="44"/>
  <c r="M73" i="44"/>
  <c r="Q73" i="44"/>
  <c r="I68" i="44"/>
  <c r="N48" i="43"/>
  <c r="M109" i="43"/>
  <c r="I129" i="44" l="1"/>
  <c r="I128" i="44"/>
  <c r="I135" i="44" s="1"/>
  <c r="J129" i="44"/>
  <c r="J128" i="44"/>
  <c r="J135" i="44" s="1"/>
  <c r="K129" i="44"/>
  <c r="K128" i="44"/>
  <c r="K135" i="44" s="1"/>
  <c r="L129" i="44"/>
  <c r="L128" i="44"/>
  <c r="L135" i="44" s="1"/>
  <c r="M129" i="44"/>
  <c r="M128" i="44"/>
  <c r="M135" i="44" s="1"/>
  <c r="N129" i="44"/>
  <c r="N128" i="44"/>
  <c r="O129" i="44"/>
  <c r="O128" i="44"/>
  <c r="O135" i="44" s="1"/>
  <c r="P129" i="44"/>
  <c r="P128" i="44"/>
  <c r="P135" i="44" s="1"/>
  <c r="Q129" i="44"/>
  <c r="Q128" i="44"/>
  <c r="Q135" i="44" s="1"/>
  <c r="R129" i="44"/>
  <c r="R128" i="44"/>
  <c r="R135" i="44" s="1"/>
  <c r="S129" i="44"/>
  <c r="S128" i="44"/>
  <c r="S135" i="44" s="1"/>
  <c r="T129" i="44"/>
  <c r="T128" i="44"/>
  <c r="T135" i="44" s="1"/>
  <c r="U129" i="44"/>
  <c r="U128" i="44"/>
  <c r="U135" i="44" s="1"/>
  <c r="V129" i="44"/>
  <c r="V128" i="44"/>
  <c r="V135" i="44" s="1"/>
  <c r="W129" i="44"/>
  <c r="W128" i="44"/>
  <c r="W135" i="44" s="1"/>
  <c r="X129" i="44"/>
  <c r="X128" i="44"/>
  <c r="X135" i="44" s="1"/>
  <c r="Y129" i="44"/>
  <c r="Y128" i="44"/>
  <c r="Z129" i="44"/>
  <c r="Z128" i="44"/>
  <c r="Z135" i="44" s="1"/>
  <c r="H129" i="44"/>
  <c r="H128" i="44"/>
  <c r="H135" i="44" s="1"/>
  <c r="E127" i="44"/>
  <c r="G129" i="44"/>
  <c r="G128" i="44"/>
  <c r="Y55" i="44"/>
  <c r="Y65" i="44"/>
  <c r="Y67" i="44" s="1"/>
  <c r="Y73" i="44" s="1"/>
  <c r="I71" i="44"/>
  <c r="J71" i="44" s="1"/>
  <c r="N195" i="53"/>
  <c r="N159" i="53"/>
  <c r="N123" i="53"/>
  <c r="L133" i="53"/>
  <c r="L135" i="53" s="1"/>
  <c r="Q194" i="53"/>
  <c r="Q158" i="53"/>
  <c r="Q122" i="53"/>
  <c r="P165" i="52"/>
  <c r="R194" i="52"/>
  <c r="R122" i="52"/>
  <c r="R158" i="52"/>
  <c r="E153" i="49"/>
  <c r="E154" i="49"/>
  <c r="C199" i="49"/>
  <c r="G145" i="49"/>
  <c r="I113" i="49"/>
  <c r="J113" i="49" s="1"/>
  <c r="K113" i="49" s="1"/>
  <c r="L113" i="49" s="1"/>
  <c r="M113" i="49" s="1"/>
  <c r="N113" i="49" s="1"/>
  <c r="O113" i="49" s="1"/>
  <c r="P113" i="49" s="1"/>
  <c r="Q113" i="49" s="1"/>
  <c r="R113" i="49" s="1"/>
  <c r="S113" i="49" s="1"/>
  <c r="T113" i="49" s="1"/>
  <c r="U113" i="49" s="1"/>
  <c r="V113" i="49" s="1"/>
  <c r="W113" i="49" s="1"/>
  <c r="X113" i="49" s="1"/>
  <c r="Y113" i="49" s="1"/>
  <c r="Z113" i="49" s="1"/>
  <c r="E126" i="49"/>
  <c r="E125" i="49"/>
  <c r="G146" i="49" s="1"/>
  <c r="N71" i="46"/>
  <c r="N101" i="46"/>
  <c r="N68" i="46"/>
  <c r="N58" i="46"/>
  <c r="N59" i="46"/>
  <c r="N60" i="46"/>
  <c r="N61" i="46"/>
  <c r="O57" i="46"/>
  <c r="O67" i="46"/>
  <c r="P6" i="46"/>
  <c r="K129" i="46"/>
  <c r="L70" i="46"/>
  <c r="M62" i="46"/>
  <c r="M95" i="46"/>
  <c r="M98" i="46"/>
  <c r="M96" i="46"/>
  <c r="M97" i="46"/>
  <c r="Z65" i="44"/>
  <c r="Z67" i="44" s="1"/>
  <c r="Z55" i="44"/>
  <c r="C116" i="45"/>
  <c r="M30" i="45"/>
  <c r="M153" i="47"/>
  <c r="N153" i="47" s="1"/>
  <c r="P77" i="47"/>
  <c r="P78" i="47"/>
  <c r="P148" i="47" s="1"/>
  <c r="O34" i="43"/>
  <c r="O33" i="43"/>
  <c r="I74" i="44"/>
  <c r="J74" i="44" s="1"/>
  <c r="K74" i="44" s="1"/>
  <c r="L74" i="44" s="1"/>
  <c r="M74" i="44" s="1"/>
  <c r="N74" i="44" s="1"/>
  <c r="O74" i="44" s="1"/>
  <c r="P74" i="44" s="1"/>
  <c r="Q74" i="44" s="1"/>
  <c r="R74" i="44" s="1"/>
  <c r="S74" i="44" s="1"/>
  <c r="T74" i="44" s="1"/>
  <c r="U74" i="44" s="1"/>
  <c r="V74" i="44" s="1"/>
  <c r="W74" i="44" s="1"/>
  <c r="X74" i="44" s="1"/>
  <c r="Y74" i="44" s="1"/>
  <c r="J103" i="46"/>
  <c r="J130" i="46"/>
  <c r="K117" i="46"/>
  <c r="R57" i="54"/>
  <c r="S27" i="54" a="1"/>
  <c r="T10" i="54"/>
  <c r="L201" i="52"/>
  <c r="P210" i="53"/>
  <c r="O165" i="53"/>
  <c r="P182" i="53"/>
  <c r="P177" i="53"/>
  <c r="P176" i="53"/>
  <c r="N112" i="53"/>
  <c r="N111" i="53"/>
  <c r="N113" i="53" s="1"/>
  <c r="O112" i="53"/>
  <c r="O111" i="53"/>
  <c r="O113" i="53" s="1"/>
  <c r="O188" i="53"/>
  <c r="O195" i="53" s="1"/>
  <c r="O191" i="53"/>
  <c r="O152" i="53"/>
  <c r="O155" i="53"/>
  <c r="O116" i="53"/>
  <c r="O123" i="53" s="1"/>
  <c r="O119" i="53"/>
  <c r="P146" i="53"/>
  <c r="P141" i="53"/>
  <c r="P145" i="53" s="1"/>
  <c r="P190" i="53"/>
  <c r="P192" i="53"/>
  <c r="P187" i="53"/>
  <c r="P198" i="53" s="1"/>
  <c r="P199" i="53" s="1"/>
  <c r="P201" i="53" s="1"/>
  <c r="P120" i="53"/>
  <c r="P118" i="53"/>
  <c r="P115" i="53"/>
  <c r="P151" i="53"/>
  <c r="P162" i="53" s="1"/>
  <c r="P163" i="53" s="1"/>
  <c r="P165" i="53" s="1"/>
  <c r="P156" i="53"/>
  <c r="P154" i="53"/>
  <c r="P105" i="53"/>
  <c r="P110" i="53"/>
  <c r="P104" i="53"/>
  <c r="P106" i="53" s="1"/>
  <c r="P109" i="53" s="1"/>
  <c r="Q174" i="53"/>
  <c r="Q175" i="53" s="1"/>
  <c r="Q180" i="53"/>
  <c r="Q167" i="53"/>
  <c r="Q144" i="53"/>
  <c r="Q131" i="53"/>
  <c r="Q179" i="53"/>
  <c r="Q189" i="53"/>
  <c r="Q143" i="53"/>
  <c r="Q138" i="53"/>
  <c r="Q139" i="53" s="1"/>
  <c r="Q140" i="53" s="1"/>
  <c r="Q142" i="53" s="1"/>
  <c r="Q186" i="53"/>
  <c r="Q102" i="53"/>
  <c r="Q103" i="53" s="1"/>
  <c r="Q193" i="53"/>
  <c r="Q108" i="53"/>
  <c r="Q7" i="53"/>
  <c r="Q121" i="53"/>
  <c r="Q117" i="53"/>
  <c r="Q114" i="53"/>
  <c r="Q107" i="53"/>
  <c r="Q153" i="53"/>
  <c r="Q150" i="53"/>
  <c r="R6" i="53"/>
  <c r="Q157" i="53"/>
  <c r="J201" i="53"/>
  <c r="N201" i="53"/>
  <c r="O129" i="53"/>
  <c r="M201" i="53"/>
  <c r="J149" i="53"/>
  <c r="J160" i="53" s="1"/>
  <c r="J169" i="53" s="1"/>
  <c r="J171" i="53" s="1"/>
  <c r="O198" i="53"/>
  <c r="O199" i="53" s="1"/>
  <c r="O201" i="53" s="1"/>
  <c r="I210" i="53"/>
  <c r="I182" i="53"/>
  <c r="I177" i="53"/>
  <c r="I176" i="53"/>
  <c r="I204" i="53"/>
  <c r="J200" i="53" s="1"/>
  <c r="I160" i="53"/>
  <c r="K168" i="53"/>
  <c r="L164" i="53" s="1"/>
  <c r="K166" i="53"/>
  <c r="I124" i="53"/>
  <c r="K149" i="53"/>
  <c r="L149" i="53"/>
  <c r="M149" i="53"/>
  <c r="N149" i="53"/>
  <c r="O149" i="53"/>
  <c r="K133" i="53"/>
  <c r="J133" i="53"/>
  <c r="L169" i="52"/>
  <c r="L171" i="52" s="1"/>
  <c r="P188" i="52"/>
  <c r="P191" i="52"/>
  <c r="P126" i="52"/>
  <c r="P127" i="52" s="1"/>
  <c r="P129" i="52" s="1"/>
  <c r="P119" i="52"/>
  <c r="P116" i="52"/>
  <c r="P123" i="52" s="1"/>
  <c r="P140" i="52"/>
  <c r="P146" i="52"/>
  <c r="P141" i="52"/>
  <c r="P155" i="52"/>
  <c r="P152" i="52"/>
  <c r="P159" i="52" s="1"/>
  <c r="Q118" i="52"/>
  <c r="Q120" i="52"/>
  <c r="Q115" i="52"/>
  <c r="Q175" i="52"/>
  <c r="Q103" i="52"/>
  <c r="Q192" i="52"/>
  <c r="Q190" i="52"/>
  <c r="Q187" i="52"/>
  <c r="Q151" i="52"/>
  <c r="Q154" i="52"/>
  <c r="Q156" i="52"/>
  <c r="R108" i="52"/>
  <c r="R167" i="52"/>
  <c r="R107" i="52"/>
  <c r="R179" i="52"/>
  <c r="R174" i="52"/>
  <c r="R203" i="52"/>
  <c r="R143" i="52"/>
  <c r="R144" i="52"/>
  <c r="R180" i="52"/>
  <c r="R7" i="52"/>
  <c r="R186" i="52"/>
  <c r="R193" i="52"/>
  <c r="R114" i="52"/>
  <c r="R102" i="52"/>
  <c r="R189" i="52"/>
  <c r="R157" i="52"/>
  <c r="S6" i="52"/>
  <c r="R117" i="52"/>
  <c r="R121" i="52"/>
  <c r="R131" i="52"/>
  <c r="R138" i="52"/>
  <c r="R150" i="52"/>
  <c r="R153" i="52"/>
  <c r="O147" i="52"/>
  <c r="O148" i="52"/>
  <c r="N145" i="52"/>
  <c r="I112" i="52"/>
  <c r="I111" i="52"/>
  <c r="I113" i="52" s="1"/>
  <c r="J111" i="52"/>
  <c r="J112" i="52"/>
  <c r="K111" i="52"/>
  <c r="K112" i="52"/>
  <c r="L111" i="52"/>
  <c r="L112" i="52"/>
  <c r="M111" i="52"/>
  <c r="M112" i="52"/>
  <c r="N111" i="52"/>
  <c r="N112" i="52"/>
  <c r="I149" i="52"/>
  <c r="P178" i="52"/>
  <c r="P181" i="52" s="1"/>
  <c r="O178" i="52"/>
  <c r="O181" i="52" s="1"/>
  <c r="I178" i="52"/>
  <c r="I181" i="52" s="1"/>
  <c r="I211" i="52" s="1"/>
  <c r="J178" i="52"/>
  <c r="J181" i="52" s="1"/>
  <c r="J211" i="52" s="1"/>
  <c r="K178" i="52"/>
  <c r="K181" i="52" s="1"/>
  <c r="K211" i="52" s="1"/>
  <c r="L178" i="52"/>
  <c r="L181" i="52" s="1"/>
  <c r="L211" i="52" s="1"/>
  <c r="M178" i="52"/>
  <c r="M181" i="52" s="1"/>
  <c r="M211" i="52" s="1"/>
  <c r="N178" i="52"/>
  <c r="N181" i="52" s="1"/>
  <c r="K130" i="52"/>
  <c r="K132" i="52"/>
  <c r="L128" i="52" s="1"/>
  <c r="O201" i="52"/>
  <c r="J201" i="52"/>
  <c r="N201" i="52"/>
  <c r="I204" i="52"/>
  <c r="J200" i="52" s="1"/>
  <c r="P198" i="52"/>
  <c r="P199" i="52" s="1"/>
  <c r="P201" i="52" s="1"/>
  <c r="Q139" i="52"/>
  <c r="P106" i="52"/>
  <c r="P109" i="52" s="1"/>
  <c r="O106" i="52"/>
  <c r="M166" i="52"/>
  <c r="M169" i="52" s="1"/>
  <c r="M171" i="52" s="1"/>
  <c r="M168" i="52"/>
  <c r="N164" i="52" s="1"/>
  <c r="M130" i="53"/>
  <c r="M132" i="53"/>
  <c r="N128" i="53" s="1"/>
  <c r="Q76" i="47"/>
  <c r="N160" i="47"/>
  <c r="O31" i="43" a="1"/>
  <c r="O29" i="43" a="1"/>
  <c r="O32" i="43" a="1"/>
  <c r="O30" i="43" a="1"/>
  <c r="Q6" i="51"/>
  <c r="P7" i="51"/>
  <c r="P65" i="51"/>
  <c r="P68" i="51"/>
  <c r="P73" i="51"/>
  <c r="P74" i="51"/>
  <c r="P64" i="51"/>
  <c r="P81" i="51"/>
  <c r="P82" i="51" s="1"/>
  <c r="P85" i="51"/>
  <c r="P86" i="51"/>
  <c r="P87" i="51"/>
  <c r="P88" i="51"/>
  <c r="P89" i="51"/>
  <c r="P90" i="51"/>
  <c r="P91" i="51"/>
  <c r="P92" i="51"/>
  <c r="P93" i="51"/>
  <c r="P94" i="51"/>
  <c r="P103" i="51"/>
  <c r="O67" i="51"/>
  <c r="O69" i="51"/>
  <c r="O83" i="51"/>
  <c r="O84" i="51"/>
  <c r="N70" i="51"/>
  <c r="N71" i="51"/>
  <c r="N76" i="51"/>
  <c r="N98" i="51"/>
  <c r="N99" i="51" s="1"/>
  <c r="N101" i="51" s="1"/>
  <c r="N95" i="51"/>
  <c r="L77" i="51"/>
  <c r="L78" i="51"/>
  <c r="L80" i="51"/>
  <c r="L102" i="51"/>
  <c r="L104" i="51"/>
  <c r="M100" i="51" s="1"/>
  <c r="I97" i="51"/>
  <c r="I105" i="51"/>
  <c r="M72" i="51"/>
  <c r="K96" i="51"/>
  <c r="P88" i="47"/>
  <c r="P142" i="47" s="1"/>
  <c r="P158" i="47"/>
  <c r="P151" i="47"/>
  <c r="P150" i="47"/>
  <c r="P157" i="47"/>
  <c r="P159" i="47" s="1"/>
  <c r="Q61" i="47"/>
  <c r="Q62" i="47"/>
  <c r="Q63" i="47"/>
  <c r="Q223" i="47"/>
  <c r="Q77" i="47"/>
  <c r="Q78" i="47"/>
  <c r="Q148" i="47" s="1"/>
  <c r="Q79" i="47"/>
  <c r="Q86" i="47" s="1"/>
  <c r="Q80" i="47"/>
  <c r="Q149" i="47" s="1"/>
  <c r="Q146" i="47"/>
  <c r="Q156" i="47"/>
  <c r="R67" i="47"/>
  <c r="R68" i="47"/>
  <c r="R69" i="47" s="1"/>
  <c r="R197" i="47"/>
  <c r="R196" i="47"/>
  <c r="R198" i="47" s="1"/>
  <c r="R59" i="47"/>
  <c r="R60" i="47"/>
  <c r="R73" i="47"/>
  <c r="R74" i="47" s="1"/>
  <c r="R75" i="47"/>
  <c r="S66" i="47"/>
  <c r="S195" i="47"/>
  <c r="S58" i="47"/>
  <c r="S72" i="47"/>
  <c r="T6" i="47"/>
  <c r="O157" i="47"/>
  <c r="O159" i="47" s="1"/>
  <c r="O150" i="47"/>
  <c r="O149" i="47"/>
  <c r="O86" i="47"/>
  <c r="O147" i="47"/>
  <c r="O81" i="47"/>
  <c r="Q199" i="47"/>
  <c r="I143" i="47"/>
  <c r="J143" i="47" s="1"/>
  <c r="K143" i="47" s="1"/>
  <c r="L143" i="47" s="1"/>
  <c r="M143" i="47" s="1"/>
  <c r="O148" i="47"/>
  <c r="O28" i="45"/>
  <c r="O31" i="45" s="1"/>
  <c r="O30" i="45" s="1"/>
  <c r="P29" i="45" a="1"/>
  <c r="P24" i="45" a="1"/>
  <c r="P25" i="45" a="1"/>
  <c r="P27" i="45" a="1"/>
  <c r="P18" i="45"/>
  <c r="P19" i="45" s="1"/>
  <c r="P20" i="45" s="1"/>
  <c r="P35" i="45" s="1"/>
  <c r="Q6" i="45"/>
  <c r="Q23" i="45" s="1"/>
  <c r="N183" i="43"/>
  <c r="P6" i="43"/>
  <c r="O176" i="43"/>
  <c r="O186" i="43"/>
  <c r="K71" i="44"/>
  <c r="L71" i="44" s="1"/>
  <c r="M71" i="44" s="1"/>
  <c r="N71" i="44" s="1"/>
  <c r="O71" i="44" s="1"/>
  <c r="P71" i="44" s="1"/>
  <c r="Q71" i="44" s="1"/>
  <c r="R71" i="44" s="1"/>
  <c r="S71" i="44" s="1"/>
  <c r="T71" i="44" s="1"/>
  <c r="U71" i="44" s="1"/>
  <c r="V71" i="44" s="1"/>
  <c r="W71" i="44" s="1"/>
  <c r="X71" i="44" s="1"/>
  <c r="J68" i="44"/>
  <c r="N109" i="43"/>
  <c r="O48" i="43"/>
  <c r="E129" i="44" l="1"/>
  <c r="N135" i="44"/>
  <c r="Y135" i="44"/>
  <c r="E128" i="44"/>
  <c r="O159" i="53"/>
  <c r="P148" i="53"/>
  <c r="P147" i="53"/>
  <c r="P149" i="53" s="1"/>
  <c r="R194" i="53"/>
  <c r="R158" i="53"/>
  <c r="R122" i="53"/>
  <c r="P195" i="52"/>
  <c r="S194" i="52"/>
  <c r="S158" i="52"/>
  <c r="S122" i="52"/>
  <c r="H269" i="47"/>
  <c r="G194" i="49"/>
  <c r="H270" i="47"/>
  <c r="G195" i="49"/>
  <c r="N62" i="46"/>
  <c r="N118" i="46" s="1"/>
  <c r="N129" i="46" s="1"/>
  <c r="O60" i="46"/>
  <c r="O58" i="46"/>
  <c r="O59" i="46"/>
  <c r="O61" i="46"/>
  <c r="O101" i="46"/>
  <c r="O71" i="46"/>
  <c r="O68" i="46"/>
  <c r="P57" i="46"/>
  <c r="P67" i="46"/>
  <c r="Q6" i="46"/>
  <c r="M118" i="46"/>
  <c r="N95" i="46"/>
  <c r="N98" i="46"/>
  <c r="N96" i="46"/>
  <c r="N70" i="46"/>
  <c r="N97" i="46"/>
  <c r="M70" i="46"/>
  <c r="AA67" i="44"/>
  <c r="E93" i="44"/>
  <c r="E89" i="44"/>
  <c r="E86" i="44"/>
  <c r="G151" i="44" s="1"/>
  <c r="E94" i="44"/>
  <c r="G154" i="44" s="1"/>
  <c r="E97" i="44"/>
  <c r="E78" i="44"/>
  <c r="Z73" i="44"/>
  <c r="P147" i="47"/>
  <c r="P152" i="47" s="1"/>
  <c r="P81" i="47"/>
  <c r="P82" i="47" s="1"/>
  <c r="P34" i="43"/>
  <c r="P33" i="43"/>
  <c r="K119" i="46"/>
  <c r="T27" i="54" a="1"/>
  <c r="U10" i="54"/>
  <c r="S57" i="54"/>
  <c r="N211" i="52"/>
  <c r="J113" i="52"/>
  <c r="L113" i="52"/>
  <c r="N213" i="53"/>
  <c r="P188" i="53"/>
  <c r="P191" i="53"/>
  <c r="P126" i="53"/>
  <c r="P127" i="53" s="1"/>
  <c r="P129" i="53" s="1"/>
  <c r="P119" i="53"/>
  <c r="P116" i="53"/>
  <c r="P123" i="53" s="1"/>
  <c r="P152" i="53"/>
  <c r="P155" i="53"/>
  <c r="P111" i="53"/>
  <c r="P112" i="53"/>
  <c r="Q176" i="53"/>
  <c r="Q177" i="53"/>
  <c r="Q182" i="53"/>
  <c r="Q146" i="53"/>
  <c r="Q141" i="53"/>
  <c r="Q145" i="53" s="1"/>
  <c r="Q187" i="53"/>
  <c r="Q190" i="53"/>
  <c r="Q192" i="53"/>
  <c r="Q210" i="53"/>
  <c r="Q105" i="53"/>
  <c r="Q110" i="53"/>
  <c r="Q104" i="53"/>
  <c r="Q106" i="53" s="1"/>
  <c r="Q109" i="53" s="1"/>
  <c r="Q120" i="53"/>
  <c r="Q118" i="53"/>
  <c r="Q115" i="53"/>
  <c r="Q126" i="53" s="1"/>
  <c r="Q127" i="53" s="1"/>
  <c r="Q129" i="53" s="1"/>
  <c r="Q154" i="53"/>
  <c r="Q156" i="53"/>
  <c r="Q151" i="53"/>
  <c r="R203" i="53"/>
  <c r="R180" i="53"/>
  <c r="R174" i="53"/>
  <c r="R175" i="53" s="1"/>
  <c r="R176" i="53" s="1"/>
  <c r="R178" i="53" s="1"/>
  <c r="R167" i="53"/>
  <c r="R144" i="53"/>
  <c r="R131" i="53"/>
  <c r="R179" i="53"/>
  <c r="R186" i="53"/>
  <c r="R138" i="53"/>
  <c r="R139" i="53" s="1"/>
  <c r="R140" i="53" s="1"/>
  <c r="R142" i="53" s="1"/>
  <c r="R143" i="53"/>
  <c r="R108" i="53"/>
  <c r="R189" i="53"/>
  <c r="R102" i="53"/>
  <c r="R103" i="53" s="1"/>
  <c r="R104" i="53" s="1"/>
  <c r="R106" i="53" s="1"/>
  <c r="R193" i="53"/>
  <c r="R150" i="53"/>
  <c r="R107" i="53"/>
  <c r="R153" i="53"/>
  <c r="R117" i="53"/>
  <c r="R121" i="53"/>
  <c r="R114" i="53"/>
  <c r="R7" i="53"/>
  <c r="S6" i="53"/>
  <c r="R157" i="53"/>
  <c r="N124" i="53"/>
  <c r="O160" i="53"/>
  <c r="O124" i="53"/>
  <c r="J178" i="53"/>
  <c r="J181" i="53" s="1"/>
  <c r="K178" i="53"/>
  <c r="K181" i="53" s="1"/>
  <c r="L178" i="53"/>
  <c r="L181" i="53" s="1"/>
  <c r="M178" i="53"/>
  <c r="M181" i="53" s="1"/>
  <c r="N178" i="53"/>
  <c r="N181" i="53" s="1"/>
  <c r="O178" i="53"/>
  <c r="O181" i="53" s="1"/>
  <c r="P178" i="53"/>
  <c r="P181" i="53" s="1"/>
  <c r="Q178" i="53"/>
  <c r="Q181" i="53" s="1"/>
  <c r="I178" i="53"/>
  <c r="J202" i="53"/>
  <c r="J216" i="53" s="1"/>
  <c r="J204" i="53"/>
  <c r="K200" i="53" s="1"/>
  <c r="I169" i="53"/>
  <c r="I161" i="53"/>
  <c r="L168" i="53"/>
  <c r="M164" i="53" s="1"/>
  <c r="L166" i="53"/>
  <c r="I133" i="53"/>
  <c r="I125" i="53"/>
  <c r="K160" i="53"/>
  <c r="K169" i="53" s="1"/>
  <c r="L160" i="53"/>
  <c r="M160" i="53"/>
  <c r="N160" i="53"/>
  <c r="K135" i="53"/>
  <c r="J135" i="53"/>
  <c r="N166" i="52"/>
  <c r="N168" i="52"/>
  <c r="O164" i="52" s="1"/>
  <c r="O213" i="52"/>
  <c r="P142" i="52"/>
  <c r="Q119" i="52"/>
  <c r="Q116" i="52"/>
  <c r="Q123" i="52" s="1"/>
  <c r="Q176" i="52"/>
  <c r="Q182" i="52"/>
  <c r="Q177" i="52"/>
  <c r="Q104" i="52"/>
  <c r="Q210" i="52"/>
  <c r="Q110" i="52"/>
  <c r="Q105" i="52"/>
  <c r="Q188" i="52"/>
  <c r="Q195" i="52" s="1"/>
  <c r="Q191" i="52"/>
  <c r="Q162" i="52"/>
  <c r="Q163" i="52" s="1"/>
  <c r="Q165" i="52" s="1"/>
  <c r="Q152" i="52"/>
  <c r="Q155" i="52"/>
  <c r="R192" i="52"/>
  <c r="R190" i="52"/>
  <c r="R187" i="52"/>
  <c r="R120" i="52"/>
  <c r="R118" i="52"/>
  <c r="R115" i="52"/>
  <c r="S108" i="52"/>
  <c r="S144" i="52"/>
  <c r="S102" i="52"/>
  <c r="S114" i="52"/>
  <c r="S107" i="52"/>
  <c r="S143" i="52"/>
  <c r="S174" i="52"/>
  <c r="S203" i="52"/>
  <c r="S180" i="52"/>
  <c r="S7" i="52"/>
  <c r="S193" i="52"/>
  <c r="S189" i="52"/>
  <c r="S167" i="52"/>
  <c r="S179" i="52"/>
  <c r="S186" i="52"/>
  <c r="S117" i="52"/>
  <c r="S121" i="52"/>
  <c r="S138" i="52"/>
  <c r="S139" i="52" s="1"/>
  <c r="S140" i="52" s="1"/>
  <c r="S150" i="52"/>
  <c r="S153" i="52"/>
  <c r="S131" i="52"/>
  <c r="S157" i="52"/>
  <c r="T6" i="52"/>
  <c r="R154" i="52"/>
  <c r="R156" i="52"/>
  <c r="R151" i="52"/>
  <c r="R162" i="52" s="1"/>
  <c r="R163" i="52" s="1"/>
  <c r="N148" i="52"/>
  <c r="N147" i="52"/>
  <c r="I124" i="52"/>
  <c r="J124" i="52"/>
  <c r="L124" i="52"/>
  <c r="I160" i="52"/>
  <c r="P184" i="52"/>
  <c r="P183" i="52"/>
  <c r="O183" i="52"/>
  <c r="O184" i="52"/>
  <c r="J183" i="52"/>
  <c r="J184" i="52"/>
  <c r="K183" i="52"/>
  <c r="K184" i="52"/>
  <c r="L183" i="52"/>
  <c r="L184" i="52"/>
  <c r="M183" i="52"/>
  <c r="M184" i="52"/>
  <c r="N183" i="52"/>
  <c r="N184" i="52"/>
  <c r="N185" i="52"/>
  <c r="N196" i="52" s="1"/>
  <c r="I184" i="52"/>
  <c r="I183" i="52"/>
  <c r="I185" i="52" s="1"/>
  <c r="I212" i="52" s="1"/>
  <c r="L132" i="52"/>
  <c r="M128" i="52" s="1"/>
  <c r="L130" i="52"/>
  <c r="J204" i="52"/>
  <c r="K200" i="52" s="1"/>
  <c r="J202" i="52"/>
  <c r="J216" i="52" s="1"/>
  <c r="Q141" i="52"/>
  <c r="Q146" i="52"/>
  <c r="Q140" i="52"/>
  <c r="Q142" i="52" s="1"/>
  <c r="P111" i="52"/>
  <c r="P112" i="52"/>
  <c r="O109" i="52"/>
  <c r="M113" i="52"/>
  <c r="N113" i="52"/>
  <c r="K113" i="52"/>
  <c r="O149" i="52"/>
  <c r="O160" i="52" s="1"/>
  <c r="Q126" i="52"/>
  <c r="Q127" i="52" s="1"/>
  <c r="Q129" i="52" s="1"/>
  <c r="Q198" i="52"/>
  <c r="Q199" i="52" s="1"/>
  <c r="Q201" i="52" s="1"/>
  <c r="R175" i="52"/>
  <c r="R103" i="52"/>
  <c r="R139" i="52"/>
  <c r="M133" i="53"/>
  <c r="N132" i="53"/>
  <c r="O128" i="53" s="1"/>
  <c r="N130" i="53"/>
  <c r="R76" i="47"/>
  <c r="O152" i="47"/>
  <c r="O153" i="47" s="1"/>
  <c r="P31" i="43" a="1"/>
  <c r="P29" i="43" a="1"/>
  <c r="P30" i="43" a="1"/>
  <c r="P32" i="43" a="1"/>
  <c r="R6" i="51"/>
  <c r="Q7" i="51"/>
  <c r="Q64" i="51"/>
  <c r="Q65" i="51"/>
  <c r="Q68" i="51"/>
  <c r="Q73" i="51"/>
  <c r="Q74" i="51"/>
  <c r="Q79" i="51" s="1"/>
  <c r="Q81" i="51"/>
  <c r="Q82" i="51" s="1"/>
  <c r="Q85" i="51"/>
  <c r="Q86" i="51"/>
  <c r="Q87" i="51"/>
  <c r="Q88" i="51"/>
  <c r="Q89" i="51"/>
  <c r="Q90" i="51"/>
  <c r="Q91" i="51"/>
  <c r="Q92" i="51"/>
  <c r="Q93" i="51"/>
  <c r="Q94" i="51"/>
  <c r="Q103" i="51"/>
  <c r="P66" i="51"/>
  <c r="Q66" i="51" s="1"/>
  <c r="P67" i="51"/>
  <c r="P69" i="51"/>
  <c r="P79" i="51"/>
  <c r="P83" i="51"/>
  <c r="P84" i="51"/>
  <c r="O70" i="51"/>
  <c r="O71" i="51"/>
  <c r="O76" i="51"/>
  <c r="O98" i="51"/>
  <c r="O99" i="51" s="1"/>
  <c r="O101" i="51" s="1"/>
  <c r="O95" i="51"/>
  <c r="M102" i="51"/>
  <c r="M104" i="51"/>
  <c r="N100" i="51" s="1"/>
  <c r="J97" i="51"/>
  <c r="I107" i="51"/>
  <c r="I108" i="51"/>
  <c r="I106" i="51"/>
  <c r="M75" i="51"/>
  <c r="N72" i="51"/>
  <c r="N75" i="51" s="1"/>
  <c r="L96" i="51"/>
  <c r="L105" i="51" s="1"/>
  <c r="K105" i="51"/>
  <c r="Q88" i="47"/>
  <c r="Q151" i="47"/>
  <c r="Q158" i="47"/>
  <c r="Q147" i="47"/>
  <c r="Q81" i="47"/>
  <c r="Q82" i="47" s="1"/>
  <c r="Q87" i="47"/>
  <c r="Q142" i="47" s="1"/>
  <c r="Q150" i="47"/>
  <c r="Q152" i="47" s="1"/>
  <c r="Q157" i="47"/>
  <c r="Q159" i="47"/>
  <c r="R85" i="47"/>
  <c r="R61" i="47"/>
  <c r="R62" i="47"/>
  <c r="R63" i="47"/>
  <c r="R223" i="47"/>
  <c r="R77" i="47"/>
  <c r="R80" i="47"/>
  <c r="R78" i="47"/>
  <c r="R79" i="47"/>
  <c r="R146" i="47"/>
  <c r="R156" i="47"/>
  <c r="S67" i="47"/>
  <c r="S68" i="47"/>
  <c r="S69" i="47" s="1"/>
  <c r="S196" i="47"/>
  <c r="S197" i="47"/>
  <c r="S198" i="47" s="1"/>
  <c r="S59" i="47"/>
  <c r="S60" i="47"/>
  <c r="S73" i="47"/>
  <c r="S74" i="47" s="1"/>
  <c r="S75" i="47"/>
  <c r="T66" i="47"/>
  <c r="T195" i="47"/>
  <c r="T58" i="47"/>
  <c r="T72" i="47"/>
  <c r="U6" i="47"/>
  <c r="O160" i="47"/>
  <c r="O87" i="47"/>
  <c r="O142" i="47" s="1"/>
  <c r="O82" i="47"/>
  <c r="R199" i="47"/>
  <c r="N143" i="47"/>
  <c r="I177" i="43"/>
  <c r="I178" i="43" s="1"/>
  <c r="I179" i="43" s="1"/>
  <c r="I57" i="43"/>
  <c r="P26" i="45"/>
  <c r="P28" i="45" s="1"/>
  <c r="P31" i="45" s="1"/>
  <c r="P30" i="45" s="1"/>
  <c r="Q29" i="45" a="1"/>
  <c r="Q24" i="45" a="1"/>
  <c r="Q25" i="45" a="1"/>
  <c r="Q27" i="45" a="1"/>
  <c r="Q18" i="45"/>
  <c r="Q19" i="45" s="1"/>
  <c r="Q20" i="45" s="1"/>
  <c r="Q35" i="45" s="1"/>
  <c r="R6" i="45"/>
  <c r="R23" i="45" s="1"/>
  <c r="O183" i="43"/>
  <c r="P176" i="43"/>
  <c r="P186" i="43"/>
  <c r="Q6" i="43"/>
  <c r="Y71" i="44"/>
  <c r="K68" i="44"/>
  <c r="L68" i="44" s="1"/>
  <c r="M68" i="44" s="1"/>
  <c r="N68" i="44" s="1"/>
  <c r="O68" i="44" s="1"/>
  <c r="P68" i="44" s="1"/>
  <c r="Q68" i="44" s="1"/>
  <c r="R68" i="44" s="1"/>
  <c r="S68" i="44" s="1"/>
  <c r="T68" i="44" s="1"/>
  <c r="U68" i="44" s="1"/>
  <c r="V68" i="44" s="1"/>
  <c r="W68" i="44" s="1"/>
  <c r="X68" i="44" s="1"/>
  <c r="Y68" i="44" s="1"/>
  <c r="Z68" i="44" s="1"/>
  <c r="O109" i="43"/>
  <c r="P48" i="43"/>
  <c r="G133" i="44" l="1"/>
  <c r="G135" i="44"/>
  <c r="E140" i="44" s="1"/>
  <c r="H150" i="44" s="1"/>
  <c r="E132" i="44"/>
  <c r="E141" i="44"/>
  <c r="E138" i="44"/>
  <c r="H149" i="44" s="1"/>
  <c r="E144" i="44"/>
  <c r="H154" i="44" s="1"/>
  <c r="I154" i="44" s="1"/>
  <c r="P195" i="53"/>
  <c r="P159" i="53"/>
  <c r="S194" i="53"/>
  <c r="S158" i="53"/>
  <c r="S122" i="53"/>
  <c r="Q159" i="52"/>
  <c r="O166" i="52"/>
  <c r="O168" i="52"/>
  <c r="P164" i="52" s="1"/>
  <c r="T194" i="52"/>
  <c r="T158" i="52"/>
  <c r="T122" i="52"/>
  <c r="P59" i="46"/>
  <c r="P60" i="46"/>
  <c r="P58" i="46"/>
  <c r="P61" i="46"/>
  <c r="P71" i="46"/>
  <c r="P68" i="46"/>
  <c r="P101" i="46"/>
  <c r="Q57" i="46"/>
  <c r="Q67" i="46"/>
  <c r="R6" i="46"/>
  <c r="M129" i="46"/>
  <c r="O62" i="46"/>
  <c r="O95" i="46"/>
  <c r="O98" i="46"/>
  <c r="O97" i="46"/>
  <c r="O96" i="46"/>
  <c r="E77" i="44"/>
  <c r="G149" i="44" s="1"/>
  <c r="AA73" i="44"/>
  <c r="E82" i="44" s="1"/>
  <c r="E95" i="44"/>
  <c r="E96" i="44"/>
  <c r="I15" i="54" a="1"/>
  <c r="F72" i="54" s="1"/>
  <c r="J47" i="54"/>
  <c r="K47" i="54" s="1"/>
  <c r="L47" i="54" s="1"/>
  <c r="M47" i="54" s="1"/>
  <c r="N47" i="54" s="1"/>
  <c r="O47" i="54" s="1"/>
  <c r="P47" i="54" s="1"/>
  <c r="Q47" i="54" s="1"/>
  <c r="R47" i="54" s="1"/>
  <c r="S47" i="54" s="1"/>
  <c r="T47" i="54" s="1"/>
  <c r="Z74" i="44"/>
  <c r="E81" i="44"/>
  <c r="AA68" i="44"/>
  <c r="E80" i="44"/>
  <c r="G150" i="44" s="1"/>
  <c r="E83" i="44"/>
  <c r="Q34" i="43"/>
  <c r="Q33" i="43"/>
  <c r="K130" i="46"/>
  <c r="K103" i="46"/>
  <c r="V10" i="54"/>
  <c r="U27" i="54" a="1"/>
  <c r="T57" i="54"/>
  <c r="P185" i="52"/>
  <c r="P196" i="52" s="1"/>
  <c r="Q145" i="52"/>
  <c r="Q147" i="53"/>
  <c r="Q148" i="53"/>
  <c r="Q149" i="53"/>
  <c r="Q198" i="53"/>
  <c r="Q199" i="53" s="1"/>
  <c r="Q201" i="53" s="1"/>
  <c r="Q188" i="53"/>
  <c r="Q191" i="53"/>
  <c r="Q111" i="53"/>
  <c r="Q112" i="53"/>
  <c r="Q113" i="53"/>
  <c r="Q116" i="53"/>
  <c r="Q119" i="53"/>
  <c r="Q152" i="53"/>
  <c r="Q155" i="53"/>
  <c r="R182" i="53"/>
  <c r="R177" i="53"/>
  <c r="R181" i="53" s="1"/>
  <c r="R192" i="53"/>
  <c r="R190" i="53"/>
  <c r="R187" i="53"/>
  <c r="R146" i="53"/>
  <c r="R141" i="53"/>
  <c r="R145" i="53" s="1"/>
  <c r="R210" i="53"/>
  <c r="R110" i="53"/>
  <c r="R105" i="53"/>
  <c r="R109" i="53" s="1"/>
  <c r="R211" i="53" s="1"/>
  <c r="R154" i="53"/>
  <c r="R156" i="53"/>
  <c r="R151" i="53"/>
  <c r="R120" i="53"/>
  <c r="R115" i="53"/>
  <c r="R118" i="53"/>
  <c r="S203" i="53"/>
  <c r="S180" i="53"/>
  <c r="S174" i="53"/>
  <c r="S175" i="53" s="1"/>
  <c r="S176" i="53" s="1"/>
  <c r="S178" i="53" s="1"/>
  <c r="S167" i="53"/>
  <c r="S144" i="53"/>
  <c r="S179" i="53"/>
  <c r="S131" i="53"/>
  <c r="S108" i="53"/>
  <c r="S138" i="53"/>
  <c r="S139" i="53" s="1"/>
  <c r="S143" i="53"/>
  <c r="S189" i="53"/>
  <c r="S186" i="53"/>
  <c r="S193" i="53"/>
  <c r="S150" i="53"/>
  <c r="S153" i="53"/>
  <c r="S107" i="53"/>
  <c r="S102" i="53"/>
  <c r="S103" i="53" s="1"/>
  <c r="S104" i="53" s="1"/>
  <c r="S106" i="53" s="1"/>
  <c r="S114" i="53"/>
  <c r="S117" i="53"/>
  <c r="S121" i="53"/>
  <c r="S7" i="53"/>
  <c r="T6" i="53"/>
  <c r="S157" i="53"/>
  <c r="O213" i="53"/>
  <c r="P160" i="53"/>
  <c r="P113" i="53"/>
  <c r="P124" i="53" s="1"/>
  <c r="Q162" i="53"/>
  <c r="Q163" i="53" s="1"/>
  <c r="Q165" i="53" s="1"/>
  <c r="J211" i="53"/>
  <c r="J183" i="53"/>
  <c r="J184" i="53"/>
  <c r="K211" i="53"/>
  <c r="K183" i="53"/>
  <c r="K184" i="53"/>
  <c r="L211" i="53"/>
  <c r="L183" i="53"/>
  <c r="L184" i="53"/>
  <c r="M211" i="53"/>
  <c r="M183" i="53"/>
  <c r="M184" i="53"/>
  <c r="N211" i="53"/>
  <c r="N183" i="53"/>
  <c r="N184" i="53"/>
  <c r="O211" i="53"/>
  <c r="O183" i="53"/>
  <c r="O184" i="53"/>
  <c r="P211" i="53"/>
  <c r="P183" i="53"/>
  <c r="P184" i="53"/>
  <c r="Q211" i="53"/>
  <c r="Q183" i="53"/>
  <c r="Q184" i="53"/>
  <c r="I181" i="53"/>
  <c r="K204" i="53"/>
  <c r="L200" i="53" s="1"/>
  <c r="K202" i="53"/>
  <c r="K216" i="53" s="1"/>
  <c r="I171" i="53"/>
  <c r="I170" i="53"/>
  <c r="J161" i="53"/>
  <c r="M168" i="53"/>
  <c r="N164" i="53" s="1"/>
  <c r="M166" i="53"/>
  <c r="I135" i="53"/>
  <c r="I134" i="53"/>
  <c r="J125" i="53"/>
  <c r="L169" i="53"/>
  <c r="K171" i="53"/>
  <c r="P213" i="52"/>
  <c r="P145" i="52"/>
  <c r="Q178" i="52"/>
  <c r="Q106" i="52"/>
  <c r="R191" i="52"/>
  <c r="R188" i="52"/>
  <c r="R195" i="52" s="1"/>
  <c r="R126" i="52"/>
  <c r="R127" i="52" s="1"/>
  <c r="R129" i="52" s="1"/>
  <c r="R119" i="52"/>
  <c r="R116" i="52"/>
  <c r="R123" i="52" s="1"/>
  <c r="S115" i="52"/>
  <c r="S120" i="52"/>
  <c r="S118" i="52"/>
  <c r="S192" i="52"/>
  <c r="S190" i="52"/>
  <c r="S187" i="52"/>
  <c r="S146" i="52"/>
  <c r="S141" i="52"/>
  <c r="S156" i="52"/>
  <c r="S154" i="52"/>
  <c r="S151" i="52"/>
  <c r="T179" i="52"/>
  <c r="T203" i="52"/>
  <c r="T114" i="52"/>
  <c r="T144" i="52"/>
  <c r="T102" i="52"/>
  <c r="T189" i="52"/>
  <c r="T7" i="52"/>
  <c r="T186" i="52"/>
  <c r="T174" i="52"/>
  <c r="T107" i="52"/>
  <c r="T180" i="52"/>
  <c r="T193" i="52"/>
  <c r="T167" i="52"/>
  <c r="T143" i="52"/>
  <c r="T108" i="52"/>
  <c r="T117" i="52"/>
  <c r="T121" i="52"/>
  <c r="T138" i="52"/>
  <c r="T150" i="52"/>
  <c r="T153" i="52"/>
  <c r="T131" i="52"/>
  <c r="T157" i="52"/>
  <c r="U6" i="52"/>
  <c r="R155" i="52"/>
  <c r="R152" i="52"/>
  <c r="R159" i="52" s="1"/>
  <c r="N149" i="52"/>
  <c r="N212" i="52" s="1"/>
  <c r="I133" i="52"/>
  <c r="I125" i="52"/>
  <c r="J133" i="52"/>
  <c r="L133" i="52"/>
  <c r="I169" i="52"/>
  <c r="I161" i="52"/>
  <c r="I196" i="52"/>
  <c r="I214" i="52" s="1"/>
  <c r="M132" i="52"/>
  <c r="N128" i="52" s="1"/>
  <c r="M130" i="52"/>
  <c r="K202" i="52"/>
  <c r="K216" i="52" s="1"/>
  <c r="K204" i="52"/>
  <c r="L200" i="52" s="1"/>
  <c r="O211" i="52"/>
  <c r="O112" i="52"/>
  <c r="O111" i="52"/>
  <c r="M124" i="52"/>
  <c r="N124" i="52"/>
  <c r="K124" i="52"/>
  <c r="R176" i="52"/>
  <c r="R178" i="52" s="1"/>
  <c r="R177" i="52"/>
  <c r="R182" i="52"/>
  <c r="R105" i="52"/>
  <c r="R110" i="52"/>
  <c r="R210" i="52"/>
  <c r="R104" i="52"/>
  <c r="R141" i="52"/>
  <c r="R146" i="52"/>
  <c r="R140" i="52"/>
  <c r="O185" i="52"/>
  <c r="O196" i="52" s="1"/>
  <c r="J185" i="52"/>
  <c r="K185" i="52"/>
  <c r="L185" i="52"/>
  <c r="M185" i="52"/>
  <c r="P113" i="52"/>
  <c r="R165" i="52"/>
  <c r="R198" i="52"/>
  <c r="R199" i="52" s="1"/>
  <c r="R201" i="52" s="1"/>
  <c r="S103" i="52"/>
  <c r="S175" i="52"/>
  <c r="M135" i="53"/>
  <c r="O130" i="53"/>
  <c r="O132" i="53"/>
  <c r="P128" i="53" s="1"/>
  <c r="N133" i="53"/>
  <c r="P166" i="52"/>
  <c r="P168" i="52"/>
  <c r="Q164" i="52" s="1"/>
  <c r="O169" i="52"/>
  <c r="Q31" i="43" a="1"/>
  <c r="Q29" i="43" a="1"/>
  <c r="Q30" i="43" a="1"/>
  <c r="Q32" i="43" a="1"/>
  <c r="S6" i="51"/>
  <c r="R7" i="51"/>
  <c r="R65" i="51"/>
  <c r="R68" i="51"/>
  <c r="R73" i="51"/>
  <c r="R74" i="51"/>
  <c r="R103" i="51"/>
  <c r="R64" i="51"/>
  <c r="R81" i="51"/>
  <c r="R82" i="51" s="1"/>
  <c r="R85" i="51"/>
  <c r="R86" i="51"/>
  <c r="R87" i="51"/>
  <c r="R88" i="51"/>
  <c r="R89" i="51"/>
  <c r="R90" i="51"/>
  <c r="R91" i="51"/>
  <c r="R92" i="51"/>
  <c r="R93" i="51"/>
  <c r="R94" i="51"/>
  <c r="Q67" i="51"/>
  <c r="Q69" i="51"/>
  <c r="Q83" i="51"/>
  <c r="Q84" i="51"/>
  <c r="P70" i="51"/>
  <c r="P71" i="51"/>
  <c r="P76" i="51"/>
  <c r="P98" i="51"/>
  <c r="P99" i="51" s="1"/>
  <c r="P101" i="51" s="1"/>
  <c r="P95" i="51"/>
  <c r="N77" i="51"/>
  <c r="N78" i="51"/>
  <c r="N80" i="51" s="1"/>
  <c r="N96" i="51" s="1"/>
  <c r="N102" i="51"/>
  <c r="N104" i="51"/>
  <c r="O100" i="51" s="1"/>
  <c r="J106" i="51"/>
  <c r="M78" i="51"/>
  <c r="M77" i="51"/>
  <c r="L108" i="51"/>
  <c r="L107" i="51"/>
  <c r="K107" i="51"/>
  <c r="K108" i="51"/>
  <c r="O72" i="51"/>
  <c r="O75" i="51" s="1"/>
  <c r="K97" i="51"/>
  <c r="L97" i="51" s="1"/>
  <c r="R88" i="47"/>
  <c r="R158" i="47"/>
  <c r="R151" i="47"/>
  <c r="R147" i="47"/>
  <c r="R81" i="47"/>
  <c r="R149" i="47"/>
  <c r="R148" i="47"/>
  <c r="R86" i="47"/>
  <c r="R150" i="47"/>
  <c r="R152" i="47"/>
  <c r="R157" i="47"/>
  <c r="R159" i="47"/>
  <c r="S61" i="47"/>
  <c r="S62" i="47"/>
  <c r="S63" i="47"/>
  <c r="S223" i="47"/>
  <c r="T67" i="47"/>
  <c r="T68" i="47"/>
  <c r="T69" i="47"/>
  <c r="T85" i="47" s="1"/>
  <c r="T197" i="47"/>
  <c r="T196" i="47"/>
  <c r="T198" i="47" s="1"/>
  <c r="T59" i="47"/>
  <c r="T60" i="47"/>
  <c r="T73" i="47"/>
  <c r="T74" i="47" s="1"/>
  <c r="T75" i="47"/>
  <c r="U66" i="47"/>
  <c r="U195" i="47"/>
  <c r="U58" i="47"/>
  <c r="U72" i="47"/>
  <c r="V6" i="47"/>
  <c r="P160" i="47"/>
  <c r="Q160" i="47" s="1"/>
  <c r="O143" i="47"/>
  <c r="S76" i="47"/>
  <c r="S85" i="47"/>
  <c r="S199" i="47"/>
  <c r="P153" i="47"/>
  <c r="Q153" i="47" s="1"/>
  <c r="I83" i="43"/>
  <c r="I62" i="43"/>
  <c r="I67" i="43"/>
  <c r="I63" i="43"/>
  <c r="I68" i="43"/>
  <c r="Q26" i="45"/>
  <c r="Q28" i="45" s="1"/>
  <c r="Q31" i="45" s="1"/>
  <c r="Q30" i="45" s="1"/>
  <c r="R25" i="45" a="1"/>
  <c r="R27" i="45" a="1"/>
  <c r="R24" i="45" a="1"/>
  <c r="R29" i="45" a="1"/>
  <c r="J57" i="43"/>
  <c r="J177" i="43"/>
  <c r="J178" i="43" s="1"/>
  <c r="J179" i="43" s="1"/>
  <c r="R18" i="45"/>
  <c r="R19" i="45" s="1"/>
  <c r="R20" i="45" s="1"/>
  <c r="R35" i="45" s="1"/>
  <c r="S6" i="45"/>
  <c r="S23" i="45" s="1"/>
  <c r="P183" i="43"/>
  <c r="R6" i="43"/>
  <c r="Q176" i="43"/>
  <c r="Q186" i="43"/>
  <c r="Z71" i="44"/>
  <c r="E90" i="44" s="1"/>
  <c r="G153" i="44" s="1"/>
  <c r="Q48" i="43"/>
  <c r="P109" i="43"/>
  <c r="I150" i="44" l="1"/>
  <c r="I149" i="44"/>
  <c r="H133" i="44"/>
  <c r="I133" i="44" s="1"/>
  <c r="J133" i="44" s="1"/>
  <c r="K133" i="44" s="1"/>
  <c r="L133" i="44" s="1"/>
  <c r="M133" i="44" s="1"/>
  <c r="N133" i="44" s="1"/>
  <c r="O133" i="44" s="1"/>
  <c r="H151" i="44"/>
  <c r="I151" i="44" s="1"/>
  <c r="E145" i="44"/>
  <c r="Q195" i="53"/>
  <c r="Q123" i="53"/>
  <c r="Q159" i="53"/>
  <c r="T194" i="53"/>
  <c r="T158" i="53"/>
  <c r="T122" i="53"/>
  <c r="U194" i="52"/>
  <c r="U158" i="52"/>
  <c r="U122" i="52"/>
  <c r="P62" i="46"/>
  <c r="P118" i="46" s="1"/>
  <c r="P129" i="46" s="1"/>
  <c r="Q61" i="46"/>
  <c r="Q58" i="46"/>
  <c r="Q59" i="46"/>
  <c r="Q60" i="46"/>
  <c r="Q71" i="46"/>
  <c r="Q101" i="46"/>
  <c r="Q68" i="46"/>
  <c r="R57" i="46"/>
  <c r="R67" i="46"/>
  <c r="S6" i="46"/>
  <c r="O118" i="46"/>
  <c r="O70" i="46"/>
  <c r="P98" i="46"/>
  <c r="P97" i="46"/>
  <c r="P95" i="46"/>
  <c r="P96" i="46"/>
  <c r="O72" i="54"/>
  <c r="R160" i="47"/>
  <c r="R34" i="43"/>
  <c r="R33" i="43"/>
  <c r="U47" i="54"/>
  <c r="V27" i="54" a="1"/>
  <c r="W10" i="54"/>
  <c r="U57" i="54"/>
  <c r="Q147" i="52"/>
  <c r="Q148" i="52"/>
  <c r="Q149" i="52" s="1"/>
  <c r="Q160" i="52" s="1"/>
  <c r="R188" i="53"/>
  <c r="R191" i="53"/>
  <c r="R147" i="53"/>
  <c r="R148" i="53"/>
  <c r="R149" i="53" s="1"/>
  <c r="R112" i="53"/>
  <c r="R111" i="53"/>
  <c r="R113" i="53" s="1"/>
  <c r="R152" i="53"/>
  <c r="R155" i="53"/>
  <c r="R126" i="53"/>
  <c r="R127" i="53" s="1"/>
  <c r="R129" i="53" s="1"/>
  <c r="R116" i="53"/>
  <c r="R119" i="53"/>
  <c r="S182" i="53"/>
  <c r="S177" i="53"/>
  <c r="S181" i="53" s="1"/>
  <c r="S141" i="53"/>
  <c r="S146" i="53"/>
  <c r="S140" i="53"/>
  <c r="S142" i="53" s="1"/>
  <c r="S145" i="53" s="1"/>
  <c r="S187" i="53"/>
  <c r="S190" i="53"/>
  <c r="S192" i="53"/>
  <c r="S151" i="53"/>
  <c r="S154" i="53"/>
  <c r="S156" i="53"/>
  <c r="S210" i="53"/>
  <c r="S110" i="53"/>
  <c r="S105" i="53"/>
  <c r="S109" i="53" s="1"/>
  <c r="S118" i="53"/>
  <c r="S120" i="53"/>
  <c r="S115" i="53"/>
  <c r="T203" i="53"/>
  <c r="T180" i="53"/>
  <c r="T174" i="53"/>
  <c r="T175" i="53" s="1"/>
  <c r="T176" i="53" s="1"/>
  <c r="T178" i="53" s="1"/>
  <c r="T167" i="53"/>
  <c r="T144" i="53"/>
  <c r="T179" i="53"/>
  <c r="T131" i="53"/>
  <c r="T138" i="53"/>
  <c r="T139" i="53" s="1"/>
  <c r="T143" i="53"/>
  <c r="T189" i="53"/>
  <c r="T186" i="53"/>
  <c r="T108" i="53"/>
  <c r="T193" i="53"/>
  <c r="T153" i="53"/>
  <c r="T150" i="53"/>
  <c r="T107" i="53"/>
  <c r="T102" i="53"/>
  <c r="T103" i="53" s="1"/>
  <c r="T104" i="53" s="1"/>
  <c r="T106" i="53" s="1"/>
  <c r="T117" i="53"/>
  <c r="T7" i="53"/>
  <c r="T114" i="53"/>
  <c r="T121" i="53"/>
  <c r="T157" i="53"/>
  <c r="U6" i="53"/>
  <c r="Q124" i="53"/>
  <c r="P213" i="53"/>
  <c r="Q160" i="53"/>
  <c r="Q213" i="53"/>
  <c r="R183" i="53"/>
  <c r="R185" i="53" s="1"/>
  <c r="R184" i="53"/>
  <c r="R198" i="53"/>
  <c r="R199" i="53" s="1"/>
  <c r="R201" i="53" s="1"/>
  <c r="S198" i="53"/>
  <c r="S199" i="53" s="1"/>
  <c r="S201" i="53" s="1"/>
  <c r="R162" i="53"/>
  <c r="R163" i="53" s="1"/>
  <c r="R165" i="53" s="1"/>
  <c r="S184" i="53"/>
  <c r="S183" i="53"/>
  <c r="S185" i="53" s="1"/>
  <c r="I211" i="53"/>
  <c r="I184" i="53"/>
  <c r="I183" i="53"/>
  <c r="I185" i="53" s="1"/>
  <c r="L204" i="53"/>
  <c r="M200" i="53" s="1"/>
  <c r="L202" i="53"/>
  <c r="L216" i="53" s="1"/>
  <c r="J170" i="53"/>
  <c r="N168" i="53"/>
  <c r="O164" i="53" s="1"/>
  <c r="N166" i="53"/>
  <c r="M169" i="53"/>
  <c r="J134" i="53"/>
  <c r="L171" i="53"/>
  <c r="J185" i="53"/>
  <c r="K185" i="53"/>
  <c r="L185" i="53"/>
  <c r="M185" i="53"/>
  <c r="N185" i="53"/>
  <c r="O185" i="53"/>
  <c r="P185" i="53"/>
  <c r="Q185" i="53"/>
  <c r="K161" i="53"/>
  <c r="K125" i="53"/>
  <c r="R181" i="52"/>
  <c r="M196" i="52"/>
  <c r="M212" i="52"/>
  <c r="P211" i="52"/>
  <c r="P148" i="52"/>
  <c r="P147" i="52"/>
  <c r="R184" i="52"/>
  <c r="R183" i="52"/>
  <c r="R185" i="52" s="1"/>
  <c r="Q181" i="52"/>
  <c r="Q109" i="52"/>
  <c r="Q213" i="52"/>
  <c r="S126" i="52"/>
  <c r="S127" i="52" s="1"/>
  <c r="S129" i="52" s="1"/>
  <c r="S116" i="52"/>
  <c r="S119" i="52"/>
  <c r="S198" i="52"/>
  <c r="S199" i="52" s="1"/>
  <c r="S201" i="52" s="1"/>
  <c r="S191" i="52"/>
  <c r="S188" i="52"/>
  <c r="S195" i="52" s="1"/>
  <c r="S162" i="52"/>
  <c r="S163" i="52" s="1"/>
  <c r="S165" i="52" s="1"/>
  <c r="S155" i="52"/>
  <c r="S152" i="52"/>
  <c r="S159" i="52" s="1"/>
  <c r="T120" i="52"/>
  <c r="T118" i="52"/>
  <c r="T115" i="52"/>
  <c r="T192" i="52"/>
  <c r="T190" i="52"/>
  <c r="T187" i="52"/>
  <c r="T139" i="52"/>
  <c r="T154" i="52"/>
  <c r="T151" i="52"/>
  <c r="T156" i="52"/>
  <c r="U7" i="52"/>
  <c r="U107" i="52"/>
  <c r="U167" i="52"/>
  <c r="U174" i="52"/>
  <c r="U175" i="52" s="1"/>
  <c r="U176" i="52" s="1"/>
  <c r="U203" i="52"/>
  <c r="U186" i="52"/>
  <c r="U143" i="52"/>
  <c r="U114" i="52"/>
  <c r="U108" i="52"/>
  <c r="U193" i="52"/>
  <c r="U179" i="52"/>
  <c r="U102" i="52"/>
  <c r="U103" i="52" s="1"/>
  <c r="U189" i="52"/>
  <c r="U144" i="52"/>
  <c r="U180" i="52"/>
  <c r="U117" i="52"/>
  <c r="U121" i="52"/>
  <c r="U131" i="52"/>
  <c r="U138" i="52"/>
  <c r="U150" i="52"/>
  <c r="U153" i="52"/>
  <c r="U157" i="52"/>
  <c r="V6" i="52"/>
  <c r="N160" i="52"/>
  <c r="I135" i="52"/>
  <c r="I134" i="52"/>
  <c r="J125" i="52"/>
  <c r="J135" i="52"/>
  <c r="L135" i="52"/>
  <c r="I171" i="52"/>
  <c r="I170" i="52"/>
  <c r="J161" i="52"/>
  <c r="I215" i="52"/>
  <c r="I197" i="52"/>
  <c r="I205" i="52"/>
  <c r="I217" i="52" s="1"/>
  <c r="N130" i="52"/>
  <c r="N132" i="52"/>
  <c r="O128" i="52" s="1"/>
  <c r="L202" i="52"/>
  <c r="L216" i="52" s="1"/>
  <c r="L204" i="52"/>
  <c r="M200" i="52" s="1"/>
  <c r="O113" i="52"/>
  <c r="M133" i="52"/>
  <c r="M214" i="52"/>
  <c r="K133" i="52"/>
  <c r="S142" i="52"/>
  <c r="S145" i="52" s="1"/>
  <c r="R142" i="52"/>
  <c r="J212" i="52"/>
  <c r="J196" i="52"/>
  <c r="L212" i="52"/>
  <c r="L196" i="52"/>
  <c r="P124" i="52"/>
  <c r="S104" i="52"/>
  <c r="S105" i="52"/>
  <c r="S110" i="52"/>
  <c r="S210" i="52"/>
  <c r="S177" i="52"/>
  <c r="S182" i="52"/>
  <c r="S176" i="52"/>
  <c r="T103" i="52"/>
  <c r="T175" i="52"/>
  <c r="R213" i="52"/>
  <c r="R106" i="52"/>
  <c r="K196" i="52"/>
  <c r="K212" i="52"/>
  <c r="O171" i="52"/>
  <c r="O133" i="53"/>
  <c r="P130" i="53"/>
  <c r="P132" i="53"/>
  <c r="Q128" i="53" s="1"/>
  <c r="N135" i="53"/>
  <c r="Q166" i="52"/>
  <c r="Q168" i="52"/>
  <c r="R164" i="52" s="1"/>
  <c r="R31" i="43" a="1"/>
  <c r="R29" i="43" a="1"/>
  <c r="R32" i="43" a="1"/>
  <c r="R30" i="43" a="1"/>
  <c r="M80" i="51"/>
  <c r="M96" i="51" s="1"/>
  <c r="N105" i="51"/>
  <c r="T6" i="51"/>
  <c r="S7" i="51"/>
  <c r="S64" i="51"/>
  <c r="S65" i="51"/>
  <c r="S68" i="51"/>
  <c r="S73" i="51"/>
  <c r="S74" i="51"/>
  <c r="S81" i="51"/>
  <c r="S82" i="51" s="1"/>
  <c r="S85" i="51"/>
  <c r="S86" i="51"/>
  <c r="S87" i="51"/>
  <c r="S88" i="51"/>
  <c r="S89" i="51"/>
  <c r="S90" i="51"/>
  <c r="S91" i="51"/>
  <c r="S92" i="51"/>
  <c r="S93" i="51"/>
  <c r="S94" i="51"/>
  <c r="S103" i="51"/>
  <c r="R66" i="51"/>
  <c r="R67" i="51"/>
  <c r="R69" i="51"/>
  <c r="R79" i="51"/>
  <c r="R83" i="51"/>
  <c r="R84" i="51"/>
  <c r="Q70" i="51"/>
  <c r="Q72" i="51" s="1"/>
  <c r="Q71" i="51"/>
  <c r="Q76" i="51"/>
  <c r="Q98" i="51"/>
  <c r="Q99" i="51" s="1"/>
  <c r="Q101" i="51" s="1"/>
  <c r="Q95" i="51"/>
  <c r="O104" i="51"/>
  <c r="P100" i="51" s="1"/>
  <c r="O102" i="51"/>
  <c r="O78" i="51"/>
  <c r="O77" i="51"/>
  <c r="O80" i="51" s="1"/>
  <c r="P72" i="51"/>
  <c r="P75" i="51" s="1"/>
  <c r="K106" i="51"/>
  <c r="L106" i="51" s="1"/>
  <c r="R82" i="47"/>
  <c r="R87" i="47"/>
  <c r="R142" i="47" s="1"/>
  <c r="S88" i="47"/>
  <c r="S158" i="47"/>
  <c r="S151" i="47"/>
  <c r="T61" i="47"/>
  <c r="T62" i="47"/>
  <c r="T63" i="47"/>
  <c r="T223" i="47"/>
  <c r="U67" i="47"/>
  <c r="U68" i="47"/>
  <c r="U69" i="47"/>
  <c r="U197" i="47"/>
  <c r="U196" i="47"/>
  <c r="U198" i="47" s="1"/>
  <c r="U59" i="47"/>
  <c r="U60" i="47"/>
  <c r="U73" i="47"/>
  <c r="U74" i="47" s="1"/>
  <c r="U75" i="47"/>
  <c r="V66" i="47"/>
  <c r="V195" i="47"/>
  <c r="V58" i="47"/>
  <c r="V72" i="47"/>
  <c r="W6" i="47"/>
  <c r="P143" i="47"/>
  <c r="S156" i="47"/>
  <c r="S146" i="47"/>
  <c r="S79" i="47"/>
  <c r="S78" i="47"/>
  <c r="S80" i="47"/>
  <c r="S77" i="47"/>
  <c r="T76" i="47"/>
  <c r="T199" i="47"/>
  <c r="R153" i="47"/>
  <c r="I87" i="43"/>
  <c r="I77" i="43" s="1"/>
  <c r="I99" i="43" s="1"/>
  <c r="I85" i="43"/>
  <c r="I84" i="43"/>
  <c r="I86" i="43" s="1"/>
  <c r="I76" i="43" s="1"/>
  <c r="J62" i="43"/>
  <c r="J68" i="43"/>
  <c r="J67" i="43"/>
  <c r="J83" i="43"/>
  <c r="J63" i="43"/>
  <c r="I61" i="43"/>
  <c r="I64" i="43" s="1"/>
  <c r="I66" i="43" s="1"/>
  <c r="I69" i="43" s="1"/>
  <c r="R26" i="45"/>
  <c r="R28" i="45" s="1"/>
  <c r="R31" i="45" s="1"/>
  <c r="R30" i="45" s="1"/>
  <c r="S25" i="45" a="1"/>
  <c r="S27" i="45" a="1"/>
  <c r="S24" i="45" a="1"/>
  <c r="S29" i="45" a="1"/>
  <c r="E88" i="44"/>
  <c r="E87" i="44"/>
  <c r="G152" i="44" s="1"/>
  <c r="K57" i="43"/>
  <c r="K177" i="43"/>
  <c r="K178" i="43" s="1"/>
  <c r="K179" i="43" s="1"/>
  <c r="S18" i="45"/>
  <c r="S19" i="45" s="1"/>
  <c r="S20" i="45" s="1"/>
  <c r="S35" i="45" s="1"/>
  <c r="T6" i="45"/>
  <c r="T23" i="45" s="1"/>
  <c r="Q183" i="43"/>
  <c r="R176" i="43"/>
  <c r="R186" i="43"/>
  <c r="S6" i="43"/>
  <c r="Q109" i="43"/>
  <c r="R48" i="43"/>
  <c r="L34" i="45"/>
  <c r="L36" i="45" s="1"/>
  <c r="K34" i="45"/>
  <c r="K36" i="45" s="1"/>
  <c r="J34" i="45"/>
  <c r="J36" i="45" s="1"/>
  <c r="I34" i="45"/>
  <c r="I36" i="45" s="1"/>
  <c r="P133" i="44" l="1"/>
  <c r="Q133" i="44" s="1"/>
  <c r="R133" i="44" s="1"/>
  <c r="S133" i="44" s="1"/>
  <c r="T133" i="44" s="1"/>
  <c r="U133" i="44" s="1"/>
  <c r="V133" i="44" s="1"/>
  <c r="W133" i="44" s="1"/>
  <c r="X133" i="44" s="1"/>
  <c r="Y133" i="44" s="1"/>
  <c r="Z133" i="44" s="1"/>
  <c r="E142" i="44" s="1"/>
  <c r="H152" i="44" s="1"/>
  <c r="I152" i="44" s="1"/>
  <c r="E143" i="44"/>
  <c r="H153" i="44" s="1"/>
  <c r="I153" i="44" s="1"/>
  <c r="R195" i="53"/>
  <c r="R159" i="53"/>
  <c r="R123" i="53"/>
  <c r="L161" i="53"/>
  <c r="M161" i="53" s="1"/>
  <c r="N161" i="53" s="1"/>
  <c r="O161" i="53" s="1"/>
  <c r="P161" i="53" s="1"/>
  <c r="L125" i="53"/>
  <c r="M125" i="53" s="1"/>
  <c r="N125" i="53" s="1"/>
  <c r="O125" i="53" s="1"/>
  <c r="P125" i="53" s="1"/>
  <c r="U194" i="53"/>
  <c r="U158" i="53"/>
  <c r="U122" i="53"/>
  <c r="S123" i="52"/>
  <c r="V194" i="52"/>
  <c r="V158" i="52"/>
  <c r="V122" i="52"/>
  <c r="V57" i="54"/>
  <c r="R58" i="46"/>
  <c r="R60" i="46"/>
  <c r="R59" i="46"/>
  <c r="R61" i="46"/>
  <c r="R68" i="46"/>
  <c r="R97" i="46" s="1"/>
  <c r="R101" i="46"/>
  <c r="R71" i="46"/>
  <c r="S57" i="46"/>
  <c r="S67" i="46"/>
  <c r="T6" i="46"/>
  <c r="O129" i="46"/>
  <c r="Q62" i="46"/>
  <c r="Q118" i="46" s="1"/>
  <c r="Q129" i="46" s="1"/>
  <c r="Q98" i="46"/>
  <c r="Q96" i="46"/>
  <c r="Q97" i="46"/>
  <c r="Q70" i="46"/>
  <c r="Q95" i="46"/>
  <c r="P70" i="46"/>
  <c r="I70" i="43"/>
  <c r="S34" i="43"/>
  <c r="S33" i="43"/>
  <c r="X10" i="54"/>
  <c r="W27" i="54" a="1"/>
  <c r="V47" i="54"/>
  <c r="Q161" i="53"/>
  <c r="Q125" i="53"/>
  <c r="S147" i="53"/>
  <c r="S148" i="53"/>
  <c r="S188" i="53"/>
  <c r="S191" i="53"/>
  <c r="S162" i="53"/>
  <c r="S163" i="53" s="1"/>
  <c r="S165" i="53" s="1"/>
  <c r="S152" i="53"/>
  <c r="S155" i="53"/>
  <c r="S112" i="53"/>
  <c r="S111" i="53"/>
  <c r="S113" i="53" s="1"/>
  <c r="S211" i="53"/>
  <c r="S126" i="53"/>
  <c r="S127" i="53" s="1"/>
  <c r="S129" i="53" s="1"/>
  <c r="S116" i="53"/>
  <c r="S119" i="53"/>
  <c r="T182" i="53"/>
  <c r="T177" i="53"/>
  <c r="T181" i="53" s="1"/>
  <c r="T141" i="53"/>
  <c r="T146" i="53"/>
  <c r="T140" i="53"/>
  <c r="T142" i="53" s="1"/>
  <c r="T145" i="53" s="1"/>
  <c r="T187" i="53"/>
  <c r="T190" i="53"/>
  <c r="T192" i="53"/>
  <c r="T151" i="53"/>
  <c r="T154" i="53"/>
  <c r="T156" i="53"/>
  <c r="T210" i="53"/>
  <c r="T110" i="53"/>
  <c r="T105" i="53"/>
  <c r="T109" i="53" s="1"/>
  <c r="T120" i="53"/>
  <c r="T115" i="53"/>
  <c r="T118" i="53"/>
  <c r="U203" i="53"/>
  <c r="U180" i="53"/>
  <c r="U174" i="53"/>
  <c r="U175" i="53" s="1"/>
  <c r="U176" i="53" s="1"/>
  <c r="U178" i="53" s="1"/>
  <c r="U167" i="53"/>
  <c r="U144" i="53"/>
  <c r="U131" i="53"/>
  <c r="U179" i="53"/>
  <c r="U138" i="53"/>
  <c r="U139" i="53" s="1"/>
  <c r="U143" i="53"/>
  <c r="U186" i="53"/>
  <c r="U189" i="53"/>
  <c r="U108" i="53"/>
  <c r="U107" i="53"/>
  <c r="U193" i="53"/>
  <c r="U150" i="53"/>
  <c r="U153" i="53"/>
  <c r="U102" i="53"/>
  <c r="U103" i="53" s="1"/>
  <c r="U104" i="53" s="1"/>
  <c r="U106" i="53" s="1"/>
  <c r="U121" i="53"/>
  <c r="U7" i="53"/>
  <c r="U117" i="53"/>
  <c r="U114" i="53"/>
  <c r="U157" i="53"/>
  <c r="V6" i="53"/>
  <c r="R196" i="53"/>
  <c r="R160" i="53"/>
  <c r="R161" i="53" s="1"/>
  <c r="R124" i="53"/>
  <c r="I212" i="53"/>
  <c r="I196" i="53"/>
  <c r="M204" i="53"/>
  <c r="N200" i="53" s="1"/>
  <c r="M202" i="53"/>
  <c r="M216" i="53" s="1"/>
  <c r="O168" i="53"/>
  <c r="P164" i="53" s="1"/>
  <c r="O166" i="53"/>
  <c r="N169" i="53"/>
  <c r="M171" i="53"/>
  <c r="J196" i="53"/>
  <c r="J212" i="53"/>
  <c r="K196" i="53"/>
  <c r="K212" i="53"/>
  <c r="L196" i="53"/>
  <c r="L212" i="53"/>
  <c r="M196" i="53"/>
  <c r="M212" i="53"/>
  <c r="N196" i="53"/>
  <c r="N212" i="53"/>
  <c r="O196" i="53"/>
  <c r="O212" i="53"/>
  <c r="P196" i="53"/>
  <c r="P214" i="53" s="1"/>
  <c r="P212" i="53"/>
  <c r="Q196" i="53"/>
  <c r="Q214" i="53" s="1"/>
  <c r="Q212" i="53"/>
  <c r="R212" i="53"/>
  <c r="K170" i="53"/>
  <c r="L170" i="53" s="1"/>
  <c r="M170" i="53" s="1"/>
  <c r="K134" i="53"/>
  <c r="L134" i="53" s="1"/>
  <c r="M134" i="53" s="1"/>
  <c r="N134" i="53" s="1"/>
  <c r="O134" i="53" s="1"/>
  <c r="R196" i="52"/>
  <c r="K214" i="52"/>
  <c r="K205" i="52"/>
  <c r="P149" i="52"/>
  <c r="Q184" i="52"/>
  <c r="Q183" i="52"/>
  <c r="Q111" i="52"/>
  <c r="Q112" i="52"/>
  <c r="Q211" i="52"/>
  <c r="T126" i="52"/>
  <c r="T127" i="52" s="1"/>
  <c r="T129" i="52" s="1"/>
  <c r="T119" i="52"/>
  <c r="T116" i="52"/>
  <c r="T123" i="52" s="1"/>
  <c r="T198" i="52"/>
  <c r="T199" i="52" s="1"/>
  <c r="T201" i="52" s="1"/>
  <c r="T191" i="52"/>
  <c r="T188" i="52"/>
  <c r="T195" i="52" s="1"/>
  <c r="T140" i="52"/>
  <c r="T141" i="52"/>
  <c r="T146" i="52"/>
  <c r="T162" i="52"/>
  <c r="T163" i="52" s="1"/>
  <c r="T165" i="52" s="1"/>
  <c r="T155" i="52"/>
  <c r="T152" i="52"/>
  <c r="T159" i="52" s="1"/>
  <c r="U182" i="52"/>
  <c r="U177" i="52"/>
  <c r="U192" i="52"/>
  <c r="U190" i="52"/>
  <c r="U187" i="52"/>
  <c r="U120" i="52"/>
  <c r="U118" i="52"/>
  <c r="U115" i="52"/>
  <c r="U110" i="52"/>
  <c r="U105" i="52"/>
  <c r="U104" i="52"/>
  <c r="U151" i="52"/>
  <c r="U154" i="52"/>
  <c r="U156" i="52"/>
  <c r="V108" i="52"/>
  <c r="V174" i="52"/>
  <c r="V167" i="52"/>
  <c r="V179" i="52"/>
  <c r="V102" i="52"/>
  <c r="V143" i="52"/>
  <c r="V180" i="52"/>
  <c r="V107" i="52"/>
  <c r="V189" i="52"/>
  <c r="V186" i="52"/>
  <c r="V114" i="52"/>
  <c r="V7" i="52"/>
  <c r="V203" i="52"/>
  <c r="V193" i="52"/>
  <c r="V144" i="52"/>
  <c r="V117" i="52"/>
  <c r="V121" i="52"/>
  <c r="V138" i="52"/>
  <c r="V150" i="52"/>
  <c r="V153" i="52"/>
  <c r="V131" i="52"/>
  <c r="V157" i="52"/>
  <c r="W6" i="52"/>
  <c r="N214" i="52"/>
  <c r="N169" i="52"/>
  <c r="J134" i="52"/>
  <c r="J170" i="52"/>
  <c r="I218" i="52"/>
  <c r="J197" i="52"/>
  <c r="I207" i="52"/>
  <c r="I219" i="52" s="1"/>
  <c r="I220" i="52" s="1"/>
  <c r="I206" i="52"/>
  <c r="N133" i="52"/>
  <c r="O132" i="52"/>
  <c r="P128" i="52" s="1"/>
  <c r="O130" i="52"/>
  <c r="M204" i="52"/>
  <c r="N200" i="52" s="1"/>
  <c r="M202" i="52"/>
  <c r="O212" i="52"/>
  <c r="O124" i="52"/>
  <c r="M135" i="52"/>
  <c r="K135" i="52"/>
  <c r="S147" i="52"/>
  <c r="S148" i="52"/>
  <c r="R145" i="52"/>
  <c r="J214" i="52"/>
  <c r="J215" i="52" s="1"/>
  <c r="J205" i="52"/>
  <c r="L214" i="52"/>
  <c r="L205" i="52"/>
  <c r="S178" i="52"/>
  <c r="T104" i="52"/>
  <c r="T105" i="52"/>
  <c r="T110" i="52"/>
  <c r="T210" i="52"/>
  <c r="T177" i="52"/>
  <c r="T182" i="52"/>
  <c r="T176" i="52"/>
  <c r="U139" i="52"/>
  <c r="K125" i="52"/>
  <c r="K161" i="52"/>
  <c r="S106" i="52"/>
  <c r="S109" i="52" s="1"/>
  <c r="R109" i="52"/>
  <c r="O135" i="53"/>
  <c r="P133" i="53"/>
  <c r="Q132" i="53"/>
  <c r="R128" i="53" s="1"/>
  <c r="Q130" i="53"/>
  <c r="R166" i="52"/>
  <c r="R168" i="52"/>
  <c r="S164" i="52" s="1"/>
  <c r="Q169" i="52"/>
  <c r="Q171" i="52" s="1"/>
  <c r="U76" i="47"/>
  <c r="S31" i="43" a="1"/>
  <c r="S32" i="43" a="1"/>
  <c r="S29" i="43" a="1"/>
  <c r="S30" i="43" a="1"/>
  <c r="N107" i="51"/>
  <c r="N108" i="51"/>
  <c r="S66" i="51"/>
  <c r="U6" i="51"/>
  <c r="T7" i="51"/>
  <c r="T103" i="51"/>
  <c r="T65" i="51"/>
  <c r="T68" i="51"/>
  <c r="T73" i="51"/>
  <c r="T74" i="51"/>
  <c r="T79" i="51" s="1"/>
  <c r="T64" i="51"/>
  <c r="T81" i="51"/>
  <c r="T82" i="51" s="1"/>
  <c r="T85" i="51"/>
  <c r="T86" i="51"/>
  <c r="T87" i="51"/>
  <c r="T88" i="51"/>
  <c r="T89" i="51"/>
  <c r="T90" i="51"/>
  <c r="T91" i="51"/>
  <c r="T92" i="51"/>
  <c r="T93" i="51"/>
  <c r="T94" i="51"/>
  <c r="S67" i="51"/>
  <c r="S69" i="51"/>
  <c r="S83" i="51"/>
  <c r="S84" i="51"/>
  <c r="R70" i="51"/>
  <c r="R71" i="51"/>
  <c r="R76" i="51"/>
  <c r="R98" i="51"/>
  <c r="R99" i="51" s="1"/>
  <c r="R101" i="51" s="1"/>
  <c r="R95" i="51"/>
  <c r="P77" i="51"/>
  <c r="P78" i="51"/>
  <c r="P80" i="51" s="1"/>
  <c r="P96" i="51" s="1"/>
  <c r="P102" i="51"/>
  <c r="P104" i="51"/>
  <c r="Q100" i="51" s="1"/>
  <c r="M97" i="51"/>
  <c r="M105" i="51"/>
  <c r="Q75" i="51"/>
  <c r="S79" i="51"/>
  <c r="O96" i="51"/>
  <c r="T88" i="47"/>
  <c r="T158" i="47"/>
  <c r="T151" i="47"/>
  <c r="U85" i="47"/>
  <c r="U61" i="47"/>
  <c r="U62" i="47"/>
  <c r="U63" i="47"/>
  <c r="U223" i="47"/>
  <c r="V67" i="47"/>
  <c r="V68" i="47"/>
  <c r="V196" i="47"/>
  <c r="V197" i="47"/>
  <c r="V198" i="47" s="1"/>
  <c r="V59" i="47"/>
  <c r="V60" i="47"/>
  <c r="V73" i="47"/>
  <c r="V74" i="47" s="1"/>
  <c r="V75" i="47"/>
  <c r="W66" i="47"/>
  <c r="W195" i="47"/>
  <c r="W58" i="47"/>
  <c r="W72" i="47"/>
  <c r="X6" i="47"/>
  <c r="S157" i="47"/>
  <c r="S159" i="47" s="1"/>
  <c r="S160" i="47" s="1"/>
  <c r="S150" i="47"/>
  <c r="S86" i="47"/>
  <c r="S148" i="47"/>
  <c r="S149" i="47"/>
  <c r="S147" i="47"/>
  <c r="S152" i="47" s="1"/>
  <c r="S153" i="47" s="1"/>
  <c r="S81" i="47"/>
  <c r="T156" i="47"/>
  <c r="T146" i="47"/>
  <c r="T79" i="47"/>
  <c r="T78" i="47"/>
  <c r="T80" i="47"/>
  <c r="T77" i="47"/>
  <c r="U199" i="47"/>
  <c r="Q143" i="47"/>
  <c r="R143" i="47" s="1"/>
  <c r="S26" i="45"/>
  <c r="S28" i="45" s="1"/>
  <c r="S31" i="45" s="1"/>
  <c r="S30" i="45" s="1"/>
  <c r="I111" i="43"/>
  <c r="I98" i="43"/>
  <c r="J87" i="43"/>
  <c r="J77" i="43" s="1"/>
  <c r="J99" i="43" s="1"/>
  <c r="J85" i="43"/>
  <c r="J84" i="43"/>
  <c r="E98" i="44"/>
  <c r="K83" i="43"/>
  <c r="K63" i="43"/>
  <c r="K62" i="43"/>
  <c r="K61" i="43" s="1"/>
  <c r="K64" i="43" s="1"/>
  <c r="K66" i="43" s="1"/>
  <c r="K68" i="43"/>
  <c r="K67" i="43"/>
  <c r="J61" i="43"/>
  <c r="J64" i="43" s="1"/>
  <c r="J66" i="43" s="1"/>
  <c r="J69" i="43" s="1"/>
  <c r="T24" i="45" a="1"/>
  <c r="T25" i="45" a="1"/>
  <c r="T27" i="45" a="1"/>
  <c r="T29" i="45" a="1"/>
  <c r="T18" i="45"/>
  <c r="T19" i="45" s="1"/>
  <c r="T20" i="45" s="1"/>
  <c r="T35" i="45" s="1"/>
  <c r="U6" i="45"/>
  <c r="U23" i="45" s="1"/>
  <c r="R183" i="43"/>
  <c r="L42" i="45"/>
  <c r="K42" i="45"/>
  <c r="J42" i="45"/>
  <c r="I42" i="45"/>
  <c r="N34" i="45"/>
  <c r="N36" i="45" s="1"/>
  <c r="M34" i="45"/>
  <c r="M36" i="45" s="1"/>
  <c r="T6" i="43"/>
  <c r="S176" i="43"/>
  <c r="S186" i="43"/>
  <c r="R109" i="43"/>
  <c r="S48" i="43"/>
  <c r="S149" i="53" l="1"/>
  <c r="S212" i="53" s="1"/>
  <c r="S195" i="53"/>
  <c r="S159" i="53"/>
  <c r="S123" i="53"/>
  <c r="V194" i="53"/>
  <c r="V158" i="53"/>
  <c r="V122" i="53"/>
  <c r="L125" i="52"/>
  <c r="M125" i="52" s="1"/>
  <c r="N125" i="52" s="1"/>
  <c r="O125" i="52" s="1"/>
  <c r="L161" i="52"/>
  <c r="M161" i="52" s="1"/>
  <c r="N161" i="52" s="1"/>
  <c r="O161" i="52" s="1"/>
  <c r="W194" i="52"/>
  <c r="W158" i="52"/>
  <c r="W122" i="52"/>
  <c r="U80" i="47"/>
  <c r="U149" i="47" s="1"/>
  <c r="U77" i="47"/>
  <c r="U78" i="47"/>
  <c r="U148" i="47" s="1"/>
  <c r="U79" i="47"/>
  <c r="U86" i="47" s="1"/>
  <c r="U146" i="47"/>
  <c r="U150" i="47" s="1"/>
  <c r="U156" i="47"/>
  <c r="S59" i="46"/>
  <c r="S61" i="46"/>
  <c r="S58" i="46"/>
  <c r="S60" i="46"/>
  <c r="S68" i="46"/>
  <c r="S101" i="46"/>
  <c r="S71" i="46"/>
  <c r="T57" i="46"/>
  <c r="T67" i="46"/>
  <c r="U6" i="46"/>
  <c r="R62" i="46"/>
  <c r="R96" i="46"/>
  <c r="R98" i="46"/>
  <c r="R95" i="46"/>
  <c r="J86" i="43"/>
  <c r="J76" i="43" s="1"/>
  <c r="V76" i="47"/>
  <c r="J70" i="43"/>
  <c r="T34" i="43"/>
  <c r="T33" i="43"/>
  <c r="K207" i="52"/>
  <c r="K219" i="52" s="1"/>
  <c r="K217" i="52"/>
  <c r="R125" i="53"/>
  <c r="Y10" i="54"/>
  <c r="X27" i="54" a="1"/>
  <c r="W57" i="54"/>
  <c r="X57" i="54" s="1"/>
  <c r="W47" i="54"/>
  <c r="R214" i="53"/>
  <c r="R213" i="53"/>
  <c r="T183" i="53"/>
  <c r="T184" i="53"/>
  <c r="T185" i="53"/>
  <c r="T147" i="53"/>
  <c r="T148" i="53"/>
  <c r="T149" i="53"/>
  <c r="T198" i="53"/>
  <c r="T199" i="53" s="1"/>
  <c r="T201" i="53" s="1"/>
  <c r="T188" i="53"/>
  <c r="T191" i="53"/>
  <c r="T162" i="53"/>
  <c r="T163" i="53" s="1"/>
  <c r="T165" i="53" s="1"/>
  <c r="T152" i="53"/>
  <c r="T155" i="53"/>
  <c r="T112" i="53"/>
  <c r="T111" i="53"/>
  <c r="T113" i="53" s="1"/>
  <c r="T211" i="53"/>
  <c r="T126" i="53"/>
  <c r="T127" i="53" s="1"/>
  <c r="T129" i="53" s="1"/>
  <c r="T119" i="53"/>
  <c r="T116" i="53"/>
  <c r="T123" i="53" s="1"/>
  <c r="U177" i="53"/>
  <c r="U181" i="53" s="1"/>
  <c r="U182" i="53"/>
  <c r="U141" i="53"/>
  <c r="U146" i="53"/>
  <c r="U140" i="53"/>
  <c r="U142" i="53" s="1"/>
  <c r="U145" i="53" s="1"/>
  <c r="U187" i="53"/>
  <c r="U190" i="53"/>
  <c r="U192" i="53"/>
  <c r="U151" i="53"/>
  <c r="U154" i="53"/>
  <c r="U156" i="53"/>
  <c r="U210" i="53"/>
  <c r="U110" i="53"/>
  <c r="U105" i="53"/>
  <c r="U109" i="53" s="1"/>
  <c r="U120" i="53"/>
  <c r="U115" i="53"/>
  <c r="U118" i="53"/>
  <c r="V203" i="53"/>
  <c r="V174" i="53"/>
  <c r="V175" i="53" s="1"/>
  <c r="V176" i="53" s="1"/>
  <c r="V178" i="53" s="1"/>
  <c r="V180" i="53"/>
  <c r="V167" i="53"/>
  <c r="V144" i="53"/>
  <c r="V131" i="53"/>
  <c r="V179" i="53"/>
  <c r="V108" i="53"/>
  <c r="V138" i="53"/>
  <c r="V139" i="53" s="1"/>
  <c r="V186" i="53"/>
  <c r="V189" i="53"/>
  <c r="V143" i="53"/>
  <c r="V107" i="53"/>
  <c r="V193" i="53"/>
  <c r="V150" i="53"/>
  <c r="V153" i="53"/>
  <c r="V121" i="53"/>
  <c r="V114" i="53"/>
  <c r="V117" i="53"/>
  <c r="V102" i="53"/>
  <c r="V103" i="53" s="1"/>
  <c r="V104" i="53" s="1"/>
  <c r="V106" i="53" s="1"/>
  <c r="V7" i="53"/>
  <c r="W6" i="53"/>
  <c r="V157" i="53"/>
  <c r="S124" i="53"/>
  <c r="S160" i="53"/>
  <c r="S161" i="53" s="1"/>
  <c r="N170" i="53"/>
  <c r="I214" i="53"/>
  <c r="I205" i="53"/>
  <c r="I197" i="53"/>
  <c r="N204" i="53"/>
  <c r="O200" i="53" s="1"/>
  <c r="N202" i="53"/>
  <c r="P168" i="53"/>
  <c r="Q164" i="53" s="1"/>
  <c r="P166" i="53"/>
  <c r="O169" i="53"/>
  <c r="N171" i="53"/>
  <c r="J214" i="53"/>
  <c r="J205" i="53"/>
  <c r="K214" i="53"/>
  <c r="K205" i="53"/>
  <c r="L214" i="53"/>
  <c r="L205" i="53"/>
  <c r="M205" i="53"/>
  <c r="M214" i="53"/>
  <c r="N214" i="53"/>
  <c r="O214" i="53"/>
  <c r="U210" i="52"/>
  <c r="U140" i="52"/>
  <c r="U142" i="52" s="1"/>
  <c r="P212" i="52"/>
  <c r="P160" i="52"/>
  <c r="Q185" i="52"/>
  <c r="Q113" i="52"/>
  <c r="S213" i="52"/>
  <c r="T142" i="52"/>
  <c r="U198" i="52"/>
  <c r="U199" i="52" s="1"/>
  <c r="U201" i="52" s="1"/>
  <c r="U191" i="52"/>
  <c r="U188" i="52"/>
  <c r="U195" i="52" s="1"/>
  <c r="U126" i="52"/>
  <c r="U127" i="52" s="1"/>
  <c r="U129" i="52" s="1"/>
  <c r="U119" i="52"/>
  <c r="U116" i="52"/>
  <c r="U123" i="52" s="1"/>
  <c r="U162" i="52"/>
  <c r="U163" i="52" s="1"/>
  <c r="U165" i="52" s="1"/>
  <c r="U155" i="52"/>
  <c r="U152" i="52"/>
  <c r="U159" i="52" s="1"/>
  <c r="V175" i="52"/>
  <c r="V103" i="52"/>
  <c r="V192" i="52"/>
  <c r="V190" i="52"/>
  <c r="V187" i="52"/>
  <c r="V120" i="52"/>
  <c r="V118" i="52"/>
  <c r="V115" i="52"/>
  <c r="V156" i="52"/>
  <c r="V151" i="52"/>
  <c r="V154" i="52"/>
  <c r="W193" i="52"/>
  <c r="W189" i="52"/>
  <c r="W143" i="52"/>
  <c r="W179" i="52"/>
  <c r="W108" i="52"/>
  <c r="W114" i="52"/>
  <c r="W107" i="52"/>
  <c r="W7" i="52"/>
  <c r="W144" i="52"/>
  <c r="W102" i="52"/>
  <c r="W174" i="52"/>
  <c r="W203" i="52"/>
  <c r="W167" i="52"/>
  <c r="W186" i="52"/>
  <c r="W180" i="52"/>
  <c r="W117" i="52"/>
  <c r="W121" i="52"/>
  <c r="W138" i="52"/>
  <c r="W139" i="52" s="1"/>
  <c r="W140" i="52" s="1"/>
  <c r="W150" i="52"/>
  <c r="W153" i="52"/>
  <c r="W131" i="52"/>
  <c r="W157" i="52"/>
  <c r="X6" i="52"/>
  <c r="N171" i="52"/>
  <c r="J206" i="52"/>
  <c r="K206" i="52" s="1"/>
  <c r="L206" i="52" s="1"/>
  <c r="N135" i="52"/>
  <c r="P132" i="52"/>
  <c r="Q128" i="52" s="1"/>
  <c r="P130" i="52"/>
  <c r="N204" i="52"/>
  <c r="O200" i="52" s="1"/>
  <c r="N202" i="52"/>
  <c r="M205" i="52"/>
  <c r="M216" i="52"/>
  <c r="O133" i="52"/>
  <c r="O214" i="52"/>
  <c r="R147" i="52"/>
  <c r="R148" i="52"/>
  <c r="J217" i="52"/>
  <c r="J218" i="52" s="1"/>
  <c r="J207" i="52"/>
  <c r="L217" i="52"/>
  <c r="L207" i="52"/>
  <c r="L219" i="52" s="1"/>
  <c r="S181" i="52"/>
  <c r="S211" i="52" s="1"/>
  <c r="U146" i="52"/>
  <c r="U141" i="52"/>
  <c r="S112" i="52"/>
  <c r="S111" i="52"/>
  <c r="S113" i="52" s="1"/>
  <c r="R211" i="52"/>
  <c r="R112" i="52"/>
  <c r="R111" i="52"/>
  <c r="S149" i="52"/>
  <c r="S160" i="52" s="1"/>
  <c r="V139" i="52"/>
  <c r="K134" i="52"/>
  <c r="L134" i="52" s="1"/>
  <c r="M134" i="52" s="1"/>
  <c r="N134" i="52" s="1"/>
  <c r="O134" i="52" s="1"/>
  <c r="K170" i="52"/>
  <c r="L170" i="52" s="1"/>
  <c r="M170" i="52" s="1"/>
  <c r="N170" i="52" s="1"/>
  <c r="O170" i="52" s="1"/>
  <c r="K215" i="52"/>
  <c r="L215" i="52" s="1"/>
  <c r="M215" i="52" s="1"/>
  <c r="N215" i="52" s="1"/>
  <c r="K197" i="52"/>
  <c r="L197" i="52" s="1"/>
  <c r="M197" i="52" s="1"/>
  <c r="N197" i="52" s="1"/>
  <c r="O197" i="52" s="1"/>
  <c r="P197" i="52" s="1"/>
  <c r="T106" i="52"/>
  <c r="U106" i="52"/>
  <c r="U109" i="52" s="1"/>
  <c r="U178" i="52"/>
  <c r="U181" i="52" s="1"/>
  <c r="T178" i="52"/>
  <c r="T181" i="52" s="1"/>
  <c r="P135" i="53"/>
  <c r="R130" i="53"/>
  <c r="R132" i="53"/>
  <c r="S128" i="53" s="1"/>
  <c r="Q133" i="53"/>
  <c r="S166" i="52"/>
  <c r="S168" i="52"/>
  <c r="T164" i="52" s="1"/>
  <c r="P134" i="53"/>
  <c r="T31" i="43" a="1"/>
  <c r="T29" i="43" a="1"/>
  <c r="T30" i="43" a="1"/>
  <c r="T32" i="43" a="1"/>
  <c r="P105" i="51"/>
  <c r="V6" i="51"/>
  <c r="U7" i="51"/>
  <c r="U64" i="51"/>
  <c r="U65" i="51"/>
  <c r="U68" i="51"/>
  <c r="U73" i="51"/>
  <c r="U74" i="51"/>
  <c r="U103" i="51"/>
  <c r="U81" i="51"/>
  <c r="U82" i="51" s="1"/>
  <c r="U85" i="51"/>
  <c r="U86" i="51"/>
  <c r="U87" i="51"/>
  <c r="U88" i="51"/>
  <c r="U89" i="51"/>
  <c r="U90" i="51"/>
  <c r="U91" i="51"/>
  <c r="U92" i="51"/>
  <c r="U93" i="51"/>
  <c r="U94" i="51"/>
  <c r="T66" i="51"/>
  <c r="U66" i="51" s="1"/>
  <c r="T67" i="51"/>
  <c r="T69" i="51"/>
  <c r="T83" i="51"/>
  <c r="T84" i="51"/>
  <c r="S70" i="51"/>
  <c r="S72" i="51" s="1"/>
  <c r="S71" i="51"/>
  <c r="S76" i="51"/>
  <c r="S98" i="51"/>
  <c r="S99" i="51" s="1"/>
  <c r="S101" i="51" s="1"/>
  <c r="S95" i="51"/>
  <c r="R72" i="51"/>
  <c r="R75" i="51" s="1"/>
  <c r="Q102" i="51"/>
  <c r="Q104" i="51"/>
  <c r="R100" i="51" s="1"/>
  <c r="N97" i="51"/>
  <c r="M106" i="51"/>
  <c r="M107" i="51"/>
  <c r="M108" i="51"/>
  <c r="Q78" i="51"/>
  <c r="Q77" i="51"/>
  <c r="O105" i="51"/>
  <c r="U88" i="47"/>
  <c r="U151" i="47"/>
  <c r="U158" i="47"/>
  <c r="V69" i="47"/>
  <c r="V61" i="47"/>
  <c r="V62" i="47"/>
  <c r="V63" i="47"/>
  <c r="V223" i="47"/>
  <c r="W67" i="47"/>
  <c r="W68" i="47"/>
  <c r="W69" i="47"/>
  <c r="W85" i="47" s="1"/>
  <c r="W197" i="47"/>
  <c r="W196" i="47"/>
  <c r="W198" i="47" s="1"/>
  <c r="W59" i="47"/>
  <c r="W60" i="47"/>
  <c r="W73" i="47"/>
  <c r="W74" i="47" s="1"/>
  <c r="W75" i="47"/>
  <c r="X66" i="47"/>
  <c r="X195" i="47"/>
  <c r="X58" i="47"/>
  <c r="X72" i="47"/>
  <c r="Y6" i="47"/>
  <c r="S87" i="47"/>
  <c r="S142" i="47" s="1"/>
  <c r="S143" i="47" s="1"/>
  <c r="S82" i="47"/>
  <c r="T157" i="47"/>
  <c r="T159" i="47" s="1"/>
  <c r="T160" i="47" s="1"/>
  <c r="T150" i="47"/>
  <c r="V199" i="47"/>
  <c r="T86" i="47"/>
  <c r="T148" i="47"/>
  <c r="T149" i="47"/>
  <c r="T147" i="47"/>
  <c r="T81" i="47"/>
  <c r="K69" i="43"/>
  <c r="K87" i="43"/>
  <c r="K77" i="43" s="1"/>
  <c r="K99" i="43" s="1"/>
  <c r="K85" i="43"/>
  <c r="K84" i="43"/>
  <c r="K86" i="43" s="1"/>
  <c r="K76" i="43" s="1"/>
  <c r="M57" i="43"/>
  <c r="M177" i="43"/>
  <c r="M178" i="43" s="1"/>
  <c r="M179" i="43" s="1"/>
  <c r="L57" i="43"/>
  <c r="L177" i="43"/>
  <c r="L178" i="43" s="1"/>
  <c r="L179" i="43" s="1"/>
  <c r="T26" i="45"/>
  <c r="T28" i="45" s="1"/>
  <c r="T31" i="45" s="1"/>
  <c r="T30" i="45" s="1"/>
  <c r="U25" i="45" a="1"/>
  <c r="U27" i="45" a="1"/>
  <c r="U24" i="45" a="1"/>
  <c r="U26" i="45" s="1"/>
  <c r="U28" i="45" s="1"/>
  <c r="U29" i="45" a="1"/>
  <c r="Z57" i="43"/>
  <c r="Y57" i="43"/>
  <c r="T57" i="43"/>
  <c r="W57" i="43"/>
  <c r="X57" i="43"/>
  <c r="V57" i="43"/>
  <c r="U57" i="43"/>
  <c r="U18" i="45"/>
  <c r="U19" i="45" s="1"/>
  <c r="U20" i="45" s="1"/>
  <c r="U35" i="45" s="1"/>
  <c r="V6" i="45"/>
  <c r="V23" i="45" s="1"/>
  <c r="S183" i="43"/>
  <c r="N42" i="45"/>
  <c r="M42" i="45"/>
  <c r="T176" i="43"/>
  <c r="T186" i="43"/>
  <c r="U6" i="43"/>
  <c r="T48" i="43"/>
  <c r="S109" i="43"/>
  <c r="T159" i="53" l="1"/>
  <c r="T195" i="53"/>
  <c r="W194" i="53"/>
  <c r="W158" i="53"/>
  <c r="W122" i="53"/>
  <c r="X194" i="52"/>
  <c r="X158" i="52"/>
  <c r="X122" i="52"/>
  <c r="U147" i="47"/>
  <c r="U152" i="47" s="1"/>
  <c r="U81" i="47"/>
  <c r="U82" i="47" s="1"/>
  <c r="U87" i="47"/>
  <c r="U142" i="47"/>
  <c r="U157" i="47"/>
  <c r="U159" i="47"/>
  <c r="S62" i="46"/>
  <c r="S118" i="46" s="1"/>
  <c r="S129" i="46" s="1"/>
  <c r="T58" i="46"/>
  <c r="T59" i="46"/>
  <c r="T61" i="46"/>
  <c r="T60" i="46"/>
  <c r="T71" i="46"/>
  <c r="T68" i="46"/>
  <c r="T101" i="46"/>
  <c r="U67" i="46"/>
  <c r="U57" i="46"/>
  <c r="V6" i="46"/>
  <c r="R118" i="46"/>
  <c r="R70" i="46"/>
  <c r="S97" i="46"/>
  <c r="S96" i="46"/>
  <c r="S98" i="46"/>
  <c r="S95" i="46"/>
  <c r="J98" i="43"/>
  <c r="J111" i="43"/>
  <c r="T152" i="47"/>
  <c r="T153" i="47" s="1"/>
  <c r="U153" i="47" s="1"/>
  <c r="V79" i="47"/>
  <c r="V86" i="47" s="1"/>
  <c r="V87" i="47" s="1"/>
  <c r="V80" i="47"/>
  <c r="V149" i="47" s="1"/>
  <c r="V146" i="47"/>
  <c r="V77" i="47"/>
  <c r="V78" i="47"/>
  <c r="V148" i="47" s="1"/>
  <c r="V156" i="47"/>
  <c r="K70" i="43"/>
  <c r="U34" i="43"/>
  <c r="U33" i="43"/>
  <c r="S125" i="53"/>
  <c r="X47" i="54"/>
  <c r="Y27" i="54" a="1"/>
  <c r="Z10" i="54"/>
  <c r="T212" i="53"/>
  <c r="T124" i="53"/>
  <c r="T125" i="53" s="1"/>
  <c r="U183" i="53"/>
  <c r="U184" i="53"/>
  <c r="U185" i="53"/>
  <c r="U147" i="53"/>
  <c r="U148" i="53"/>
  <c r="U149" i="53"/>
  <c r="U198" i="53"/>
  <c r="U199" i="53" s="1"/>
  <c r="U201" i="53" s="1"/>
  <c r="U188" i="53"/>
  <c r="U195" i="53" s="1"/>
  <c r="U191" i="53"/>
  <c r="U162" i="53"/>
  <c r="U163" i="53" s="1"/>
  <c r="U165" i="53" s="1"/>
  <c r="U152" i="53"/>
  <c r="U155" i="53"/>
  <c r="U112" i="53"/>
  <c r="U111" i="53"/>
  <c r="U113" i="53" s="1"/>
  <c r="U211" i="53"/>
  <c r="U126" i="53"/>
  <c r="U127" i="53" s="1"/>
  <c r="U129" i="53" s="1"/>
  <c r="U116" i="53"/>
  <c r="U119" i="53"/>
  <c r="V177" i="53"/>
  <c r="V181" i="53" s="1"/>
  <c r="V182" i="53"/>
  <c r="V141" i="53"/>
  <c r="V146" i="53"/>
  <c r="V140" i="53"/>
  <c r="V142" i="53" s="1"/>
  <c r="V187" i="53"/>
  <c r="V190" i="53"/>
  <c r="V192" i="53"/>
  <c r="V151" i="53"/>
  <c r="V154" i="53"/>
  <c r="V156" i="53"/>
  <c r="V120" i="53"/>
  <c r="V118" i="53"/>
  <c r="V115" i="53"/>
  <c r="V210" i="53"/>
  <c r="V110" i="53"/>
  <c r="V105" i="53"/>
  <c r="V109" i="53" s="1"/>
  <c r="W203" i="53"/>
  <c r="W180" i="53"/>
  <c r="W174" i="53"/>
  <c r="W175" i="53" s="1"/>
  <c r="W176" i="53" s="1"/>
  <c r="W178" i="53" s="1"/>
  <c r="W167" i="53"/>
  <c r="W144" i="53"/>
  <c r="W131" i="53"/>
  <c r="W179" i="53"/>
  <c r="W138" i="53"/>
  <c r="W139" i="53" s="1"/>
  <c r="W143" i="53"/>
  <c r="W186" i="53"/>
  <c r="W189" i="53"/>
  <c r="W107" i="53"/>
  <c r="W193" i="53"/>
  <c r="W117" i="53"/>
  <c r="W114" i="53"/>
  <c r="W7" i="53"/>
  <c r="W102" i="53"/>
  <c r="W103" i="53" s="1"/>
  <c r="W150" i="53"/>
  <c r="W108" i="53"/>
  <c r="W153" i="53"/>
  <c r="W121" i="53"/>
  <c r="X6" i="53"/>
  <c r="W157" i="53"/>
  <c r="S196" i="53"/>
  <c r="S214" i="53" s="1"/>
  <c r="S213" i="53"/>
  <c r="T160" i="53"/>
  <c r="T161" i="53" s="1"/>
  <c r="N216" i="53"/>
  <c r="N205" i="53"/>
  <c r="I215" i="53"/>
  <c r="I217" i="53"/>
  <c r="I207" i="53"/>
  <c r="I206" i="53"/>
  <c r="J197" i="53"/>
  <c r="O204" i="53"/>
  <c r="P200" i="53" s="1"/>
  <c r="O202" i="53"/>
  <c r="Q168" i="53"/>
  <c r="R164" i="53" s="1"/>
  <c r="Q166" i="53"/>
  <c r="P169" i="53"/>
  <c r="O170" i="53"/>
  <c r="O171" i="53"/>
  <c r="J217" i="53"/>
  <c r="J207" i="53"/>
  <c r="J219" i="53" s="1"/>
  <c r="K217" i="53"/>
  <c r="K207" i="53"/>
  <c r="K219" i="53" s="1"/>
  <c r="L217" i="53"/>
  <c r="L207" i="53"/>
  <c r="L219" i="53" s="1"/>
  <c r="M217" i="53"/>
  <c r="M207" i="53"/>
  <c r="M219" i="53" s="1"/>
  <c r="P161" i="52"/>
  <c r="P169" i="52"/>
  <c r="P214" i="52"/>
  <c r="Q196" i="52"/>
  <c r="Q212" i="52"/>
  <c r="Q124" i="52"/>
  <c r="T213" i="52"/>
  <c r="T145" i="52"/>
  <c r="V176" i="52"/>
  <c r="V182" i="52"/>
  <c r="V177" i="52"/>
  <c r="V210" i="52"/>
  <c r="V110" i="52"/>
  <c r="V105" i="52"/>
  <c r="V104" i="52"/>
  <c r="V198" i="52"/>
  <c r="V199" i="52" s="1"/>
  <c r="V201" i="52" s="1"/>
  <c r="V191" i="52"/>
  <c r="V188" i="52"/>
  <c r="V195" i="52" s="1"/>
  <c r="V126" i="52"/>
  <c r="V127" i="52" s="1"/>
  <c r="V129" i="52" s="1"/>
  <c r="V119" i="52"/>
  <c r="V116" i="52"/>
  <c r="V123" i="52" s="1"/>
  <c r="V162" i="52"/>
  <c r="V163" i="52" s="1"/>
  <c r="V165" i="52" s="1"/>
  <c r="V155" i="52"/>
  <c r="V152" i="52"/>
  <c r="W118" i="52"/>
  <c r="W115" i="52"/>
  <c r="W120" i="52"/>
  <c r="W192" i="52"/>
  <c r="W190" i="52"/>
  <c r="W187" i="52"/>
  <c r="W146" i="52"/>
  <c r="W141" i="52"/>
  <c r="W156" i="52"/>
  <c r="W154" i="52"/>
  <c r="W151" i="52"/>
  <c r="X144" i="52"/>
  <c r="X102" i="52"/>
  <c r="X103" i="52" s="1"/>
  <c r="X107" i="52"/>
  <c r="X186" i="52"/>
  <c r="X114" i="52"/>
  <c r="X167" i="52"/>
  <c r="X193" i="52"/>
  <c r="X179" i="52"/>
  <c r="X189" i="52"/>
  <c r="X143" i="52"/>
  <c r="X180" i="52"/>
  <c r="X108" i="52"/>
  <c r="X174" i="52"/>
  <c r="X175" i="52" s="1"/>
  <c r="X203" i="52"/>
  <c r="X7" i="52"/>
  <c r="X117" i="52"/>
  <c r="X121" i="52"/>
  <c r="X131" i="52"/>
  <c r="X138" i="52"/>
  <c r="X150" i="52"/>
  <c r="X153" i="52"/>
  <c r="X157" i="52"/>
  <c r="Y6" i="52"/>
  <c r="Q132" i="52"/>
  <c r="R128" i="52" s="1"/>
  <c r="Q130" i="52"/>
  <c r="P133" i="52"/>
  <c r="O204" i="52"/>
  <c r="P200" i="52" s="1"/>
  <c r="O202" i="52"/>
  <c r="N216" i="52"/>
  <c r="N205" i="52"/>
  <c r="M217" i="52"/>
  <c r="M207" i="52"/>
  <c r="P125" i="52"/>
  <c r="O135" i="52"/>
  <c r="R149" i="52"/>
  <c r="S183" i="52"/>
  <c r="S184" i="52"/>
  <c r="S124" i="52"/>
  <c r="U183" i="52"/>
  <c r="U184" i="52"/>
  <c r="V146" i="52"/>
  <c r="V141" i="52"/>
  <c r="V140" i="52"/>
  <c r="T109" i="52"/>
  <c r="U111" i="52"/>
  <c r="U112" i="52"/>
  <c r="T183" i="52"/>
  <c r="T184" i="52"/>
  <c r="M206" i="52"/>
  <c r="U145" i="52"/>
  <c r="U211" i="52" s="1"/>
  <c r="W103" i="52"/>
  <c r="W175" i="52"/>
  <c r="O215" i="52"/>
  <c r="K218" i="52"/>
  <c r="J219" i="52"/>
  <c r="J220" i="52" s="1"/>
  <c r="K220" i="52" s="1"/>
  <c r="L220" i="52" s="1"/>
  <c r="R113" i="52"/>
  <c r="R133" i="53"/>
  <c r="S132" i="53"/>
  <c r="T128" i="53" s="1"/>
  <c r="S130" i="53"/>
  <c r="Q135" i="53"/>
  <c r="T166" i="52"/>
  <c r="T168" i="52"/>
  <c r="U164" i="52" s="1"/>
  <c r="Q134" i="53"/>
  <c r="S169" i="52"/>
  <c r="W76" i="47"/>
  <c r="U31" i="43" a="1"/>
  <c r="U29" i="43" a="1"/>
  <c r="U32" i="43" a="1"/>
  <c r="U30" i="43" a="1"/>
  <c r="Q80" i="51"/>
  <c r="Q96" i="51" s="1"/>
  <c r="P108" i="51"/>
  <c r="P107" i="51"/>
  <c r="W6" i="51"/>
  <c r="V7" i="51"/>
  <c r="V103" i="51"/>
  <c r="V65" i="51"/>
  <c r="V68" i="51"/>
  <c r="V73" i="51"/>
  <c r="V74" i="51"/>
  <c r="V79" i="51" s="1"/>
  <c r="V64" i="51"/>
  <c r="V81" i="51"/>
  <c r="V82" i="51" s="1"/>
  <c r="V85" i="51"/>
  <c r="V86" i="51"/>
  <c r="V87" i="51"/>
  <c r="V88" i="51"/>
  <c r="V89" i="51"/>
  <c r="V90" i="51"/>
  <c r="V91" i="51"/>
  <c r="V92" i="51"/>
  <c r="V93" i="51"/>
  <c r="V94" i="51"/>
  <c r="U67" i="51"/>
  <c r="U69" i="51"/>
  <c r="U79" i="51"/>
  <c r="U83" i="51"/>
  <c r="U84" i="51"/>
  <c r="T70" i="51"/>
  <c r="T71" i="51"/>
  <c r="T76" i="51"/>
  <c r="T98" i="51"/>
  <c r="T99" i="51" s="1"/>
  <c r="T101" i="51" s="1"/>
  <c r="T95" i="51"/>
  <c r="R77" i="51"/>
  <c r="R78" i="51"/>
  <c r="R80" i="51" s="1"/>
  <c r="R102" i="51"/>
  <c r="R104" i="51"/>
  <c r="S100" i="51" s="1"/>
  <c r="N106" i="51"/>
  <c r="O107" i="51"/>
  <c r="O108" i="51"/>
  <c r="S75" i="51"/>
  <c r="O97" i="51"/>
  <c r="P97" i="51" s="1"/>
  <c r="V85" i="47"/>
  <c r="V88" i="47"/>
  <c r="V158" i="47"/>
  <c r="V151" i="47"/>
  <c r="W61" i="47"/>
  <c r="W62" i="47"/>
  <c r="W63" i="47"/>
  <c r="W223" i="47"/>
  <c r="W80" i="47"/>
  <c r="W77" i="47"/>
  <c r="W78" i="47"/>
  <c r="W79" i="47"/>
  <c r="W146" i="47"/>
  <c r="W156" i="47"/>
  <c r="X67" i="47"/>
  <c r="X68" i="47"/>
  <c r="X69" i="47" s="1"/>
  <c r="X197" i="47"/>
  <c r="X196" i="47"/>
  <c r="X198" i="47" s="1"/>
  <c r="X59" i="47"/>
  <c r="X60" i="47"/>
  <c r="X73" i="47"/>
  <c r="X74" i="47" s="1"/>
  <c r="X75" i="47"/>
  <c r="Y66" i="47"/>
  <c r="Y195" i="47"/>
  <c r="Y58" i="47"/>
  <c r="Y72" i="47"/>
  <c r="Z6" i="47"/>
  <c r="T87" i="47"/>
  <c r="T142" i="47"/>
  <c r="T143" i="47" s="1"/>
  <c r="W199" i="47"/>
  <c r="U160" i="47"/>
  <c r="T82" i="47"/>
  <c r="K98" i="43"/>
  <c r="K111" i="43"/>
  <c r="M62" i="43"/>
  <c r="M63" i="43"/>
  <c r="M83" i="43"/>
  <c r="M68" i="43"/>
  <c r="M67" i="43"/>
  <c r="L63" i="43"/>
  <c r="L62" i="43"/>
  <c r="L68" i="43"/>
  <c r="L67" i="43"/>
  <c r="L83" i="43"/>
  <c r="R177" i="43"/>
  <c r="R178" i="43" s="1"/>
  <c r="R179" i="43" s="1"/>
  <c r="R57" i="43"/>
  <c r="Z67" i="43"/>
  <c r="Z83" i="43"/>
  <c r="Z62" i="43"/>
  <c r="Z63" i="43"/>
  <c r="Z68" i="43"/>
  <c r="Q177" i="43"/>
  <c r="Q178" i="43" s="1"/>
  <c r="Q179" i="43" s="1"/>
  <c r="Q57" i="43"/>
  <c r="Y67" i="43"/>
  <c r="Y68" i="43"/>
  <c r="Y62" i="43"/>
  <c r="Y63" i="43"/>
  <c r="Y83" i="43"/>
  <c r="T83" i="43"/>
  <c r="T67" i="43"/>
  <c r="T68" i="43"/>
  <c r="T62" i="43"/>
  <c r="T63" i="43"/>
  <c r="W68" i="43"/>
  <c r="W67" i="43"/>
  <c r="W62" i="43"/>
  <c r="W83" i="43"/>
  <c r="W63" i="43"/>
  <c r="N177" i="43"/>
  <c r="N178" i="43" s="1"/>
  <c r="N179" i="43" s="1"/>
  <c r="N57" i="43"/>
  <c r="O177" i="43"/>
  <c r="O178" i="43" s="1"/>
  <c r="O179" i="43" s="1"/>
  <c r="O57" i="43"/>
  <c r="X62" i="43"/>
  <c r="X68" i="43"/>
  <c r="X67" i="43"/>
  <c r="X83" i="43"/>
  <c r="X63" i="43"/>
  <c r="P177" i="43"/>
  <c r="P178" i="43" s="1"/>
  <c r="P179" i="43" s="1"/>
  <c r="P57" i="43"/>
  <c r="V63" i="43"/>
  <c r="V67" i="43"/>
  <c r="V68" i="43"/>
  <c r="V83" i="43"/>
  <c r="V62" i="43"/>
  <c r="U68" i="43"/>
  <c r="U62" i="43"/>
  <c r="U63" i="43"/>
  <c r="U61" i="43" s="1"/>
  <c r="U64" i="43" s="1"/>
  <c r="U66" i="43" s="1"/>
  <c r="U67" i="43"/>
  <c r="U83" i="43"/>
  <c r="U31" i="45"/>
  <c r="U30" i="45" s="1"/>
  <c r="S57" i="43"/>
  <c r="S177" i="43"/>
  <c r="S178" i="43" s="1"/>
  <c r="S179" i="43" s="1"/>
  <c r="V25" i="45" a="1"/>
  <c r="V27" i="45" a="1"/>
  <c r="V24" i="45" a="1"/>
  <c r="V26" i="45" s="1"/>
  <c r="V29" i="45" a="1"/>
  <c r="V18" i="45"/>
  <c r="V19" i="45" s="1"/>
  <c r="V20" i="45" s="1"/>
  <c r="V35" i="45" s="1"/>
  <c r="W6" i="45"/>
  <c r="W23" i="45" s="1"/>
  <c r="T183" i="43"/>
  <c r="T177" i="43"/>
  <c r="T178" i="43" s="1"/>
  <c r="V6" i="43"/>
  <c r="U176" i="43"/>
  <c r="U186" i="43"/>
  <c r="T109" i="43"/>
  <c r="U48" i="43"/>
  <c r="U123" i="53" l="1"/>
  <c r="U159" i="53"/>
  <c r="U160" i="53" s="1"/>
  <c r="U161" i="53" s="1"/>
  <c r="X194" i="53"/>
  <c r="X158" i="53"/>
  <c r="X122" i="53"/>
  <c r="V159" i="52"/>
  <c r="Y194" i="52"/>
  <c r="Y158" i="52"/>
  <c r="Y122" i="52"/>
  <c r="U68" i="46"/>
  <c r="U71" i="46"/>
  <c r="U101" i="46"/>
  <c r="U58" i="46"/>
  <c r="U59" i="46"/>
  <c r="U61" i="46"/>
  <c r="U60" i="46"/>
  <c r="V57" i="46"/>
  <c r="V67" i="46"/>
  <c r="W6" i="46"/>
  <c r="R129" i="46"/>
  <c r="T62" i="46"/>
  <c r="T95" i="46"/>
  <c r="T96" i="46"/>
  <c r="T70" i="46"/>
  <c r="T97" i="46"/>
  <c r="T98" i="46"/>
  <c r="S70" i="46"/>
  <c r="E149" i="43"/>
  <c r="E150" i="43"/>
  <c r="V150" i="47"/>
  <c r="V147" i="47"/>
  <c r="V152" i="47" s="1"/>
  <c r="V153" i="47" s="1"/>
  <c r="V81" i="47"/>
  <c r="V82" i="47" s="1"/>
  <c r="V157" i="47"/>
  <c r="V159" i="47"/>
  <c r="V160" i="47" s="1"/>
  <c r="V34" i="43"/>
  <c r="V33" i="43"/>
  <c r="Y47" i="54"/>
  <c r="Y57" i="54"/>
  <c r="Z27" i="54" a="1"/>
  <c r="AA10" i="54"/>
  <c r="T111" i="52"/>
  <c r="T112" i="52"/>
  <c r="V145" i="53"/>
  <c r="U212" i="53"/>
  <c r="V183" i="53"/>
  <c r="V184" i="53"/>
  <c r="V185" i="53"/>
  <c r="V147" i="53"/>
  <c r="V148" i="53"/>
  <c r="V149" i="53"/>
  <c r="V198" i="53"/>
  <c r="V199" i="53" s="1"/>
  <c r="V201" i="53" s="1"/>
  <c r="V188" i="53"/>
  <c r="V191" i="53"/>
  <c r="V162" i="53"/>
  <c r="V163" i="53" s="1"/>
  <c r="V165" i="53" s="1"/>
  <c r="V152" i="53"/>
  <c r="V155" i="53"/>
  <c r="V126" i="53"/>
  <c r="V127" i="53" s="1"/>
  <c r="V129" i="53" s="1"/>
  <c r="V116" i="53"/>
  <c r="V119" i="53"/>
  <c r="V112" i="53"/>
  <c r="V111" i="53"/>
  <c r="V113" i="53" s="1"/>
  <c r="V211" i="53"/>
  <c r="W182" i="53"/>
  <c r="W177" i="53"/>
  <c r="W181" i="53" s="1"/>
  <c r="W141" i="53"/>
  <c r="W146" i="53"/>
  <c r="W140" i="53"/>
  <c r="W142" i="53" s="1"/>
  <c r="W145" i="53" s="1"/>
  <c r="W187" i="53"/>
  <c r="W190" i="53"/>
  <c r="W192" i="53"/>
  <c r="W118" i="53"/>
  <c r="W115" i="53"/>
  <c r="W120" i="53"/>
  <c r="W210" i="53"/>
  <c r="W105" i="53"/>
  <c r="W110" i="53"/>
  <c r="W104" i="53"/>
  <c r="W106" i="53" s="1"/>
  <c r="W109" i="53" s="1"/>
  <c r="W154" i="53"/>
  <c r="W151" i="53"/>
  <c r="W156" i="53"/>
  <c r="X203" i="53"/>
  <c r="X174" i="53"/>
  <c r="X175" i="53" s="1"/>
  <c r="X176" i="53" s="1"/>
  <c r="X178" i="53" s="1"/>
  <c r="X180" i="53"/>
  <c r="X167" i="53"/>
  <c r="X144" i="53"/>
  <c r="X131" i="53"/>
  <c r="X179" i="53"/>
  <c r="X138" i="53"/>
  <c r="X139" i="53" s="1"/>
  <c r="X143" i="53"/>
  <c r="X186" i="53"/>
  <c r="X189" i="53"/>
  <c r="X121" i="53"/>
  <c r="X107" i="53"/>
  <c r="X193" i="53"/>
  <c r="X153" i="53"/>
  <c r="X7" i="53"/>
  <c r="X150" i="53"/>
  <c r="X102" i="53"/>
  <c r="X103" i="53" s="1"/>
  <c r="X108" i="53"/>
  <c r="X117" i="53"/>
  <c r="X114" i="53"/>
  <c r="Y6" i="53"/>
  <c r="X157" i="53"/>
  <c r="T196" i="53"/>
  <c r="T214" i="53" s="1"/>
  <c r="T213" i="53"/>
  <c r="U124" i="53"/>
  <c r="U125" i="53" s="1"/>
  <c r="N207" i="53"/>
  <c r="N219" i="53" s="1"/>
  <c r="N217" i="53"/>
  <c r="J215" i="53"/>
  <c r="I218" i="53"/>
  <c r="I219" i="53"/>
  <c r="I220" i="53" s="1"/>
  <c r="J220" i="53" s="1"/>
  <c r="K220" i="53" s="1"/>
  <c r="L220" i="53" s="1"/>
  <c r="M220" i="53" s="1"/>
  <c r="J206" i="53"/>
  <c r="P204" i="53"/>
  <c r="Q200" i="53" s="1"/>
  <c r="P202" i="53"/>
  <c r="O216" i="53"/>
  <c r="O205" i="53"/>
  <c r="R168" i="53"/>
  <c r="S164" i="53" s="1"/>
  <c r="R166" i="53"/>
  <c r="Q169" i="53"/>
  <c r="P171" i="53"/>
  <c r="P170" i="53"/>
  <c r="K197" i="53"/>
  <c r="L197" i="53" s="1"/>
  <c r="M197" i="53" s="1"/>
  <c r="N197" i="53" s="1"/>
  <c r="O197" i="53" s="1"/>
  <c r="P197" i="53" s="1"/>
  <c r="Q197" i="53" s="1"/>
  <c r="R197" i="53" s="1"/>
  <c r="S197" i="53" s="1"/>
  <c r="T185" i="52"/>
  <c r="T196" i="52" s="1"/>
  <c r="Q161" i="52"/>
  <c r="P170" i="52"/>
  <c r="P171" i="52"/>
  <c r="P215" i="52"/>
  <c r="Q197" i="52"/>
  <c r="Q133" i="52"/>
  <c r="Q214" i="52"/>
  <c r="T211" i="52"/>
  <c r="T148" i="52"/>
  <c r="T147" i="52"/>
  <c r="V178" i="52"/>
  <c r="V106" i="52"/>
  <c r="W126" i="52"/>
  <c r="W127" i="52" s="1"/>
  <c r="W129" i="52" s="1"/>
  <c r="W116" i="52"/>
  <c r="W119" i="52"/>
  <c r="W198" i="52"/>
  <c r="W199" i="52" s="1"/>
  <c r="W201" i="52" s="1"/>
  <c r="W191" i="52"/>
  <c r="W188" i="52"/>
  <c r="W195" i="52" s="1"/>
  <c r="W162" i="52"/>
  <c r="W163" i="52" s="1"/>
  <c r="W165" i="52" s="1"/>
  <c r="W155" i="52"/>
  <c r="W152" i="52"/>
  <c r="W159" i="52" s="1"/>
  <c r="X110" i="52"/>
  <c r="X105" i="52"/>
  <c r="X104" i="52"/>
  <c r="X192" i="52"/>
  <c r="X190" i="52"/>
  <c r="X187" i="52"/>
  <c r="X120" i="52"/>
  <c r="X115" i="52"/>
  <c r="X118" i="52"/>
  <c r="X182" i="52"/>
  <c r="X177" i="52"/>
  <c r="X176" i="52"/>
  <c r="X139" i="52"/>
  <c r="X210" i="52" s="1"/>
  <c r="X156" i="52"/>
  <c r="X154" i="52"/>
  <c r="X151" i="52"/>
  <c r="Y114" i="52"/>
  <c r="Y186" i="52"/>
  <c r="Y179" i="52"/>
  <c r="Y189" i="52"/>
  <c r="Y143" i="52"/>
  <c r="Y107" i="52"/>
  <c r="Y108" i="52"/>
  <c r="Y7" i="52"/>
  <c r="Y174" i="52"/>
  <c r="Y102" i="52"/>
  <c r="Y180" i="52"/>
  <c r="Y144" i="52"/>
  <c r="Y203" i="52"/>
  <c r="Y167" i="52"/>
  <c r="Y193" i="52"/>
  <c r="Y117" i="52"/>
  <c r="Y121" i="52"/>
  <c r="Y138" i="52"/>
  <c r="Y139" i="52" s="1"/>
  <c r="Y140" i="52" s="1"/>
  <c r="Y150" i="52"/>
  <c r="Y153" i="52"/>
  <c r="Y131" i="52"/>
  <c r="Y157" i="52"/>
  <c r="Z6" i="52"/>
  <c r="R132" i="52"/>
  <c r="S128" i="52" s="1"/>
  <c r="R130" i="52"/>
  <c r="P134" i="52"/>
  <c r="P135" i="52"/>
  <c r="P204" i="52"/>
  <c r="Q200" i="52" s="1"/>
  <c r="P202" i="52"/>
  <c r="O216" i="52"/>
  <c r="O205" i="52"/>
  <c r="N217" i="52"/>
  <c r="N207" i="52"/>
  <c r="M219" i="52"/>
  <c r="M220" i="52" s="1"/>
  <c r="R160" i="52"/>
  <c r="S185" i="52"/>
  <c r="W142" i="52"/>
  <c r="W145" i="52" s="1"/>
  <c r="V142" i="52"/>
  <c r="N206" i="52"/>
  <c r="U147" i="52"/>
  <c r="U148" i="52"/>
  <c r="U213" i="52"/>
  <c r="W105" i="52"/>
  <c r="W110" i="52"/>
  <c r="W210" i="52"/>
  <c r="W104" i="52"/>
  <c r="W106" i="52" s="1"/>
  <c r="W176" i="52"/>
  <c r="W178" i="52" s="1"/>
  <c r="W177" i="52"/>
  <c r="W182" i="52"/>
  <c r="R212" i="52"/>
  <c r="R124" i="52"/>
  <c r="U113" i="52"/>
  <c r="U185" i="52"/>
  <c r="U196" i="52" s="1"/>
  <c r="Q125" i="52"/>
  <c r="L218" i="52"/>
  <c r="M218" i="52" s="1"/>
  <c r="R134" i="53"/>
  <c r="R135" i="53"/>
  <c r="T130" i="53"/>
  <c r="T132" i="53"/>
  <c r="U128" i="53" s="1"/>
  <c r="S133" i="53"/>
  <c r="U166" i="52"/>
  <c r="U168" i="52"/>
  <c r="V164" i="52" s="1"/>
  <c r="S171" i="52"/>
  <c r="X76" i="47"/>
  <c r="V31" i="43" a="1"/>
  <c r="V30" i="43" a="1"/>
  <c r="V29" i="43" a="1"/>
  <c r="V32" i="43" a="1"/>
  <c r="X6" i="51"/>
  <c r="W7" i="51"/>
  <c r="W64" i="51"/>
  <c r="W65" i="51"/>
  <c r="W68" i="51"/>
  <c r="W73" i="51"/>
  <c r="W74" i="51"/>
  <c r="W81" i="51"/>
  <c r="W82" i="51" s="1"/>
  <c r="W85" i="51"/>
  <c r="W86" i="51"/>
  <c r="W87" i="51"/>
  <c r="W88" i="51"/>
  <c r="W89" i="51"/>
  <c r="W90" i="51"/>
  <c r="W91" i="51"/>
  <c r="W92" i="51"/>
  <c r="W93" i="51"/>
  <c r="W94" i="51"/>
  <c r="W103" i="51"/>
  <c r="V66" i="51"/>
  <c r="W66" i="51" s="1"/>
  <c r="V67" i="51"/>
  <c r="V69" i="51"/>
  <c r="V83" i="51"/>
  <c r="V84" i="51"/>
  <c r="U70" i="51"/>
  <c r="U71" i="51"/>
  <c r="U76" i="51"/>
  <c r="U98" i="51"/>
  <c r="U99" i="51" s="1"/>
  <c r="U101" i="51" s="1"/>
  <c r="U95" i="51"/>
  <c r="U72" i="51"/>
  <c r="T72" i="51"/>
  <c r="T75" i="51" s="1"/>
  <c r="S102" i="51"/>
  <c r="S104" i="51"/>
  <c r="T100" i="51" s="1"/>
  <c r="Q97" i="51"/>
  <c r="Q105" i="51"/>
  <c r="S78" i="51"/>
  <c r="S77" i="51"/>
  <c r="S80" i="51" s="1"/>
  <c r="R96" i="51"/>
  <c r="R105" i="51" s="1"/>
  <c r="O106" i="51"/>
  <c r="P106" i="51" s="1"/>
  <c r="W88" i="47"/>
  <c r="W151" i="47"/>
  <c r="W158" i="47"/>
  <c r="W149" i="47"/>
  <c r="W147" i="47"/>
  <c r="W81" i="47"/>
  <c r="W82" i="47" s="1"/>
  <c r="W148" i="47"/>
  <c r="W86" i="47"/>
  <c r="W150" i="47"/>
  <c r="W157" i="47"/>
  <c r="W159" i="47" s="1"/>
  <c r="X61" i="47"/>
  <c r="X62" i="47"/>
  <c r="X63" i="47"/>
  <c r="X223" i="47"/>
  <c r="X80" i="47"/>
  <c r="X77" i="47"/>
  <c r="X78" i="47"/>
  <c r="X79" i="47"/>
  <c r="X146" i="47"/>
  <c r="X156" i="47"/>
  <c r="Y67" i="47"/>
  <c r="Y68" i="47"/>
  <c r="Y69" i="47"/>
  <c r="Y85" i="47" s="1"/>
  <c r="Y197" i="47"/>
  <c r="Y196" i="47"/>
  <c r="Y198" i="47" s="1"/>
  <c r="Y59" i="47"/>
  <c r="Y60" i="47"/>
  <c r="Y73" i="47"/>
  <c r="Y74" i="47" s="1"/>
  <c r="Y75" i="47"/>
  <c r="Z66" i="47"/>
  <c r="Z195" i="47"/>
  <c r="Z58" i="47"/>
  <c r="Z72" i="47"/>
  <c r="V142" i="47"/>
  <c r="X85" i="47"/>
  <c r="X199" i="47"/>
  <c r="U143" i="47"/>
  <c r="V61" i="43"/>
  <c r="V64" i="43" s="1"/>
  <c r="V66" i="43" s="1"/>
  <c r="V69" i="43" s="1"/>
  <c r="L61" i="43"/>
  <c r="L64" i="43" s="1"/>
  <c r="L66" i="43" s="1"/>
  <c r="L69" i="43" s="1"/>
  <c r="Z61" i="43"/>
  <c r="Z64" i="43" s="1"/>
  <c r="Z66" i="43" s="1"/>
  <c r="Z69" i="43" s="1"/>
  <c r="T61" i="43"/>
  <c r="T64" i="43" s="1"/>
  <c r="T66" i="43" s="1"/>
  <c r="T69" i="43" s="1"/>
  <c r="V28" i="45"/>
  <c r="V31" i="45" s="1"/>
  <c r="V30" i="45" s="1"/>
  <c r="M84" i="43"/>
  <c r="M85" i="43"/>
  <c r="M87" i="43"/>
  <c r="M77" i="43" s="1"/>
  <c r="M99" i="43" s="1"/>
  <c r="L84" i="43"/>
  <c r="L85" i="43"/>
  <c r="L87" i="43"/>
  <c r="L77" i="43" s="1"/>
  <c r="L99" i="43" s="1"/>
  <c r="R62" i="43"/>
  <c r="R67" i="43"/>
  <c r="R68" i="43"/>
  <c r="R83" i="43"/>
  <c r="R63" i="43"/>
  <c r="Z85" i="43"/>
  <c r="Z87" i="43"/>
  <c r="Z77" i="43" s="1"/>
  <c r="Z99" i="43" s="1"/>
  <c r="Z84" i="43"/>
  <c r="Z86" i="43" s="1"/>
  <c r="Z76" i="43" s="1"/>
  <c r="Q63" i="43"/>
  <c r="Q67" i="43"/>
  <c r="Q68" i="43"/>
  <c r="Q83" i="43"/>
  <c r="Q62" i="43"/>
  <c r="Q61" i="43" s="1"/>
  <c r="Q64" i="43" s="1"/>
  <c r="Q66" i="43" s="1"/>
  <c r="Q69" i="43" s="1"/>
  <c r="Y87" i="43"/>
  <c r="Y77" i="43" s="1"/>
  <c r="Y99" i="43" s="1"/>
  <c r="Y84" i="43"/>
  <c r="Y85" i="43"/>
  <c r="T84" i="43"/>
  <c r="T85" i="43"/>
  <c r="T87" i="43"/>
  <c r="T77" i="43" s="1"/>
  <c r="T99" i="43" s="1"/>
  <c r="W85" i="43"/>
  <c r="W84" i="43"/>
  <c r="W86" i="43" s="1"/>
  <c r="W76" i="43" s="1"/>
  <c r="W87" i="43"/>
  <c r="W77" i="43" s="1"/>
  <c r="W99" i="43" s="1"/>
  <c r="N67" i="43"/>
  <c r="N62" i="43"/>
  <c r="N83" i="43"/>
  <c r="N68" i="43"/>
  <c r="N63" i="43"/>
  <c r="O62" i="43"/>
  <c r="O68" i="43"/>
  <c r="O83" i="43"/>
  <c r="O63" i="43"/>
  <c r="O67" i="43"/>
  <c r="X85" i="43"/>
  <c r="X87" i="43"/>
  <c r="X77" i="43" s="1"/>
  <c r="X99" i="43" s="1"/>
  <c r="X84" i="43"/>
  <c r="P83" i="43"/>
  <c r="P67" i="43"/>
  <c r="P63" i="43"/>
  <c r="P68" i="43"/>
  <c r="P62" i="43"/>
  <c r="P61" i="43" s="1"/>
  <c r="P64" i="43" s="1"/>
  <c r="P66" i="43" s="1"/>
  <c r="P69" i="43" s="1"/>
  <c r="V85" i="43"/>
  <c r="V84" i="43"/>
  <c r="V87" i="43"/>
  <c r="V77" i="43" s="1"/>
  <c r="V99" i="43" s="1"/>
  <c r="U85" i="43"/>
  <c r="U84" i="43"/>
  <c r="U86" i="43" s="1"/>
  <c r="U76" i="43" s="1"/>
  <c r="U87" i="43"/>
  <c r="U77" i="43" s="1"/>
  <c r="U99" i="43" s="1"/>
  <c r="S67" i="43"/>
  <c r="S63" i="43"/>
  <c r="S62" i="43"/>
  <c r="S83" i="43"/>
  <c r="S68" i="43"/>
  <c r="W61" i="43"/>
  <c r="W64" i="43" s="1"/>
  <c r="W66" i="43" s="1"/>
  <c r="W69" i="43" s="1"/>
  <c r="X61" i="43"/>
  <c r="X64" i="43" s="1"/>
  <c r="X66" i="43" s="1"/>
  <c r="X69" i="43" s="1"/>
  <c r="U69" i="43"/>
  <c r="M61" i="43"/>
  <c r="M64" i="43" s="1"/>
  <c r="M66" i="43" s="1"/>
  <c r="M69" i="43" s="1"/>
  <c r="Y61" i="43"/>
  <c r="Y64" i="43" s="1"/>
  <c r="Y66" i="43" s="1"/>
  <c r="Y69" i="43" s="1"/>
  <c r="W25" i="45" a="1"/>
  <c r="W27" i="45" a="1"/>
  <c r="W24" i="45" a="1"/>
  <c r="W26" i="45" s="1"/>
  <c r="W29" i="45" a="1"/>
  <c r="W18" i="45"/>
  <c r="W19" i="45" s="1"/>
  <c r="W20" i="45" s="1"/>
  <c r="W35" i="45" s="1"/>
  <c r="X6" i="45"/>
  <c r="X23" i="45" s="1"/>
  <c r="U183" i="43"/>
  <c r="U177" i="43"/>
  <c r="T179" i="43"/>
  <c r="U178" i="43"/>
  <c r="V176" i="43"/>
  <c r="V186" i="43"/>
  <c r="W6" i="43"/>
  <c r="V48" i="43"/>
  <c r="U109" i="43"/>
  <c r="V159" i="53" l="1"/>
  <c r="V195" i="53"/>
  <c r="V123" i="53"/>
  <c r="Y194" i="53"/>
  <c r="Y158" i="53"/>
  <c r="Y122" i="53"/>
  <c r="W109" i="52"/>
  <c r="W123" i="52"/>
  <c r="Z194" i="52"/>
  <c r="Z158" i="52"/>
  <c r="Z122" i="52"/>
  <c r="U62" i="46"/>
  <c r="U118" i="46" s="1"/>
  <c r="U129" i="46" s="1"/>
  <c r="V59" i="46"/>
  <c r="V60" i="46"/>
  <c r="V61" i="46"/>
  <c r="V58" i="46"/>
  <c r="V101" i="46"/>
  <c r="V71" i="46"/>
  <c r="V68" i="46"/>
  <c r="W57" i="46"/>
  <c r="W67" i="46"/>
  <c r="X6" i="46"/>
  <c r="T118" i="46"/>
  <c r="U96" i="46"/>
  <c r="U95" i="46"/>
  <c r="U98" i="46"/>
  <c r="U97" i="46"/>
  <c r="W160" i="47"/>
  <c r="W152" i="47"/>
  <c r="W153" i="47" s="1"/>
  <c r="V143" i="47"/>
  <c r="V70" i="43"/>
  <c r="L70" i="43"/>
  <c r="Z70" i="43"/>
  <c r="T70" i="43"/>
  <c r="Q70" i="43"/>
  <c r="P70" i="43"/>
  <c r="W70" i="43"/>
  <c r="X70" i="43"/>
  <c r="U70" i="43"/>
  <c r="M70" i="43"/>
  <c r="Y70" i="43"/>
  <c r="W34" i="43"/>
  <c r="W33" i="43"/>
  <c r="AA27" i="54" a="1"/>
  <c r="AB10" i="54"/>
  <c r="Z47" i="54"/>
  <c r="Z57" i="54"/>
  <c r="W181" i="52"/>
  <c r="T113" i="52"/>
  <c r="T124" i="52" s="1"/>
  <c r="Q170" i="53"/>
  <c r="V212" i="53"/>
  <c r="W183" i="53"/>
  <c r="W184" i="53"/>
  <c r="W185" i="53"/>
  <c r="W147" i="53"/>
  <c r="W148" i="53"/>
  <c r="W149" i="53"/>
  <c r="W198" i="53"/>
  <c r="W199" i="53" s="1"/>
  <c r="W201" i="53" s="1"/>
  <c r="W188" i="53"/>
  <c r="W191" i="53"/>
  <c r="W126" i="53"/>
  <c r="W127" i="53" s="1"/>
  <c r="W129" i="53" s="1"/>
  <c r="W119" i="53"/>
  <c r="W116" i="53"/>
  <c r="W123" i="53" s="1"/>
  <c r="W112" i="53"/>
  <c r="W111" i="53"/>
  <c r="W113" i="53" s="1"/>
  <c r="W211" i="53"/>
  <c r="W162" i="53"/>
  <c r="W163" i="53" s="1"/>
  <c r="W165" i="53" s="1"/>
  <c r="W152" i="53"/>
  <c r="W155" i="53"/>
  <c r="X177" i="53"/>
  <c r="X181" i="53" s="1"/>
  <c r="X182" i="53"/>
  <c r="X141" i="53"/>
  <c r="X146" i="53"/>
  <c r="X140" i="53"/>
  <c r="X142" i="53" s="1"/>
  <c r="X145" i="53" s="1"/>
  <c r="X187" i="53"/>
  <c r="X190" i="53"/>
  <c r="X192" i="53"/>
  <c r="X156" i="53"/>
  <c r="X151" i="53"/>
  <c r="X154" i="53"/>
  <c r="X210" i="53"/>
  <c r="X110" i="53"/>
  <c r="X105" i="53"/>
  <c r="X104" i="53"/>
  <c r="X106" i="53" s="1"/>
  <c r="X109" i="53" s="1"/>
  <c r="X118" i="53"/>
  <c r="X115" i="53"/>
  <c r="X120" i="53"/>
  <c r="Y203" i="53"/>
  <c r="Y180" i="53"/>
  <c r="Y174" i="53"/>
  <c r="Y175" i="53" s="1"/>
  <c r="Y176" i="53" s="1"/>
  <c r="Y178" i="53" s="1"/>
  <c r="Y167" i="53"/>
  <c r="Y144" i="53"/>
  <c r="Y131" i="53"/>
  <c r="Y179" i="53"/>
  <c r="Y143" i="53"/>
  <c r="Y189" i="53"/>
  <c r="Y186" i="53"/>
  <c r="Y138" i="53"/>
  <c r="Y139" i="53" s="1"/>
  <c r="Y7" i="53"/>
  <c r="Y153" i="53"/>
  <c r="Y150" i="53"/>
  <c r="Y107" i="53"/>
  <c r="Y117" i="53"/>
  <c r="Y108" i="53"/>
  <c r="Y193" i="53"/>
  <c r="Y114" i="53"/>
  <c r="Y102" i="53"/>
  <c r="Y103" i="53" s="1"/>
  <c r="Y121" i="53"/>
  <c r="Z6" i="53"/>
  <c r="Y157" i="53"/>
  <c r="U196" i="53"/>
  <c r="U214" i="53" s="1"/>
  <c r="U213" i="53"/>
  <c r="V160" i="53"/>
  <c r="V161" i="53" s="1"/>
  <c r="V124" i="53"/>
  <c r="V125" i="53" s="1"/>
  <c r="T197" i="53"/>
  <c r="N220" i="53"/>
  <c r="J218" i="53"/>
  <c r="Q204" i="53"/>
  <c r="R200" i="53" s="1"/>
  <c r="Q202" i="53"/>
  <c r="P216" i="53"/>
  <c r="P205" i="53"/>
  <c r="O217" i="53"/>
  <c r="O207" i="53"/>
  <c r="S168" i="53"/>
  <c r="T164" i="53" s="1"/>
  <c r="S166" i="53"/>
  <c r="R169" i="53"/>
  <c r="Q171" i="53"/>
  <c r="K215" i="53"/>
  <c r="L215" i="53" s="1"/>
  <c r="M215" i="53" s="1"/>
  <c r="N215" i="53" s="1"/>
  <c r="O215" i="53" s="1"/>
  <c r="P215" i="53" s="1"/>
  <c r="Q215" i="53" s="1"/>
  <c r="R215" i="53" s="1"/>
  <c r="S215" i="53" s="1"/>
  <c r="T215" i="53" s="1"/>
  <c r="K206" i="53"/>
  <c r="L206" i="53" s="1"/>
  <c r="M206" i="53" s="1"/>
  <c r="N206" i="53" s="1"/>
  <c r="O206" i="53" s="1"/>
  <c r="Q170" i="52"/>
  <c r="Q215" i="52"/>
  <c r="R197" i="52"/>
  <c r="Q135" i="52"/>
  <c r="T149" i="52"/>
  <c r="V181" i="52"/>
  <c r="W112" i="52"/>
  <c r="W111" i="52"/>
  <c r="W113" i="52" s="1"/>
  <c r="V109" i="52"/>
  <c r="V213" i="52"/>
  <c r="X198" i="52"/>
  <c r="X199" i="52" s="1"/>
  <c r="X201" i="52" s="1"/>
  <c r="X191" i="52"/>
  <c r="X188" i="52"/>
  <c r="X195" i="52" s="1"/>
  <c r="X126" i="52"/>
  <c r="X127" i="52" s="1"/>
  <c r="X129" i="52" s="1"/>
  <c r="X119" i="52"/>
  <c r="X116" i="52"/>
  <c r="X123" i="52" s="1"/>
  <c r="X140" i="52"/>
  <c r="X141" i="52"/>
  <c r="X146" i="52"/>
  <c r="X162" i="52"/>
  <c r="X163" i="52" s="1"/>
  <c r="X165" i="52" s="1"/>
  <c r="X152" i="52"/>
  <c r="X159" i="52" s="1"/>
  <c r="X155" i="52"/>
  <c r="Y120" i="52"/>
  <c r="Y118" i="52"/>
  <c r="Y115" i="52"/>
  <c r="Y192" i="52"/>
  <c r="Y190" i="52"/>
  <c r="Y187" i="52"/>
  <c r="Y175" i="52"/>
  <c r="Y103" i="52"/>
  <c r="Y146" i="52"/>
  <c r="Y141" i="52"/>
  <c r="Y154" i="52"/>
  <c r="Y156" i="52"/>
  <c r="Y151" i="52"/>
  <c r="Z114" i="52"/>
  <c r="Z193" i="52"/>
  <c r="Z174" i="52"/>
  <c r="Z175" i="52" s="1"/>
  <c r="Z7" i="52"/>
  <c r="Z108" i="52"/>
  <c r="Z203" i="52"/>
  <c r="Z167" i="52"/>
  <c r="Z189" i="52"/>
  <c r="Z179" i="52"/>
  <c r="Z102" i="52"/>
  <c r="Z103" i="52" s="1"/>
  <c r="Z180" i="52"/>
  <c r="Z143" i="52"/>
  <c r="Z107" i="52"/>
  <c r="Z186" i="52"/>
  <c r="Z144" i="52"/>
  <c r="Z117" i="52"/>
  <c r="Z121" i="52"/>
  <c r="Z138" i="52"/>
  <c r="Z150" i="52"/>
  <c r="Z153" i="52"/>
  <c r="Z131" i="52"/>
  <c r="Z157" i="52"/>
  <c r="AA6" i="52"/>
  <c r="S132" i="52"/>
  <c r="T128" i="52" s="1"/>
  <c r="S130" i="52"/>
  <c r="Q134" i="52"/>
  <c r="Q204" i="52"/>
  <c r="R200" i="52" s="1"/>
  <c r="Q202" i="52"/>
  <c r="P216" i="52"/>
  <c r="P205" i="52"/>
  <c r="O217" i="52"/>
  <c r="O207" i="52"/>
  <c r="N218" i="52"/>
  <c r="N219" i="52"/>
  <c r="N220" i="52" s="1"/>
  <c r="R169" i="52"/>
  <c r="S212" i="52"/>
  <c r="S196" i="52"/>
  <c r="W147" i="52"/>
  <c r="W148" i="52"/>
  <c r="V145" i="52"/>
  <c r="R133" i="52"/>
  <c r="R125" i="52"/>
  <c r="S125" i="52" s="1"/>
  <c r="R214" i="52"/>
  <c r="U124" i="52"/>
  <c r="U149" i="52"/>
  <c r="X106" i="52"/>
  <c r="X178" i="52"/>
  <c r="R161" i="52"/>
  <c r="S161" i="52" s="1"/>
  <c r="O206" i="52"/>
  <c r="T133" i="53"/>
  <c r="U132" i="53"/>
  <c r="V128" i="53" s="1"/>
  <c r="U130" i="53"/>
  <c r="S134" i="53"/>
  <c r="S135" i="53"/>
  <c r="V166" i="52"/>
  <c r="V168" i="52"/>
  <c r="W164" i="52" s="1"/>
  <c r="Y76" i="47"/>
  <c r="W31" i="43" a="1"/>
  <c r="W30" i="43" a="1"/>
  <c r="W29" i="43" a="1"/>
  <c r="W32" i="43" a="1"/>
  <c r="Y6" i="51"/>
  <c r="X7" i="51"/>
  <c r="X103" i="51"/>
  <c r="X65" i="51"/>
  <c r="X68" i="51"/>
  <c r="X73" i="51"/>
  <c r="X74" i="51"/>
  <c r="X79" i="51" s="1"/>
  <c r="X64" i="51"/>
  <c r="X81" i="51"/>
  <c r="X82" i="51" s="1"/>
  <c r="X85" i="51"/>
  <c r="X86" i="51"/>
  <c r="X87" i="51"/>
  <c r="X88" i="51"/>
  <c r="X89" i="51"/>
  <c r="X90" i="51"/>
  <c r="X91" i="51"/>
  <c r="X92" i="51"/>
  <c r="X93" i="51"/>
  <c r="X94" i="51"/>
  <c r="W67" i="51"/>
  <c r="W69" i="51"/>
  <c r="W79" i="51"/>
  <c r="W83" i="51"/>
  <c r="W84" i="51"/>
  <c r="V70" i="51"/>
  <c r="V71" i="51"/>
  <c r="V76" i="51"/>
  <c r="V98" i="51"/>
  <c r="V99" i="51" s="1"/>
  <c r="V101" i="51" s="1"/>
  <c r="V95" i="51"/>
  <c r="T77" i="51"/>
  <c r="T78" i="51"/>
  <c r="T80" i="51" s="1"/>
  <c r="T96" i="51" s="1"/>
  <c r="T102" i="51"/>
  <c r="T104" i="51"/>
  <c r="U100" i="51" s="1"/>
  <c r="R97" i="51"/>
  <c r="Q106" i="51"/>
  <c r="R106" i="51" s="1"/>
  <c r="Q107" i="51"/>
  <c r="Q108" i="51"/>
  <c r="S96" i="51"/>
  <c r="R107" i="51"/>
  <c r="R108" i="51"/>
  <c r="U75" i="51"/>
  <c r="W87" i="47"/>
  <c r="W142" i="47" s="1"/>
  <c r="X88" i="47"/>
  <c r="X158" i="47"/>
  <c r="X151" i="47"/>
  <c r="X147" i="47"/>
  <c r="X81" i="47"/>
  <c r="X150" i="47"/>
  <c r="X157" i="47"/>
  <c r="X159" i="47" s="1"/>
  <c r="X160" i="47" s="1"/>
  <c r="Y61" i="47"/>
  <c r="Y62" i="47"/>
  <c r="Y63" i="47"/>
  <c r="Y223" i="47"/>
  <c r="Y77" i="47"/>
  <c r="Y80" i="47"/>
  <c r="Y149" i="47" s="1"/>
  <c r="Y78" i="47"/>
  <c r="Y148" i="47" s="1"/>
  <c r="Y79" i="47"/>
  <c r="Y86" i="47" s="1"/>
  <c r="Y146" i="47"/>
  <c r="Y156" i="47"/>
  <c r="E66" i="47"/>
  <c r="Z67" i="47"/>
  <c r="E67" i="47" s="1"/>
  <c r="Z68" i="47"/>
  <c r="E68" i="47" s="1"/>
  <c r="Z69" i="47"/>
  <c r="E195" i="47"/>
  <c r="Z197" i="47"/>
  <c r="E197" i="47" s="1"/>
  <c r="Z196" i="47"/>
  <c r="Z59" i="47"/>
  <c r="E59" i="47" s="1"/>
  <c r="Z60" i="47"/>
  <c r="E60" i="47" s="1"/>
  <c r="Z73" i="47"/>
  <c r="Z74" i="47" s="1"/>
  <c r="Z75" i="47"/>
  <c r="X149" i="47"/>
  <c r="X148" i="47"/>
  <c r="X152" i="47" s="1"/>
  <c r="X153" i="47" s="1"/>
  <c r="X86" i="47"/>
  <c r="Y199" i="47"/>
  <c r="X86" i="43"/>
  <c r="X76" i="43" s="1"/>
  <c r="S61" i="43"/>
  <c r="S64" i="43" s="1"/>
  <c r="S66" i="43" s="1"/>
  <c r="S69" i="43" s="1"/>
  <c r="V86" i="43"/>
  <c r="V76" i="43" s="1"/>
  <c r="W28" i="45"/>
  <c r="R87" i="43"/>
  <c r="R77" i="43" s="1"/>
  <c r="R99" i="43" s="1"/>
  <c r="R84" i="43"/>
  <c r="R85" i="43"/>
  <c r="Z111" i="43"/>
  <c r="Z98" i="43"/>
  <c r="Q87" i="43"/>
  <c r="Q77" i="43" s="1"/>
  <c r="Q99" i="43" s="1"/>
  <c r="Q84" i="43"/>
  <c r="Q85" i="43"/>
  <c r="Q86" i="43" s="1"/>
  <c r="Q76" i="43" s="1"/>
  <c r="W98" i="43"/>
  <c r="W111" i="43"/>
  <c r="N84" i="43"/>
  <c r="N87" i="43"/>
  <c r="N77" i="43" s="1"/>
  <c r="N99" i="43" s="1"/>
  <c r="N85" i="43"/>
  <c r="O87" i="43"/>
  <c r="O77" i="43" s="1"/>
  <c r="O99" i="43" s="1"/>
  <c r="O85" i="43"/>
  <c r="O84" i="43"/>
  <c r="P85" i="43"/>
  <c r="P84" i="43"/>
  <c r="P87" i="43"/>
  <c r="P77" i="43" s="1"/>
  <c r="P99" i="43" s="1"/>
  <c r="U111" i="43"/>
  <c r="U98" i="43"/>
  <c r="S84" i="43"/>
  <c r="S85" i="43"/>
  <c r="S87" i="43"/>
  <c r="S77" i="43" s="1"/>
  <c r="S99" i="43" s="1"/>
  <c r="W31" i="45"/>
  <c r="W30" i="45" s="1"/>
  <c r="M86" i="43"/>
  <c r="M76" i="43" s="1"/>
  <c r="L86" i="43"/>
  <c r="L76" i="43" s="1"/>
  <c r="R61" i="43"/>
  <c r="R64" i="43" s="1"/>
  <c r="R66" i="43" s="1"/>
  <c r="R69" i="43" s="1"/>
  <c r="Y86" i="43"/>
  <c r="Y76" i="43" s="1"/>
  <c r="T86" i="43"/>
  <c r="T76" i="43" s="1"/>
  <c r="N61" i="43"/>
  <c r="N64" i="43" s="1"/>
  <c r="N66" i="43" s="1"/>
  <c r="N69" i="43" s="1"/>
  <c r="E151" i="43" s="1"/>
  <c r="O61" i="43"/>
  <c r="O64" i="43" s="1"/>
  <c r="O66" i="43" s="1"/>
  <c r="O69" i="43" s="1"/>
  <c r="X25" i="45" a="1"/>
  <c r="X27" i="45" a="1"/>
  <c r="X24" i="45" a="1"/>
  <c r="X26" i="45" s="1"/>
  <c r="X28" i="45" s="1"/>
  <c r="X29" i="45" a="1"/>
  <c r="X18" i="45"/>
  <c r="X19" i="45" s="1"/>
  <c r="X20" i="45" s="1"/>
  <c r="X35" i="45" s="1"/>
  <c r="Y6" i="45"/>
  <c r="Y23" i="45" s="1"/>
  <c r="V183" i="43"/>
  <c r="V177" i="43"/>
  <c r="U179" i="43"/>
  <c r="V178" i="43"/>
  <c r="W176" i="43"/>
  <c r="W186" i="43"/>
  <c r="X6" i="43"/>
  <c r="V109" i="43"/>
  <c r="W48" i="43"/>
  <c r="W195" i="53" l="1"/>
  <c r="W159" i="53"/>
  <c r="Z194" i="53"/>
  <c r="Z158" i="53"/>
  <c r="Z122" i="53"/>
  <c r="AA194" i="52"/>
  <c r="AA158" i="52"/>
  <c r="AA122" i="52"/>
  <c r="H141" i="49"/>
  <c r="E53" i="49"/>
  <c r="C182" i="49" s="1"/>
  <c r="W61" i="46"/>
  <c r="W58" i="46"/>
  <c r="W59" i="46"/>
  <c r="W60" i="46"/>
  <c r="W71" i="46"/>
  <c r="W101" i="46"/>
  <c r="W68" i="46"/>
  <c r="X57" i="46"/>
  <c r="X67" i="46"/>
  <c r="Y6" i="46"/>
  <c r="T129" i="46"/>
  <c r="U70" i="46"/>
  <c r="V62" i="46"/>
  <c r="V118" i="46" s="1"/>
  <c r="V129" i="46" s="1"/>
  <c r="V96" i="46"/>
  <c r="V95" i="46"/>
  <c r="V97" i="46"/>
  <c r="V98" i="46"/>
  <c r="W143" i="47"/>
  <c r="O86" i="43"/>
  <c r="O76" i="43" s="1"/>
  <c r="X98" i="43"/>
  <c r="X111" i="43"/>
  <c r="S70" i="43"/>
  <c r="R70" i="43"/>
  <c r="N70" i="43"/>
  <c r="O70" i="43"/>
  <c r="X34" i="43"/>
  <c r="X33" i="43"/>
  <c r="T125" i="52"/>
  <c r="U125" i="52" s="1"/>
  <c r="V111" i="43"/>
  <c r="V98" i="43"/>
  <c r="AC10" i="54"/>
  <c r="AB27" i="54" a="1"/>
  <c r="AA47" i="54"/>
  <c r="AA57" i="54"/>
  <c r="W184" i="52"/>
  <c r="W183" i="52"/>
  <c r="W185" i="52" s="1"/>
  <c r="W196" i="52" s="1"/>
  <c r="W211" i="52"/>
  <c r="R134" i="52"/>
  <c r="W212" i="53"/>
  <c r="W124" i="53"/>
  <c r="W125" i="53" s="1"/>
  <c r="X183" i="53"/>
  <c r="X184" i="53"/>
  <c r="X185" i="53"/>
  <c r="X147" i="53"/>
  <c r="X148" i="53"/>
  <c r="X149" i="53"/>
  <c r="X198" i="53"/>
  <c r="X199" i="53" s="1"/>
  <c r="X201" i="53" s="1"/>
  <c r="X188" i="53"/>
  <c r="X191" i="53"/>
  <c r="X162" i="53"/>
  <c r="X163" i="53" s="1"/>
  <c r="X165" i="53" s="1"/>
  <c r="X152" i="53"/>
  <c r="X155" i="53"/>
  <c r="X112" i="53"/>
  <c r="X111" i="53"/>
  <c r="X113" i="53" s="1"/>
  <c r="X211" i="53"/>
  <c r="X126" i="53"/>
  <c r="X127" i="53" s="1"/>
  <c r="X129" i="53" s="1"/>
  <c r="X119" i="53"/>
  <c r="X116" i="53"/>
  <c r="X123" i="53" s="1"/>
  <c r="Y177" i="53"/>
  <c r="Y181" i="53" s="1"/>
  <c r="Y182" i="53"/>
  <c r="Y187" i="53"/>
  <c r="Y192" i="53"/>
  <c r="Y190" i="53"/>
  <c r="Y141" i="53"/>
  <c r="Y146" i="53"/>
  <c r="Y140" i="53"/>
  <c r="Y142" i="53" s="1"/>
  <c r="Y145" i="53" s="1"/>
  <c r="Y154" i="53"/>
  <c r="Y156" i="53"/>
  <c r="Y151" i="53"/>
  <c r="Y120" i="53"/>
  <c r="Y118" i="53"/>
  <c r="Y115" i="53"/>
  <c r="Y210" i="53"/>
  <c r="Y110" i="53"/>
  <c r="Y105" i="53"/>
  <c r="Y104" i="53"/>
  <c r="Y106" i="53" s="1"/>
  <c r="Y109" i="53" s="1"/>
  <c r="Z203" i="53"/>
  <c r="Z174" i="53"/>
  <c r="Z175" i="53" s="1"/>
  <c r="Z176" i="53" s="1"/>
  <c r="Z178" i="53" s="1"/>
  <c r="Z180" i="53"/>
  <c r="Z167" i="53"/>
  <c r="Z144" i="53"/>
  <c r="Z131" i="53"/>
  <c r="Z179" i="53"/>
  <c r="Z189" i="53"/>
  <c r="Z138" i="53"/>
  <c r="Z139" i="53" s="1"/>
  <c r="Z143" i="53"/>
  <c r="Z186" i="53"/>
  <c r="Z153" i="53"/>
  <c r="Z114" i="53"/>
  <c r="Z117" i="53"/>
  <c r="Z7" i="53"/>
  <c r="Z193" i="53"/>
  <c r="Z150" i="53"/>
  <c r="Z102" i="53"/>
  <c r="Z103" i="53" s="1"/>
  <c r="Z121" i="53"/>
  <c r="Z108" i="53"/>
  <c r="Z107" i="53"/>
  <c r="AA6" i="53"/>
  <c r="Z157" i="53"/>
  <c r="V196" i="53"/>
  <c r="V214" i="53" s="1"/>
  <c r="V213" i="53"/>
  <c r="W160" i="53"/>
  <c r="W161" i="53" s="1"/>
  <c r="U197" i="53"/>
  <c r="V197" i="53" s="1"/>
  <c r="U215" i="53"/>
  <c r="R204" i="53"/>
  <c r="S200" i="53" s="1"/>
  <c r="R202" i="53"/>
  <c r="Q216" i="53"/>
  <c r="Q205" i="53"/>
  <c r="P206" i="53"/>
  <c r="P217" i="53"/>
  <c r="P207" i="53"/>
  <c r="P219" i="53" s="1"/>
  <c r="O219" i="53"/>
  <c r="O220" i="53" s="1"/>
  <c r="T168" i="53"/>
  <c r="U164" i="53" s="1"/>
  <c r="T166" i="53"/>
  <c r="S169" i="53"/>
  <c r="R170" i="53"/>
  <c r="R171" i="53"/>
  <c r="K218" i="53"/>
  <c r="L218" i="53" s="1"/>
  <c r="M218" i="53" s="1"/>
  <c r="N218" i="53" s="1"/>
  <c r="O218" i="53" s="1"/>
  <c r="T212" i="52"/>
  <c r="T160" i="52"/>
  <c r="V184" i="52"/>
  <c r="V183" i="52"/>
  <c r="W124" i="52"/>
  <c r="V211" i="52"/>
  <c r="V112" i="52"/>
  <c r="V111" i="52"/>
  <c r="W213" i="52"/>
  <c r="Y142" i="52"/>
  <c r="Y145" i="52" s="1"/>
  <c r="X142" i="52"/>
  <c r="Y126" i="52"/>
  <c r="Y127" i="52" s="1"/>
  <c r="Y129" i="52" s="1"/>
  <c r="Y119" i="52"/>
  <c r="Y116" i="52"/>
  <c r="Y123" i="52" s="1"/>
  <c r="Y198" i="52"/>
  <c r="Y199" i="52" s="1"/>
  <c r="Y201" i="52" s="1"/>
  <c r="Y191" i="52"/>
  <c r="Y188" i="52"/>
  <c r="Y195" i="52" s="1"/>
  <c r="Y182" i="52"/>
  <c r="Y177" i="52"/>
  <c r="Y176" i="52"/>
  <c r="Y104" i="52"/>
  <c r="Y210" i="52"/>
  <c r="Y110" i="52"/>
  <c r="Y105" i="52"/>
  <c r="Y162" i="52"/>
  <c r="Y163" i="52" s="1"/>
  <c r="Y165" i="52" s="1"/>
  <c r="Y155" i="52"/>
  <c r="Y152" i="52"/>
  <c r="Y159" i="52" s="1"/>
  <c r="Z115" i="52"/>
  <c r="Z120" i="52"/>
  <c r="Z118" i="52"/>
  <c r="Z182" i="52"/>
  <c r="Z177" i="52"/>
  <c r="Z176" i="52"/>
  <c r="Z110" i="52"/>
  <c r="Z105" i="52"/>
  <c r="Z104" i="52"/>
  <c r="Z192" i="52"/>
  <c r="Z190" i="52"/>
  <c r="Z187" i="52"/>
  <c r="Z139" i="52"/>
  <c r="Z210" i="52" s="1"/>
  <c r="Z154" i="52"/>
  <c r="Z151" i="52"/>
  <c r="Z156" i="52"/>
  <c r="AA203" i="52"/>
  <c r="AA180" i="52"/>
  <c r="AA189" i="52"/>
  <c r="AA102" i="52"/>
  <c r="AA114" i="52"/>
  <c r="AA186" i="52"/>
  <c r="AA144" i="52"/>
  <c r="AA174" i="52"/>
  <c r="AA7" i="52"/>
  <c r="AA107" i="52"/>
  <c r="AA179" i="52"/>
  <c r="AA143" i="52"/>
  <c r="AA167" i="52"/>
  <c r="AA108" i="52"/>
  <c r="AA193" i="52"/>
  <c r="AA117" i="52"/>
  <c r="AA121" i="52"/>
  <c r="AA131" i="52"/>
  <c r="AA138" i="52"/>
  <c r="AA150" i="52"/>
  <c r="AA153" i="52"/>
  <c r="AA157" i="52"/>
  <c r="AB6" i="52"/>
  <c r="T130" i="52"/>
  <c r="T132" i="52"/>
  <c r="U128" i="52" s="1"/>
  <c r="S133" i="52"/>
  <c r="R204" i="52"/>
  <c r="S200" i="52" s="1"/>
  <c r="R202" i="52"/>
  <c r="Q205" i="52"/>
  <c r="Q216" i="52"/>
  <c r="P206" i="52"/>
  <c r="P217" i="52"/>
  <c r="P207" i="52"/>
  <c r="O219" i="52"/>
  <c r="O220" i="52" s="1"/>
  <c r="O218" i="52"/>
  <c r="P218" i="52" s="1"/>
  <c r="R171" i="52"/>
  <c r="S214" i="52"/>
  <c r="V148" i="52"/>
  <c r="V147" i="52"/>
  <c r="R135" i="52"/>
  <c r="S197" i="52"/>
  <c r="T197" i="52" s="1"/>
  <c r="U197" i="52" s="1"/>
  <c r="R170" i="52"/>
  <c r="W149" i="52"/>
  <c r="R215" i="52"/>
  <c r="U160" i="52"/>
  <c r="U212" i="52"/>
  <c r="X109" i="52"/>
  <c r="X181" i="52"/>
  <c r="T134" i="53"/>
  <c r="T135" i="53"/>
  <c r="V130" i="53"/>
  <c r="V132" i="53"/>
  <c r="W128" i="53" s="1"/>
  <c r="U133" i="53"/>
  <c r="W166" i="52"/>
  <c r="W168" i="52"/>
  <c r="X164" i="52" s="1"/>
  <c r="X31" i="43" a="1"/>
  <c r="X32" i="43" a="1"/>
  <c r="X29" i="43" a="1"/>
  <c r="X30" i="43" a="1"/>
  <c r="T105" i="51"/>
  <c r="Z6" i="51"/>
  <c r="Y7" i="51"/>
  <c r="Y64" i="51"/>
  <c r="Y65" i="51"/>
  <c r="Y68" i="51"/>
  <c r="Y73" i="51"/>
  <c r="Y74" i="51"/>
  <c r="Y103" i="51"/>
  <c r="Y81" i="51"/>
  <c r="Y82" i="51" s="1"/>
  <c r="Y85" i="51"/>
  <c r="Y86" i="51"/>
  <c r="Y87" i="51"/>
  <c r="Y88" i="51"/>
  <c r="Y89" i="51"/>
  <c r="Y90" i="51"/>
  <c r="Y91" i="51"/>
  <c r="Y92" i="51"/>
  <c r="Y93" i="51"/>
  <c r="Y94" i="51"/>
  <c r="X66" i="51"/>
  <c r="X67" i="51"/>
  <c r="X69" i="51"/>
  <c r="X83" i="51"/>
  <c r="X84" i="51"/>
  <c r="W70" i="51"/>
  <c r="W72" i="51" s="1"/>
  <c r="W71" i="51"/>
  <c r="W76" i="51"/>
  <c r="W98" i="51"/>
  <c r="W99" i="51" s="1"/>
  <c r="W101" i="51" s="1"/>
  <c r="W95" i="51"/>
  <c r="V72" i="51"/>
  <c r="V75" i="51" s="1"/>
  <c r="U102" i="51"/>
  <c r="U104" i="51"/>
  <c r="V100" i="51" s="1"/>
  <c r="S105" i="51"/>
  <c r="U78" i="51"/>
  <c r="U77" i="51"/>
  <c r="U80" i="51" s="1"/>
  <c r="S97" i="51"/>
  <c r="T97" i="51" s="1"/>
  <c r="X82" i="47"/>
  <c r="Y88" i="47"/>
  <c r="Y151" i="47"/>
  <c r="Y158" i="47"/>
  <c r="Y147" i="47"/>
  <c r="Y81" i="47"/>
  <c r="Y82" i="47" s="1"/>
  <c r="Y87" i="47"/>
  <c r="Y142" i="47" s="1"/>
  <c r="Y150" i="47"/>
  <c r="Y157" i="47"/>
  <c r="E69" i="47"/>
  <c r="Z85" i="47"/>
  <c r="Z61" i="47"/>
  <c r="E61" i="47" s="1"/>
  <c r="Z62" i="47"/>
  <c r="X87" i="47"/>
  <c r="X142" i="47"/>
  <c r="Z76" i="47"/>
  <c r="E196" i="47"/>
  <c r="Z198" i="47"/>
  <c r="Q98" i="43"/>
  <c r="Q111" i="43"/>
  <c r="M111" i="43"/>
  <c r="M98" i="43"/>
  <c r="L111" i="43"/>
  <c r="L98" i="43"/>
  <c r="Y98" i="43"/>
  <c r="Y111" i="43"/>
  <c r="T111" i="43"/>
  <c r="T98" i="43"/>
  <c r="R86" i="43"/>
  <c r="R76" i="43" s="1"/>
  <c r="N86" i="43"/>
  <c r="N76" i="43" s="1"/>
  <c r="P86" i="43"/>
  <c r="P76" i="43" s="1"/>
  <c r="S86" i="43"/>
  <c r="S76" i="43" s="1"/>
  <c r="X31" i="45"/>
  <c r="X30" i="45" s="1"/>
  <c r="Y24" i="45" a="1"/>
  <c r="Y25" i="45" a="1"/>
  <c r="Y27" i="45" a="1"/>
  <c r="Y29" i="45" a="1"/>
  <c r="Y18" i="45"/>
  <c r="Y19" i="45" s="1"/>
  <c r="Y20" i="45" s="1"/>
  <c r="Y35" i="45" s="1"/>
  <c r="Z6" i="45"/>
  <c r="W183" i="43"/>
  <c r="W177" i="43"/>
  <c r="W178" i="43" s="1"/>
  <c r="V179" i="43"/>
  <c r="X176" i="43"/>
  <c r="X186" i="43"/>
  <c r="Y6" i="43"/>
  <c r="X48" i="43"/>
  <c r="W109" i="43"/>
  <c r="X195" i="53" l="1"/>
  <c r="X159" i="53"/>
  <c r="AA194" i="53"/>
  <c r="AA158" i="53"/>
  <c r="AA122" i="53"/>
  <c r="AB194" i="52"/>
  <c r="AB158" i="52"/>
  <c r="AB122" i="52"/>
  <c r="H190" i="49"/>
  <c r="G265" i="47"/>
  <c r="I141" i="49"/>
  <c r="I190" i="49" s="1"/>
  <c r="E62" i="47"/>
  <c r="Z63" i="47"/>
  <c r="Z223" i="47"/>
  <c r="X61" i="46"/>
  <c r="X59" i="46"/>
  <c r="X58" i="46"/>
  <c r="X60" i="46"/>
  <c r="X68" i="46"/>
  <c r="X96" i="46" s="1"/>
  <c r="X101" i="46"/>
  <c r="X71" i="46"/>
  <c r="Y67" i="46"/>
  <c r="Y57" i="46"/>
  <c r="Z6" i="46"/>
  <c r="W62" i="46"/>
  <c r="W97" i="46"/>
  <c r="W70" i="46"/>
  <c r="W98" i="46"/>
  <c r="W96" i="46"/>
  <c r="W95" i="46"/>
  <c r="V70" i="46"/>
  <c r="X143" i="47"/>
  <c r="Y143" i="47" s="1"/>
  <c r="Y159" i="47"/>
  <c r="Y160" i="47" s="1"/>
  <c r="O98" i="43"/>
  <c r="O111" i="43"/>
  <c r="Y34" i="43"/>
  <c r="Y33" i="43"/>
  <c r="P220" i="53"/>
  <c r="AC27" i="54" a="1"/>
  <c r="AB47" i="54"/>
  <c r="AB57" i="54"/>
  <c r="X212" i="53"/>
  <c r="X124" i="53"/>
  <c r="X125" i="53" s="1"/>
  <c r="Y183" i="53"/>
  <c r="Y184" i="53"/>
  <c r="Y185" i="53"/>
  <c r="Y198" i="53"/>
  <c r="Y199" i="53" s="1"/>
  <c r="Y201" i="53" s="1"/>
  <c r="Y188" i="53"/>
  <c r="Y191" i="53"/>
  <c r="Y147" i="53"/>
  <c r="Y148" i="53"/>
  <c r="Y149" i="53"/>
  <c r="Y162" i="53"/>
  <c r="Y163" i="53" s="1"/>
  <c r="Y165" i="53" s="1"/>
  <c r="Y152" i="53"/>
  <c r="Y159" i="53" s="1"/>
  <c r="Y155" i="53"/>
  <c r="Y126" i="53"/>
  <c r="Y127" i="53" s="1"/>
  <c r="Y129" i="53" s="1"/>
  <c r="Y116" i="53"/>
  <c r="Y119" i="53"/>
  <c r="Y111" i="53"/>
  <c r="Y112" i="53"/>
  <c r="Y211" i="53"/>
  <c r="Z177" i="53"/>
  <c r="Z181" i="53" s="1"/>
  <c r="Z182" i="53"/>
  <c r="Z141" i="53"/>
  <c r="Z146" i="53"/>
  <c r="Z140" i="53"/>
  <c r="Z142" i="53" s="1"/>
  <c r="Z145" i="53" s="1"/>
  <c r="Z187" i="53"/>
  <c r="Z190" i="53"/>
  <c r="Z192" i="53"/>
  <c r="Z120" i="53"/>
  <c r="Z115" i="53"/>
  <c r="Z118" i="53"/>
  <c r="Z154" i="53"/>
  <c r="Z156" i="53"/>
  <c r="Z151" i="53"/>
  <c r="Z210" i="53"/>
  <c r="Z105" i="53"/>
  <c r="Z110" i="53"/>
  <c r="Z104" i="53"/>
  <c r="Z106" i="53" s="1"/>
  <c r="Z109" i="53" s="1"/>
  <c r="AA203" i="53"/>
  <c r="AA174" i="53"/>
  <c r="AA175" i="53" s="1"/>
  <c r="AA176" i="53" s="1"/>
  <c r="AA178" i="53" s="1"/>
  <c r="AA180" i="53"/>
  <c r="AA167" i="53"/>
  <c r="AA144" i="53"/>
  <c r="AA131" i="53"/>
  <c r="AA179" i="53"/>
  <c r="AA189" i="53"/>
  <c r="AA138" i="53"/>
  <c r="AA139" i="53" s="1"/>
  <c r="AA143" i="53"/>
  <c r="AA102" i="53"/>
  <c r="AA103" i="53" s="1"/>
  <c r="AA104" i="53" s="1"/>
  <c r="AA186" i="53"/>
  <c r="AA153" i="53"/>
  <c r="AA193" i="53"/>
  <c r="AA107" i="53"/>
  <c r="AA121" i="53"/>
  <c r="AA108" i="53"/>
  <c r="AA7" i="53"/>
  <c r="AA114" i="53"/>
  <c r="AA150" i="53"/>
  <c r="AA117" i="53"/>
  <c r="AA157" i="53"/>
  <c r="AB6" i="53"/>
  <c r="W196" i="53"/>
  <c r="W213" i="53"/>
  <c r="V215" i="53"/>
  <c r="X160" i="53"/>
  <c r="X161" i="53" s="1"/>
  <c r="P218" i="53"/>
  <c r="S204" i="53"/>
  <c r="T200" i="53" s="1"/>
  <c r="S202" i="53"/>
  <c r="R216" i="53"/>
  <c r="R205" i="53"/>
  <c r="Q217" i="53"/>
  <c r="Q207" i="53"/>
  <c r="Q206" i="53"/>
  <c r="U168" i="53"/>
  <c r="V164" i="53" s="1"/>
  <c r="U166" i="53"/>
  <c r="T169" i="53"/>
  <c r="S171" i="53"/>
  <c r="S170" i="53"/>
  <c r="T170" i="53" s="1"/>
  <c r="W160" i="52"/>
  <c r="W212" i="52"/>
  <c r="U214" i="52"/>
  <c r="U169" i="52"/>
  <c r="U171" i="52" s="1"/>
  <c r="T161" i="52"/>
  <c r="U161" i="52" s="1"/>
  <c r="T169" i="52"/>
  <c r="T171" i="52" s="1"/>
  <c r="T214" i="52"/>
  <c r="V185" i="52"/>
  <c r="V113" i="52"/>
  <c r="X213" i="52"/>
  <c r="Y148" i="52"/>
  <c r="Y147" i="52"/>
  <c r="Y149" i="52" s="1"/>
  <c r="X145" i="52"/>
  <c r="Z178" i="52"/>
  <c r="Z181" i="52" s="1"/>
  <c r="Y178" i="52"/>
  <c r="Z106" i="52"/>
  <c r="Z109" i="52" s="1"/>
  <c r="Y106" i="52"/>
  <c r="Z126" i="52"/>
  <c r="Z127" i="52" s="1"/>
  <c r="Z129" i="52" s="1"/>
  <c r="Z116" i="52"/>
  <c r="Z119" i="52"/>
  <c r="Z198" i="52"/>
  <c r="Z199" i="52" s="1"/>
  <c r="Z201" i="52" s="1"/>
  <c r="Z191" i="52"/>
  <c r="Z188" i="52"/>
  <c r="Z195" i="52" s="1"/>
  <c r="Z140" i="52"/>
  <c r="Z141" i="52"/>
  <c r="Z146" i="52"/>
  <c r="Z162" i="52"/>
  <c r="Z163" i="52" s="1"/>
  <c r="Z165" i="52" s="1"/>
  <c r="Z155" i="52"/>
  <c r="Z152" i="52"/>
  <c r="Z159" i="52" s="1"/>
  <c r="AA103" i="52"/>
  <c r="AA120" i="52"/>
  <c r="AA118" i="52"/>
  <c r="AA115" i="52"/>
  <c r="AA192" i="52"/>
  <c r="AA190" i="52"/>
  <c r="AA187" i="52"/>
  <c r="AA175" i="52"/>
  <c r="AA154" i="52"/>
  <c r="AA151" i="52"/>
  <c r="AA156" i="52"/>
  <c r="AB179" i="52"/>
  <c r="AB7" i="52"/>
  <c r="AB102" i="52"/>
  <c r="AB108" i="52"/>
  <c r="AB143" i="52"/>
  <c r="AB107" i="52"/>
  <c r="AB180" i="52"/>
  <c r="AB189" i="52"/>
  <c r="AB203" i="52"/>
  <c r="AB144" i="52"/>
  <c r="AB193" i="52"/>
  <c r="AB174" i="52"/>
  <c r="AB114" i="52"/>
  <c r="AB167" i="52"/>
  <c r="AB186" i="52"/>
  <c r="AB117" i="52"/>
  <c r="AB121" i="52"/>
  <c r="AB138" i="52"/>
  <c r="AB139" i="52" s="1"/>
  <c r="AB150" i="52"/>
  <c r="AB153" i="52"/>
  <c r="AB131" i="52"/>
  <c r="AB157" i="52"/>
  <c r="AC6" i="52"/>
  <c r="T133" i="52"/>
  <c r="U132" i="52"/>
  <c r="V128" i="52" s="1"/>
  <c r="U130" i="52"/>
  <c r="S134" i="52"/>
  <c r="S135" i="52"/>
  <c r="S204" i="52"/>
  <c r="T200" i="52" s="1"/>
  <c r="S202" i="52"/>
  <c r="R216" i="52"/>
  <c r="R205" i="52"/>
  <c r="Q217" i="52"/>
  <c r="Q207" i="52"/>
  <c r="Q206" i="52"/>
  <c r="P219" i="52"/>
  <c r="P220" i="52" s="1"/>
  <c r="S215" i="52"/>
  <c r="V149" i="52"/>
  <c r="S170" i="52"/>
  <c r="X211" i="52"/>
  <c r="X112" i="52"/>
  <c r="X111" i="52"/>
  <c r="X184" i="52"/>
  <c r="X183" i="52"/>
  <c r="AA139" i="52"/>
  <c r="V133" i="53"/>
  <c r="W130" i="53"/>
  <c r="W132" i="53"/>
  <c r="X128" i="53" s="1"/>
  <c r="U134" i="53"/>
  <c r="V134" i="53" s="1"/>
  <c r="U135" i="53"/>
  <c r="X166" i="52"/>
  <c r="X168" i="52"/>
  <c r="Y164" i="52" s="1"/>
  <c r="Y152" i="47"/>
  <c r="Y153" i="47" s="1"/>
  <c r="Y31" i="43" a="1"/>
  <c r="Y32" i="43" a="1"/>
  <c r="Y29" i="43" a="1"/>
  <c r="Y30" i="43" a="1"/>
  <c r="Y66" i="51"/>
  <c r="T107" i="51"/>
  <c r="T108" i="51"/>
  <c r="AA6" i="51"/>
  <c r="Z7" i="51"/>
  <c r="Z65" i="51"/>
  <c r="Z68" i="51"/>
  <c r="Z73" i="51"/>
  <c r="Z74" i="51"/>
  <c r="Z64" i="51"/>
  <c r="Z81" i="51"/>
  <c r="Z82" i="51" s="1"/>
  <c r="Z85" i="51"/>
  <c r="Z86" i="51"/>
  <c r="Z87" i="51"/>
  <c r="Z88" i="51"/>
  <c r="Z89" i="51"/>
  <c r="Z90" i="51"/>
  <c r="Z91" i="51"/>
  <c r="Z92" i="51"/>
  <c r="Z93" i="51"/>
  <c r="Z94" i="51"/>
  <c r="Z103" i="51"/>
  <c r="Y67" i="51"/>
  <c r="Y69" i="51"/>
  <c r="Y79" i="51"/>
  <c r="Y83" i="51"/>
  <c r="Y84" i="51"/>
  <c r="X70" i="51"/>
  <c r="X71" i="51"/>
  <c r="X76" i="51"/>
  <c r="X98" i="51"/>
  <c r="X99" i="51" s="1"/>
  <c r="X101" i="51" s="1"/>
  <c r="X95" i="51"/>
  <c r="V77" i="51"/>
  <c r="V78" i="51"/>
  <c r="V80" i="51" s="1"/>
  <c r="V104" i="51"/>
  <c r="W100" i="51" s="1"/>
  <c r="V102" i="51"/>
  <c r="S106" i="51"/>
  <c r="T106" i="51" s="1"/>
  <c r="S107" i="51"/>
  <c r="S108" i="51"/>
  <c r="U96" i="51"/>
  <c r="W75" i="51"/>
  <c r="Z156" i="47"/>
  <c r="Z146" i="47"/>
  <c r="Z79" i="47"/>
  <c r="Z78" i="47"/>
  <c r="Z80" i="47"/>
  <c r="Z77" i="47"/>
  <c r="E76" i="47"/>
  <c r="Z199" i="47"/>
  <c r="J166" i="47" s="1"/>
  <c r="J256" i="47" s="1"/>
  <c r="E198" i="47"/>
  <c r="J165" i="47"/>
  <c r="J255" i="47" s="1"/>
  <c r="E209" i="47"/>
  <c r="R111" i="43"/>
  <c r="R98" i="43"/>
  <c r="N111" i="43"/>
  <c r="N98" i="43"/>
  <c r="P111" i="43"/>
  <c r="P98" i="43"/>
  <c r="S111" i="43"/>
  <c r="S98" i="43"/>
  <c r="Y26" i="45"/>
  <c r="Y28" i="45" s="1"/>
  <c r="Y31" i="45" s="1"/>
  <c r="Y30" i="45" s="1"/>
  <c r="Z18" i="45"/>
  <c r="Z19" i="45" s="1"/>
  <c r="Z20" i="45" s="1"/>
  <c r="Z35" i="45" s="1"/>
  <c r="Z23" i="45"/>
  <c r="X183" i="43"/>
  <c r="X177" i="43"/>
  <c r="X178" i="43" s="1"/>
  <c r="W179" i="43"/>
  <c r="Y176" i="43"/>
  <c r="Y186" i="43"/>
  <c r="Z6" i="43"/>
  <c r="X109" i="43"/>
  <c r="Y48" i="43"/>
  <c r="Y123" i="53" l="1"/>
  <c r="T215" i="52"/>
  <c r="Y195" i="53"/>
  <c r="AA106" i="53"/>
  <c r="U215" i="52"/>
  <c r="AB194" i="53"/>
  <c r="AB158" i="53"/>
  <c r="AB122" i="53"/>
  <c r="Z123" i="52"/>
  <c r="AC194" i="52"/>
  <c r="AC158" i="52"/>
  <c r="AC122" i="52"/>
  <c r="E215" i="47" a="1"/>
  <c r="E202" i="47" s="1"/>
  <c r="E204" i="47" s="1"/>
  <c r="E211" i="47" s="1"/>
  <c r="C249" i="47" s="1"/>
  <c r="E223" i="47"/>
  <c r="E63" i="47"/>
  <c r="Z88" i="47"/>
  <c r="Z158" i="47"/>
  <c r="Z159" i="47" s="1"/>
  <c r="Z151" i="47"/>
  <c r="N82" i="54"/>
  <c r="H139" i="49"/>
  <c r="H138" i="49"/>
  <c r="X62" i="46"/>
  <c r="X118" i="46" s="1"/>
  <c r="X129" i="46" s="1"/>
  <c r="Y101" i="46"/>
  <c r="Y71" i="46"/>
  <c r="Y68" i="46"/>
  <c r="Y59" i="46"/>
  <c r="Y58" i="46"/>
  <c r="Y60" i="46"/>
  <c r="Y61" i="46"/>
  <c r="Z67" i="46"/>
  <c r="Z57" i="46"/>
  <c r="W118" i="46"/>
  <c r="X95" i="46"/>
  <c r="X98" i="46"/>
  <c r="X97" i="46"/>
  <c r="Z33" i="43"/>
  <c r="E33" i="43" s="1"/>
  <c r="Z34" i="43"/>
  <c r="E34" i="43" s="1"/>
  <c r="W169" i="52"/>
  <c r="W171" i="52" s="1"/>
  <c r="W214" i="52"/>
  <c r="N72" i="54"/>
  <c r="G72" i="54"/>
  <c r="K72" i="54" s="1"/>
  <c r="D15" i="54" s="1"/>
  <c r="J72" i="54"/>
  <c r="C15" i="54"/>
  <c r="C72" i="54" s="1"/>
  <c r="M72" i="54"/>
  <c r="L72" i="54"/>
  <c r="M82" i="54"/>
  <c r="J82" i="54"/>
  <c r="G82" i="54"/>
  <c r="K82" i="54" s="1"/>
  <c r="D27" i="54" s="1"/>
  <c r="L82" i="54"/>
  <c r="C27" i="54"/>
  <c r="C82" i="54" s="1"/>
  <c r="AC47" i="54"/>
  <c r="H72" i="54" s="1"/>
  <c r="AC57" i="54"/>
  <c r="H82" i="54" s="1"/>
  <c r="Z183" i="53"/>
  <c r="Z184" i="53"/>
  <c r="Z185" i="53"/>
  <c r="Z147" i="53"/>
  <c r="Z148" i="53"/>
  <c r="Z149" i="53"/>
  <c r="Z198" i="53"/>
  <c r="Z199" i="53" s="1"/>
  <c r="Z201" i="53" s="1"/>
  <c r="Z188" i="53"/>
  <c r="Z191" i="53"/>
  <c r="Z126" i="53"/>
  <c r="Z127" i="53" s="1"/>
  <c r="Z129" i="53" s="1"/>
  <c r="Z119" i="53"/>
  <c r="Z116" i="53"/>
  <c r="Z123" i="53" s="1"/>
  <c r="Z162" i="53"/>
  <c r="Z163" i="53" s="1"/>
  <c r="Z165" i="53" s="1"/>
  <c r="Z155" i="53"/>
  <c r="Z152" i="53"/>
  <c r="Z159" i="53" s="1"/>
  <c r="Z111" i="53"/>
  <c r="Z112" i="53"/>
  <c r="Z211" i="53"/>
  <c r="AA177" i="53"/>
  <c r="AA181" i="53" s="1"/>
  <c r="AA182" i="53"/>
  <c r="AA141" i="53"/>
  <c r="AA146" i="53"/>
  <c r="AA140" i="53"/>
  <c r="AA142" i="53" s="1"/>
  <c r="AA145" i="53" s="1"/>
  <c r="AA210" i="53"/>
  <c r="AA105" i="53"/>
  <c r="AA109" i="53" s="1"/>
  <c r="AA110" i="53"/>
  <c r="AA187" i="53"/>
  <c r="AA190" i="53"/>
  <c r="AA192" i="53"/>
  <c r="AA118" i="53"/>
  <c r="AA120" i="53"/>
  <c r="AA115" i="53"/>
  <c r="AA156" i="53"/>
  <c r="AA154" i="53"/>
  <c r="AA151" i="53"/>
  <c r="AB203" i="53"/>
  <c r="AB174" i="53"/>
  <c r="AB175" i="53" s="1"/>
  <c r="AB176" i="53" s="1"/>
  <c r="AB178" i="53" s="1"/>
  <c r="AB180" i="53"/>
  <c r="AB167" i="53"/>
  <c r="AB144" i="53"/>
  <c r="AB179" i="53"/>
  <c r="AB131" i="53"/>
  <c r="AB138" i="53"/>
  <c r="AB139" i="53" s="1"/>
  <c r="AB102" i="53"/>
  <c r="AB103" i="53" s="1"/>
  <c r="AB104" i="53" s="1"/>
  <c r="AB106" i="53" s="1"/>
  <c r="AB143" i="53"/>
  <c r="AB186" i="53"/>
  <c r="AB189" i="53"/>
  <c r="AB108" i="53"/>
  <c r="AB114" i="53"/>
  <c r="AB117" i="53"/>
  <c r="AB150" i="53"/>
  <c r="AB7" i="53"/>
  <c r="AB193" i="53"/>
  <c r="AB153" i="53"/>
  <c r="AB121" i="53"/>
  <c r="AB107" i="53"/>
  <c r="AC6" i="53"/>
  <c r="AB157" i="53"/>
  <c r="W197" i="53"/>
  <c r="W214" i="53"/>
  <c r="W215" i="53" s="1"/>
  <c r="X196" i="53"/>
  <c r="X214" i="53" s="1"/>
  <c r="X213" i="53"/>
  <c r="Y160" i="53"/>
  <c r="Y161" i="53" s="1"/>
  <c r="Y113" i="53"/>
  <c r="T204" i="53"/>
  <c r="U200" i="53" s="1"/>
  <c r="T202" i="53"/>
  <c r="S216" i="53"/>
  <c r="S205" i="53"/>
  <c r="R217" i="53"/>
  <c r="R207" i="53"/>
  <c r="R219" i="53" s="1"/>
  <c r="Q218" i="53"/>
  <c r="Q219" i="53"/>
  <c r="Q220" i="53" s="1"/>
  <c r="R220" i="53" s="1"/>
  <c r="V168" i="53"/>
  <c r="W164" i="53" s="1"/>
  <c r="V166" i="53"/>
  <c r="U169" i="53"/>
  <c r="T171" i="53"/>
  <c r="R206" i="53"/>
  <c r="T170" i="52"/>
  <c r="U170" i="52" s="1"/>
  <c r="V196" i="52"/>
  <c r="V124" i="52"/>
  <c r="V212" i="52"/>
  <c r="X148" i="52"/>
  <c r="X147" i="52"/>
  <c r="Z184" i="52"/>
  <c r="Z183" i="52"/>
  <c r="Z185" i="52" s="1"/>
  <c r="Z196" i="52" s="1"/>
  <c r="Y181" i="52"/>
  <c r="Z112" i="52"/>
  <c r="Z111" i="52"/>
  <c r="Y109" i="52"/>
  <c r="Y213" i="52"/>
  <c r="Z142" i="52"/>
  <c r="AA104" i="52"/>
  <c r="AA210" i="52"/>
  <c r="AA110" i="52"/>
  <c r="AA105" i="52"/>
  <c r="AA126" i="52"/>
  <c r="AA127" i="52" s="1"/>
  <c r="AA129" i="52" s="1"/>
  <c r="AA119" i="52"/>
  <c r="AA116" i="52"/>
  <c r="AA123" i="52" s="1"/>
  <c r="AA198" i="52"/>
  <c r="AA199" i="52" s="1"/>
  <c r="AA201" i="52" s="1"/>
  <c r="AA191" i="52"/>
  <c r="AA188" i="52"/>
  <c r="AA195" i="52" s="1"/>
  <c r="AA182" i="52"/>
  <c r="AA177" i="52"/>
  <c r="AA176" i="52"/>
  <c r="AA162" i="52"/>
  <c r="AA163" i="52" s="1"/>
  <c r="AA165" i="52" s="1"/>
  <c r="AA155" i="52"/>
  <c r="AA152" i="52"/>
  <c r="AA159" i="52" s="1"/>
  <c r="AB120" i="52"/>
  <c r="AB118" i="52"/>
  <c r="AB115" i="52"/>
  <c r="AB192" i="52"/>
  <c r="AB190" i="52"/>
  <c r="AB187" i="52"/>
  <c r="AB141" i="52"/>
  <c r="AB146" i="52"/>
  <c r="AB151" i="52"/>
  <c r="AB156" i="52"/>
  <c r="AB154" i="52"/>
  <c r="AC143" i="52"/>
  <c r="AC144" i="52"/>
  <c r="AC174" i="52"/>
  <c r="AC186" i="52"/>
  <c r="AC114" i="52"/>
  <c r="AC167" i="52"/>
  <c r="AC7" i="52"/>
  <c r="AC203" i="52"/>
  <c r="AC179" i="52"/>
  <c r="AC193" i="52"/>
  <c r="AC108" i="52"/>
  <c r="AC102" i="52"/>
  <c r="AC189" i="52"/>
  <c r="AC107" i="52"/>
  <c r="AC180" i="52"/>
  <c r="AC117" i="52"/>
  <c r="AC121" i="52"/>
  <c r="AC138" i="52"/>
  <c r="AC150" i="52"/>
  <c r="AC153" i="52"/>
  <c r="AC131" i="52"/>
  <c r="AC157" i="52"/>
  <c r="AD6" i="52"/>
  <c r="T135" i="52"/>
  <c r="V132" i="52"/>
  <c r="W128" i="52" s="1"/>
  <c r="V130" i="52"/>
  <c r="U133" i="52"/>
  <c r="T134" i="52"/>
  <c r="T202" i="52"/>
  <c r="T204" i="52"/>
  <c r="U200" i="52" s="1"/>
  <c r="S205" i="52"/>
  <c r="S216" i="52"/>
  <c r="R217" i="52"/>
  <c r="R207" i="52"/>
  <c r="Q219" i="52"/>
  <c r="Q220" i="52" s="1"/>
  <c r="V160" i="52"/>
  <c r="AA141" i="52"/>
  <c r="AA146" i="52"/>
  <c r="AA140" i="52"/>
  <c r="AA142" i="52" s="1"/>
  <c r="AA145" i="52" s="1"/>
  <c r="Y160" i="52"/>
  <c r="R206" i="52"/>
  <c r="AB103" i="52"/>
  <c r="AB104" i="52" s="1"/>
  <c r="AB175" i="52"/>
  <c r="AB140" i="52"/>
  <c r="Q218" i="52"/>
  <c r="X113" i="52"/>
  <c r="X185" i="52"/>
  <c r="X196" i="52" s="1"/>
  <c r="V135" i="53"/>
  <c r="W133" i="53"/>
  <c r="X130" i="53"/>
  <c r="X132" i="53"/>
  <c r="Y128" i="53" s="1"/>
  <c r="Y166" i="52"/>
  <c r="Y168" i="52"/>
  <c r="Z164" i="52" s="1"/>
  <c r="Z31" i="43" a="1"/>
  <c r="Z30" i="43" a="1"/>
  <c r="Z32" i="43" a="1"/>
  <c r="Z29" i="43" a="1"/>
  <c r="AB6" i="51"/>
  <c r="AA7" i="51"/>
  <c r="AA103" i="51"/>
  <c r="AA64" i="51"/>
  <c r="AA65" i="51"/>
  <c r="AA68" i="51"/>
  <c r="AA73" i="51"/>
  <c r="AA74" i="51"/>
  <c r="AA79" i="51" s="1"/>
  <c r="AA81" i="51"/>
  <c r="AA82" i="51" s="1"/>
  <c r="AA85" i="51"/>
  <c r="AA86" i="51"/>
  <c r="AA87" i="51"/>
  <c r="AA88" i="51"/>
  <c r="AA89" i="51"/>
  <c r="AA90" i="51"/>
  <c r="AA91" i="51"/>
  <c r="AA92" i="51"/>
  <c r="AA93" i="51"/>
  <c r="AA94" i="51"/>
  <c r="Z66" i="51"/>
  <c r="Z67" i="51"/>
  <c r="Z69" i="51"/>
  <c r="Z83" i="51"/>
  <c r="Z84" i="51"/>
  <c r="Y70" i="51"/>
  <c r="Y71" i="51"/>
  <c r="Y76" i="51"/>
  <c r="Y98" i="51"/>
  <c r="Y99" i="51" s="1"/>
  <c r="Y101" i="51" s="1"/>
  <c r="Y95" i="51"/>
  <c r="X72" i="51"/>
  <c r="X75" i="51" s="1"/>
  <c r="W104" i="51"/>
  <c r="X100" i="51" s="1"/>
  <c r="W102" i="51"/>
  <c r="U97" i="51"/>
  <c r="U105" i="51"/>
  <c r="W78" i="51"/>
  <c r="W77" i="51"/>
  <c r="Z79" i="51"/>
  <c r="V96" i="51"/>
  <c r="V105" i="51" s="1"/>
  <c r="Z157" i="47"/>
  <c r="AA159" i="47"/>
  <c r="Z150" i="47"/>
  <c r="E79" i="47"/>
  <c r="Z86" i="47"/>
  <c r="E78" i="47"/>
  <c r="Z148" i="47"/>
  <c r="E80" i="47"/>
  <c r="Z149" i="47"/>
  <c r="E77" i="47"/>
  <c r="Z147" i="47"/>
  <c r="AA152" i="47" s="1"/>
  <c r="Z81" i="47"/>
  <c r="E212" i="47"/>
  <c r="E210" i="47"/>
  <c r="Z25" i="45" a="1"/>
  <c r="Z27" i="45" a="1"/>
  <c r="Z24" i="45" a="1"/>
  <c r="Z26" i="45" s="1"/>
  <c r="Z29" i="45" a="1"/>
  <c r="Y183" i="43"/>
  <c r="Y177" i="43"/>
  <c r="X179" i="43"/>
  <c r="Y178" i="43"/>
  <c r="Z176" i="43"/>
  <c r="Z186" i="43"/>
  <c r="Y109" i="43"/>
  <c r="Z48" i="43"/>
  <c r="Z109" i="43" s="1"/>
  <c r="Z195" i="53" l="1"/>
  <c r="AC194" i="53"/>
  <c r="AC158" i="53"/>
  <c r="AC122" i="53"/>
  <c r="AD194" i="52"/>
  <c r="AD158" i="52"/>
  <c r="AD122" i="52"/>
  <c r="Z220" i="47"/>
  <c r="X220" i="47"/>
  <c r="V220" i="47"/>
  <c r="T220" i="47"/>
  <c r="R220" i="47"/>
  <c r="P220" i="47"/>
  <c r="N220" i="47"/>
  <c r="E217" i="47"/>
  <c r="E216" i="47"/>
  <c r="C250" i="47" s="1"/>
  <c r="L220" i="47"/>
  <c r="J220" i="47"/>
  <c r="I220" i="47"/>
  <c r="H220" i="47"/>
  <c r="G220" i="47"/>
  <c r="K220" i="47"/>
  <c r="H140" i="49"/>
  <c r="M220" i="47"/>
  <c r="O220" i="47"/>
  <c r="Q220" i="47"/>
  <c r="S220" i="47"/>
  <c r="U220" i="47"/>
  <c r="W220" i="47"/>
  <c r="Y220" i="47"/>
  <c r="E213" i="47"/>
  <c r="E126" i="47"/>
  <c r="E192" i="47"/>
  <c r="E193" i="47" s="1"/>
  <c r="E125" i="47"/>
  <c r="E127" i="47"/>
  <c r="E128" i="47"/>
  <c r="I139" i="49"/>
  <c r="I188" i="49" s="1"/>
  <c r="H188" i="49"/>
  <c r="I138" i="49"/>
  <c r="I187" i="49" s="1"/>
  <c r="H187" i="49"/>
  <c r="G263" i="47"/>
  <c r="Z71" i="46"/>
  <c r="Z101" i="46"/>
  <c r="Z68" i="46"/>
  <c r="Z59" i="46"/>
  <c r="E59" i="46" s="1"/>
  <c r="Z60" i="46"/>
  <c r="E60" i="46" s="1"/>
  <c r="Z61" i="46"/>
  <c r="E61" i="46" s="1"/>
  <c r="Z58" i="46"/>
  <c r="W129" i="46"/>
  <c r="X70" i="46"/>
  <c r="Y62" i="46"/>
  <c r="Y98" i="46"/>
  <c r="Y95" i="46"/>
  <c r="Y96" i="46"/>
  <c r="Y97" i="46"/>
  <c r="E15" i="54"/>
  <c r="I72" i="54"/>
  <c r="E27" i="54"/>
  <c r="I82" i="54"/>
  <c r="U134" i="52"/>
  <c r="Z113" i="52"/>
  <c r="Z124" i="52" s="1"/>
  <c r="X197" i="53"/>
  <c r="Z113" i="53"/>
  <c r="AA183" i="53"/>
  <c r="AA184" i="53"/>
  <c r="AA185" i="53"/>
  <c r="AA147" i="53"/>
  <c r="AA148" i="53"/>
  <c r="AA149" i="53"/>
  <c r="AA111" i="53"/>
  <c r="AA112" i="53"/>
  <c r="AA211" i="53"/>
  <c r="AA198" i="53"/>
  <c r="AA199" i="53" s="1"/>
  <c r="AA201" i="53" s="1"/>
  <c r="AA188" i="53"/>
  <c r="AA191" i="53"/>
  <c r="AA126" i="53"/>
  <c r="AA127" i="53" s="1"/>
  <c r="AA129" i="53" s="1"/>
  <c r="AA116" i="53"/>
  <c r="AA119" i="53"/>
  <c r="AA162" i="53"/>
  <c r="AA163" i="53" s="1"/>
  <c r="AA165" i="53" s="1"/>
  <c r="AA155" i="53"/>
  <c r="AA152" i="53"/>
  <c r="AA159" i="53" s="1"/>
  <c r="AB177" i="53"/>
  <c r="AB181" i="53" s="1"/>
  <c r="AB182" i="53"/>
  <c r="AB141" i="53"/>
  <c r="AB146" i="53"/>
  <c r="AB140" i="53"/>
  <c r="AB210" i="53"/>
  <c r="AB110" i="53"/>
  <c r="AB105" i="53"/>
  <c r="AB109" i="53" s="1"/>
  <c r="AB190" i="53"/>
  <c r="AB187" i="53"/>
  <c r="AB192" i="53"/>
  <c r="AB120" i="53"/>
  <c r="AB118" i="53"/>
  <c r="AB115" i="53"/>
  <c r="AB156" i="53"/>
  <c r="AB154" i="53"/>
  <c r="AB151" i="53"/>
  <c r="AC203" i="53"/>
  <c r="AC180" i="53"/>
  <c r="AC174" i="53"/>
  <c r="AC175" i="53" s="1"/>
  <c r="AC176" i="53" s="1"/>
  <c r="AC178" i="53" s="1"/>
  <c r="AC167" i="53"/>
  <c r="AC144" i="53"/>
  <c r="AC131" i="53"/>
  <c r="AC179" i="53"/>
  <c r="AC102" i="53"/>
  <c r="AC103" i="53" s="1"/>
  <c r="AC104" i="53" s="1"/>
  <c r="AC106" i="53" s="1"/>
  <c r="AC138" i="53"/>
  <c r="AC139" i="53" s="1"/>
  <c r="AC143" i="53"/>
  <c r="AC189" i="53"/>
  <c r="AC186" i="53"/>
  <c r="AC108" i="53"/>
  <c r="AC107" i="53"/>
  <c r="AC150" i="53"/>
  <c r="AC193" i="53"/>
  <c r="AC121" i="53"/>
  <c r="AC114" i="53"/>
  <c r="AC153" i="53"/>
  <c r="AC117" i="53"/>
  <c r="AC7" i="53"/>
  <c r="AC157" i="53"/>
  <c r="AD6" i="53"/>
  <c r="Y196" i="53"/>
  <c r="Y213" i="53"/>
  <c r="Y124" i="53"/>
  <c r="Y125" i="53" s="1"/>
  <c r="Y212" i="53"/>
  <c r="Z160" i="53"/>
  <c r="Z161" i="53" s="1"/>
  <c r="X215" i="53"/>
  <c r="U204" i="53"/>
  <c r="V200" i="53" s="1"/>
  <c r="U202" i="53"/>
  <c r="T216" i="53"/>
  <c r="T205" i="53"/>
  <c r="S217" i="53"/>
  <c r="S207" i="53"/>
  <c r="R218" i="53"/>
  <c r="W168" i="53"/>
  <c r="X164" i="53" s="1"/>
  <c r="W166" i="53"/>
  <c r="V169" i="53"/>
  <c r="U171" i="53"/>
  <c r="U170" i="53"/>
  <c r="S206" i="53"/>
  <c r="V197" i="52"/>
  <c r="W197" i="52" s="1"/>
  <c r="X197" i="52" s="1"/>
  <c r="V133" i="52"/>
  <c r="V125" i="52"/>
  <c r="W125" i="52" s="1"/>
  <c r="V214" i="52"/>
  <c r="X149" i="52"/>
  <c r="Y184" i="52"/>
  <c r="Y183" i="52"/>
  <c r="Y211" i="52"/>
  <c r="Y112" i="52"/>
  <c r="Y111" i="52"/>
  <c r="AA147" i="52"/>
  <c r="AA148" i="52"/>
  <c r="Z145" i="52"/>
  <c r="AB106" i="52"/>
  <c r="AA106" i="52"/>
  <c r="AA178" i="52"/>
  <c r="AB126" i="52"/>
  <c r="AB127" i="52" s="1"/>
  <c r="AB129" i="52" s="1"/>
  <c r="AB119" i="52"/>
  <c r="AB116" i="52"/>
  <c r="AB123" i="52" s="1"/>
  <c r="AB198" i="52"/>
  <c r="AB199" i="52" s="1"/>
  <c r="AB201" i="52" s="1"/>
  <c r="AB188" i="52"/>
  <c r="AB191" i="52"/>
  <c r="AB162" i="52"/>
  <c r="AB163" i="52" s="1"/>
  <c r="AB165" i="52" s="1"/>
  <c r="AB155" i="52"/>
  <c r="AB152" i="52"/>
  <c r="AB159" i="52" s="1"/>
  <c r="AC192" i="52"/>
  <c r="AC190" i="52"/>
  <c r="AC187" i="52"/>
  <c r="AC120" i="52"/>
  <c r="AC115" i="52"/>
  <c r="AC118" i="52"/>
  <c r="AC139" i="52"/>
  <c r="AC156" i="52"/>
  <c r="AC154" i="52"/>
  <c r="AC151" i="52"/>
  <c r="AD143" i="52"/>
  <c r="AD186" i="52"/>
  <c r="AD189" i="52"/>
  <c r="AD107" i="52"/>
  <c r="AD167" i="52"/>
  <c r="AD193" i="52"/>
  <c r="AD174" i="52"/>
  <c r="AD175" i="52" s="1"/>
  <c r="AD114" i="52"/>
  <c r="AD108" i="52"/>
  <c r="AD7" i="52"/>
  <c r="AD144" i="52"/>
  <c r="AD179" i="52"/>
  <c r="AD180" i="52"/>
  <c r="AD203" i="52"/>
  <c r="AD102" i="52"/>
  <c r="AD103" i="52" s="1"/>
  <c r="AD104" i="52" s="1"/>
  <c r="AD117" i="52"/>
  <c r="AD121" i="52"/>
  <c r="AD131" i="52"/>
  <c r="AD138" i="52"/>
  <c r="AD139" i="52" s="1"/>
  <c r="AD140" i="52" s="1"/>
  <c r="AD150" i="52"/>
  <c r="AD153" i="52"/>
  <c r="AE6" i="52"/>
  <c r="AD157" i="52"/>
  <c r="W132" i="52"/>
  <c r="X128" i="52" s="1"/>
  <c r="W130" i="52"/>
  <c r="U135" i="52"/>
  <c r="T216" i="52"/>
  <c r="T205" i="52"/>
  <c r="U204" i="52"/>
  <c r="V200" i="52" s="1"/>
  <c r="U202" i="52"/>
  <c r="S217" i="52"/>
  <c r="S207" i="52"/>
  <c r="R218" i="52"/>
  <c r="R219" i="52"/>
  <c r="R220" i="52" s="1"/>
  <c r="V161" i="52"/>
  <c r="W161" i="52" s="1"/>
  <c r="V169" i="52"/>
  <c r="Z213" i="52"/>
  <c r="AB105" i="52"/>
  <c r="AB110" i="52"/>
  <c r="AB210" i="52"/>
  <c r="AB176" i="52"/>
  <c r="AB177" i="52"/>
  <c r="AB182" i="52"/>
  <c r="X124" i="52"/>
  <c r="X212" i="52"/>
  <c r="AB142" i="52"/>
  <c r="S206" i="52"/>
  <c r="AC175" i="52"/>
  <c r="AC103" i="52"/>
  <c r="W134" i="53"/>
  <c r="W135" i="53"/>
  <c r="X133" i="53"/>
  <c r="Y130" i="53"/>
  <c r="Y132" i="53"/>
  <c r="Z128" i="53" s="1"/>
  <c r="Y169" i="52"/>
  <c r="Z166" i="52"/>
  <c r="Z168" i="52"/>
  <c r="AA164" i="52" s="1"/>
  <c r="Z152" i="47"/>
  <c r="AA66" i="51"/>
  <c r="W80" i="51"/>
  <c r="W96" i="51" s="1"/>
  <c r="V97" i="51"/>
  <c r="AC6" i="51"/>
  <c r="AB7" i="51"/>
  <c r="AB65" i="51"/>
  <c r="AB68" i="51"/>
  <c r="AB73" i="51"/>
  <c r="AB74" i="51"/>
  <c r="AB103" i="51"/>
  <c r="AB64" i="51"/>
  <c r="AB81" i="51"/>
  <c r="AB82" i="51" s="1"/>
  <c r="AB85" i="51"/>
  <c r="AB86" i="51"/>
  <c r="AB87" i="51"/>
  <c r="AB88" i="51"/>
  <c r="AB89" i="51"/>
  <c r="AB90" i="51"/>
  <c r="AB91" i="51"/>
  <c r="AB92" i="51"/>
  <c r="AB93" i="51"/>
  <c r="AB94" i="51"/>
  <c r="AA67" i="51"/>
  <c r="AA69" i="51"/>
  <c r="AA83" i="51"/>
  <c r="AA84" i="51"/>
  <c r="Z70" i="51"/>
  <c r="Z72" i="51" s="1"/>
  <c r="Z71" i="51"/>
  <c r="Z76" i="51"/>
  <c r="Z98" i="51"/>
  <c r="Z99" i="51" s="1"/>
  <c r="Z101" i="51" s="1"/>
  <c r="Z95" i="51"/>
  <c r="X77" i="51"/>
  <c r="X78" i="51"/>
  <c r="X80" i="51" s="1"/>
  <c r="X104" i="51"/>
  <c r="Y100" i="51" s="1"/>
  <c r="X102" i="51"/>
  <c r="U106" i="51"/>
  <c r="V106" i="51" s="1"/>
  <c r="U108" i="51"/>
  <c r="U107" i="51"/>
  <c r="V108" i="51"/>
  <c r="V107" i="51"/>
  <c r="Y72" i="51"/>
  <c r="Z160" i="47"/>
  <c r="I168" i="47"/>
  <c r="I167" i="47"/>
  <c r="I257" i="47" s="1"/>
  <c r="I165" i="47"/>
  <c r="I255" i="47" s="1"/>
  <c r="I164" i="47"/>
  <c r="I254" i="47" s="1"/>
  <c r="H164" i="47"/>
  <c r="H254" i="47" s="1"/>
  <c r="H165" i="47"/>
  <c r="H255" i="47" s="1"/>
  <c r="Z153" i="47"/>
  <c r="H167" i="47"/>
  <c r="H257" i="47" s="1"/>
  <c r="H168" i="47"/>
  <c r="Z87" i="47"/>
  <c r="E81" i="47"/>
  <c r="Z82" i="47"/>
  <c r="Z28" i="45"/>
  <c r="Z31" i="45" s="1"/>
  <c r="Z30" i="45" s="1"/>
  <c r="Z183" i="43"/>
  <c r="E197" i="43" s="1"/>
  <c r="Z177" i="43"/>
  <c r="Z178" i="43" s="1"/>
  <c r="Y179" i="43"/>
  <c r="AA123" i="53" l="1"/>
  <c r="AA195" i="53"/>
  <c r="Z212" i="53"/>
  <c r="Z124" i="53"/>
  <c r="Z125" i="53" s="1"/>
  <c r="V170" i="53"/>
  <c r="T206" i="53"/>
  <c r="AD194" i="53"/>
  <c r="AD158" i="53"/>
  <c r="AD122" i="53"/>
  <c r="AB195" i="52"/>
  <c r="AE194" i="52"/>
  <c r="AE158" i="52"/>
  <c r="AE122" i="52"/>
  <c r="Z221" i="47"/>
  <c r="Z224" i="47" s="1"/>
  <c r="Z222" i="47"/>
  <c r="X222" i="47"/>
  <c r="X221" i="47"/>
  <c r="X224" i="47" s="1"/>
  <c r="V222" i="47"/>
  <c r="V221" i="47"/>
  <c r="V224" i="47" s="1"/>
  <c r="T222" i="47"/>
  <c r="T221" i="47"/>
  <c r="T224" i="47" s="1"/>
  <c r="R222" i="47"/>
  <c r="R221" i="47"/>
  <c r="R224" i="47" s="1"/>
  <c r="P222" i="47"/>
  <c r="P221" i="47"/>
  <c r="P224" i="47" s="1"/>
  <c r="N222" i="47"/>
  <c r="N221" i="47"/>
  <c r="N224" i="47" s="1"/>
  <c r="H143" i="49"/>
  <c r="C232" i="47"/>
  <c r="E103" i="49"/>
  <c r="L222" i="47"/>
  <c r="L221" i="47"/>
  <c r="L224" i="47" s="1"/>
  <c r="J222" i="47"/>
  <c r="J221" i="47"/>
  <c r="J224" i="47" s="1"/>
  <c r="I222" i="47"/>
  <c r="I221" i="47"/>
  <c r="I224" i="47" s="1"/>
  <c r="H222" i="47"/>
  <c r="H221" i="47"/>
  <c r="H224" i="47" s="1"/>
  <c r="E220" i="47"/>
  <c r="G222" i="47"/>
  <c r="G221" i="47"/>
  <c r="K222" i="47"/>
  <c r="K224" i="47" s="1"/>
  <c r="K221" i="47"/>
  <c r="I140" i="49"/>
  <c r="I189" i="49" s="1"/>
  <c r="H189" i="49"/>
  <c r="G264" i="47"/>
  <c r="M222" i="47"/>
  <c r="M221" i="47"/>
  <c r="M224" i="47" s="1"/>
  <c r="O222" i="47"/>
  <c r="O221" i="47"/>
  <c r="O224" i="47" s="1"/>
  <c r="Q222" i="47"/>
  <c r="Q221" i="47"/>
  <c r="Q224" i="47" s="1"/>
  <c r="S222" i="47"/>
  <c r="S221" i="47"/>
  <c r="S224" i="47" s="1"/>
  <c r="U221" i="47"/>
  <c r="U224" i="47" s="1"/>
  <c r="U222" i="47"/>
  <c r="W222" i="47"/>
  <c r="W221" i="47"/>
  <c r="W224" i="47" s="1"/>
  <c r="Y221" i="47"/>
  <c r="Y224" i="47" s="1"/>
  <c r="Y222" i="47"/>
  <c r="E129" i="47"/>
  <c r="E130" i="47"/>
  <c r="E58" i="46"/>
  <c r="Z62" i="46"/>
  <c r="Z118" i="46" s="1"/>
  <c r="E62" i="46"/>
  <c r="E213" i="46" s="1"/>
  <c r="I213" i="46" s="1"/>
  <c r="Y118" i="46"/>
  <c r="Z96" i="46"/>
  <c r="Z98" i="46"/>
  <c r="Z97" i="46"/>
  <c r="Z95" i="46"/>
  <c r="Y70" i="46"/>
  <c r="Z142" i="47"/>
  <c r="AA142" i="47"/>
  <c r="S218" i="52"/>
  <c r="AA113" i="53"/>
  <c r="AA212" i="53"/>
  <c r="AB183" i="53"/>
  <c r="AB184" i="53"/>
  <c r="AB185" i="53"/>
  <c r="AB111" i="53"/>
  <c r="AB112" i="53"/>
  <c r="AB198" i="53"/>
  <c r="AB199" i="53" s="1"/>
  <c r="AB201" i="53" s="1"/>
  <c r="AB188" i="53"/>
  <c r="AB191" i="53"/>
  <c r="AB126" i="53"/>
  <c r="AB127" i="53" s="1"/>
  <c r="AB129" i="53" s="1"/>
  <c r="AB116" i="53"/>
  <c r="AB119" i="53"/>
  <c r="AB162" i="53"/>
  <c r="AB163" i="53" s="1"/>
  <c r="AB165" i="53" s="1"/>
  <c r="AB152" i="53"/>
  <c r="AB155" i="53"/>
  <c r="AC177" i="53"/>
  <c r="AC181" i="53" s="1"/>
  <c r="AC182" i="53"/>
  <c r="AC210" i="53"/>
  <c r="AC105" i="53"/>
  <c r="AC109" i="53" s="1"/>
  <c r="AC110" i="53"/>
  <c r="AC141" i="53"/>
  <c r="AC146" i="53"/>
  <c r="AC140" i="53"/>
  <c r="AC192" i="53"/>
  <c r="AC187" i="53"/>
  <c r="AC190" i="53"/>
  <c r="AC156" i="53"/>
  <c r="AC154" i="53"/>
  <c r="AC151" i="53"/>
  <c r="AC120" i="53"/>
  <c r="AC118" i="53"/>
  <c r="AC115" i="53"/>
  <c r="AD203" i="53"/>
  <c r="AD180" i="53"/>
  <c r="AD174" i="53"/>
  <c r="AD175" i="53" s="1"/>
  <c r="AD176" i="53" s="1"/>
  <c r="AD178" i="53" s="1"/>
  <c r="AD167" i="53"/>
  <c r="AD144" i="53"/>
  <c r="AD179" i="53"/>
  <c r="AD131" i="53"/>
  <c r="AD189" i="53"/>
  <c r="AD186" i="53"/>
  <c r="AD138" i="53"/>
  <c r="AD139" i="53" s="1"/>
  <c r="AD102" i="53"/>
  <c r="AD103" i="53" s="1"/>
  <c r="AD104" i="53" s="1"/>
  <c r="AD106" i="53" s="1"/>
  <c r="AD143" i="53"/>
  <c r="AD117" i="53"/>
  <c r="AD153" i="53"/>
  <c r="AD7" i="53"/>
  <c r="AD150" i="53"/>
  <c r="AD193" i="53"/>
  <c r="AD108" i="53"/>
  <c r="AD114" i="53"/>
  <c r="AD121" i="53"/>
  <c r="AD107" i="53"/>
  <c r="AD157" i="53"/>
  <c r="AE6" i="53"/>
  <c r="Y197" i="53"/>
  <c r="Y214" i="53"/>
  <c r="Y215" i="53" s="1"/>
  <c r="Z196" i="53"/>
  <c r="Z214" i="53" s="1"/>
  <c r="Z213" i="53"/>
  <c r="AA124" i="53"/>
  <c r="AA160" i="53"/>
  <c r="AA161" i="53" s="1"/>
  <c r="AB142" i="53"/>
  <c r="AB145" i="53" s="1"/>
  <c r="AB211" i="53" s="1"/>
  <c r="AC142" i="53"/>
  <c r="AC145" i="53" s="1"/>
  <c r="S218" i="53"/>
  <c r="V204" i="53"/>
  <c r="W200" i="53" s="1"/>
  <c r="V202" i="53"/>
  <c r="U216" i="53"/>
  <c r="U205" i="53"/>
  <c r="T217" i="53"/>
  <c r="T207" i="53"/>
  <c r="T219" i="53" s="1"/>
  <c r="S219" i="53"/>
  <c r="S220" i="53" s="1"/>
  <c r="X168" i="53"/>
  <c r="Y164" i="53" s="1"/>
  <c r="X166" i="53"/>
  <c r="W169" i="53"/>
  <c r="V171" i="53"/>
  <c r="V134" i="52"/>
  <c r="V135" i="52"/>
  <c r="V215" i="52"/>
  <c r="W215" i="52" s="1"/>
  <c r="X160" i="52"/>
  <c r="Y185" i="52"/>
  <c r="Y113" i="52"/>
  <c r="Z211" i="52"/>
  <c r="Z148" i="52"/>
  <c r="Z147" i="52"/>
  <c r="AA109" i="52"/>
  <c r="AA181" i="52"/>
  <c r="AC198" i="52"/>
  <c r="AC199" i="52" s="1"/>
  <c r="AC201" i="52" s="1"/>
  <c r="AC188" i="52"/>
  <c r="AC191" i="52"/>
  <c r="AC126" i="52"/>
  <c r="AC127" i="52" s="1"/>
  <c r="AC129" i="52" s="1"/>
  <c r="AC116" i="52"/>
  <c r="AC119" i="52"/>
  <c r="AC140" i="52"/>
  <c r="AC146" i="52"/>
  <c r="AC141" i="52"/>
  <c r="AC162" i="52"/>
  <c r="AC163" i="52" s="1"/>
  <c r="AC165" i="52" s="1"/>
  <c r="AC152" i="52"/>
  <c r="AC155" i="52"/>
  <c r="AD192" i="52"/>
  <c r="AD190" i="52"/>
  <c r="AD187" i="52"/>
  <c r="AD182" i="52"/>
  <c r="AD177" i="52"/>
  <c r="AD176" i="52"/>
  <c r="AD118" i="52"/>
  <c r="AD115" i="52"/>
  <c r="AD120" i="52"/>
  <c r="AD210" i="52"/>
  <c r="AD110" i="52"/>
  <c r="AD105" i="52"/>
  <c r="AD141" i="52"/>
  <c r="AD146" i="52"/>
  <c r="AD156" i="52"/>
  <c r="AD151" i="52"/>
  <c r="AD154" i="52"/>
  <c r="AE179" i="52"/>
  <c r="AE193" i="52"/>
  <c r="AE144" i="52"/>
  <c r="AE7" i="52"/>
  <c r="AE114" i="52"/>
  <c r="AE107" i="52"/>
  <c r="AE186" i="52"/>
  <c r="AE180" i="52"/>
  <c r="AE143" i="52"/>
  <c r="AE108" i="52"/>
  <c r="AE102" i="52"/>
  <c r="AE167" i="52"/>
  <c r="AE174" i="52"/>
  <c r="AE189" i="52"/>
  <c r="AE203" i="52"/>
  <c r="AE157" i="52"/>
  <c r="AE117" i="52"/>
  <c r="AE121" i="52"/>
  <c r="AE138" i="52"/>
  <c r="AE150" i="52"/>
  <c r="AE153" i="52"/>
  <c r="AE131" i="52"/>
  <c r="AF6" i="52"/>
  <c r="X132" i="52"/>
  <c r="Y128" i="52" s="1"/>
  <c r="X130" i="52"/>
  <c r="W133" i="52"/>
  <c r="T217" i="52"/>
  <c r="T207" i="52"/>
  <c r="V202" i="52"/>
  <c r="V204" i="52"/>
  <c r="W200" i="52" s="1"/>
  <c r="U216" i="52"/>
  <c r="U205" i="52"/>
  <c r="S219" i="52"/>
  <c r="S220" i="52" s="1"/>
  <c r="V171" i="52"/>
  <c r="V170" i="52"/>
  <c r="W170" i="52" s="1"/>
  <c r="AC177" i="52"/>
  <c r="AC182" i="52"/>
  <c r="AC176" i="52"/>
  <c r="AC104" i="52"/>
  <c r="AC105" i="52"/>
  <c r="AC110" i="52"/>
  <c r="AC210" i="52"/>
  <c r="X125" i="52"/>
  <c r="AB109" i="52"/>
  <c r="AA149" i="52"/>
  <c r="AA160" i="52" s="1"/>
  <c r="AA213" i="52"/>
  <c r="T206" i="52"/>
  <c r="AB178" i="52"/>
  <c r="X133" i="52"/>
  <c r="AB145" i="52"/>
  <c r="X135" i="53"/>
  <c r="Y133" i="53"/>
  <c r="Z130" i="53"/>
  <c r="Z132" i="53"/>
  <c r="AA128" i="53" s="1"/>
  <c r="Y171" i="52"/>
  <c r="AA166" i="52"/>
  <c r="AA168" i="52"/>
  <c r="AB164" i="52" s="1"/>
  <c r="X134" i="53"/>
  <c r="Y134" i="53" s="1"/>
  <c r="AD6" i="51"/>
  <c r="AC7" i="51"/>
  <c r="AC64" i="51"/>
  <c r="AC65" i="51"/>
  <c r="AC68" i="51"/>
  <c r="AC73" i="51"/>
  <c r="AC74" i="51"/>
  <c r="AC81" i="51"/>
  <c r="AC82" i="51" s="1"/>
  <c r="AC85" i="51"/>
  <c r="AC86" i="51"/>
  <c r="AC87" i="51"/>
  <c r="AC88" i="51"/>
  <c r="AC89" i="51"/>
  <c r="AC90" i="51"/>
  <c r="AC91" i="51"/>
  <c r="AC92" i="51"/>
  <c r="AC93" i="51"/>
  <c r="AC94" i="51"/>
  <c r="AC103" i="51"/>
  <c r="AB66" i="51"/>
  <c r="AB67" i="51"/>
  <c r="AB69" i="51"/>
  <c r="AB79" i="51"/>
  <c r="AB83" i="51"/>
  <c r="AB84" i="51"/>
  <c r="AA70" i="51"/>
  <c r="AA71" i="51"/>
  <c r="AA76" i="51"/>
  <c r="AA98" i="51"/>
  <c r="AA99" i="51" s="1"/>
  <c r="AA101" i="51" s="1"/>
  <c r="AA95" i="51"/>
  <c r="Z75" i="51"/>
  <c r="Y102" i="51"/>
  <c r="Y104" i="51"/>
  <c r="Z100" i="51" s="1"/>
  <c r="W97" i="51"/>
  <c r="W105" i="51"/>
  <c r="Y75" i="51"/>
  <c r="X96" i="51"/>
  <c r="X105" i="51" s="1"/>
  <c r="I166" i="47"/>
  <c r="I256" i="47" s="1"/>
  <c r="H166" i="47"/>
  <c r="H256" i="47" s="1"/>
  <c r="Z179" i="43"/>
  <c r="E193" i="43"/>
  <c r="Z70" i="46" l="1"/>
  <c r="E69" i="46"/>
  <c r="AA125" i="53"/>
  <c r="AB195" i="53"/>
  <c r="AB123" i="53"/>
  <c r="AB159" i="53"/>
  <c r="AE194" i="53"/>
  <c r="AE158" i="53"/>
  <c r="AE122" i="53"/>
  <c r="AC195" i="52"/>
  <c r="AC123" i="52"/>
  <c r="AC159" i="52"/>
  <c r="AD178" i="52"/>
  <c r="AD181" i="52" s="1"/>
  <c r="AF194" i="52"/>
  <c r="AF158" i="52"/>
  <c r="AF122" i="52"/>
  <c r="C164" i="49"/>
  <c r="I143" i="49"/>
  <c r="I192" i="49" s="1"/>
  <c r="G267" i="47"/>
  <c r="H192" i="49"/>
  <c r="E222" i="47"/>
  <c r="E221" i="47"/>
  <c r="G224" i="47"/>
  <c r="K120" i="46"/>
  <c r="Z129" i="46"/>
  <c r="E118" i="46"/>
  <c r="Y129" i="46"/>
  <c r="Z143" i="47"/>
  <c r="G166" i="47" s="1"/>
  <c r="G256" i="47" s="1"/>
  <c r="G167" i="47"/>
  <c r="G257" i="47" s="1"/>
  <c r="G168" i="47"/>
  <c r="G164" i="47"/>
  <c r="G165" i="47"/>
  <c r="G255" i="47" s="1"/>
  <c r="T218" i="53"/>
  <c r="Z197" i="53"/>
  <c r="Z215" i="53"/>
  <c r="AC183" i="53"/>
  <c r="AC184" i="53"/>
  <c r="AC185" i="53"/>
  <c r="AC111" i="53"/>
  <c r="AC112" i="53"/>
  <c r="AC211" i="53"/>
  <c r="AC198" i="53"/>
  <c r="AC199" i="53" s="1"/>
  <c r="AC201" i="53" s="1"/>
  <c r="AC188" i="53"/>
  <c r="AC191" i="53"/>
  <c r="AC162" i="53"/>
  <c r="AC163" i="53" s="1"/>
  <c r="AC165" i="53" s="1"/>
  <c r="AC155" i="53"/>
  <c r="AC152" i="53"/>
  <c r="AC159" i="53" s="1"/>
  <c r="AC126" i="53"/>
  <c r="AC127" i="53" s="1"/>
  <c r="AC129" i="53" s="1"/>
  <c r="AC119" i="53"/>
  <c r="AC116" i="53"/>
  <c r="AC123" i="53" s="1"/>
  <c r="AD177" i="53"/>
  <c r="AD181" i="53" s="1"/>
  <c r="AD182" i="53"/>
  <c r="AD192" i="53"/>
  <c r="AD190" i="53"/>
  <c r="AD187" i="53"/>
  <c r="AD141" i="53"/>
  <c r="AD146" i="53"/>
  <c r="AD140" i="53"/>
  <c r="AD142" i="53" s="1"/>
  <c r="AD145" i="53" s="1"/>
  <c r="AD210" i="53"/>
  <c r="AD110" i="53"/>
  <c r="AD105" i="53"/>
  <c r="AD109" i="53" s="1"/>
  <c r="AD156" i="53"/>
  <c r="AD154" i="53"/>
  <c r="AD151" i="53"/>
  <c r="AD120" i="53"/>
  <c r="AD118" i="53"/>
  <c r="AD115" i="53"/>
  <c r="AE203" i="53"/>
  <c r="AE174" i="53"/>
  <c r="AE175" i="53" s="1"/>
  <c r="AE176" i="53" s="1"/>
  <c r="AE178" i="53" s="1"/>
  <c r="AE180" i="53"/>
  <c r="AE167" i="53"/>
  <c r="AE144" i="53"/>
  <c r="AE131" i="53"/>
  <c r="AE179" i="53"/>
  <c r="AE189" i="53"/>
  <c r="AE143" i="53"/>
  <c r="AE138" i="53"/>
  <c r="AE139" i="53" s="1"/>
  <c r="AE102" i="53"/>
  <c r="AE103" i="53" s="1"/>
  <c r="AE104" i="53" s="1"/>
  <c r="AE106" i="53" s="1"/>
  <c r="AE186" i="53"/>
  <c r="AE107" i="53"/>
  <c r="AE108" i="53"/>
  <c r="AE117" i="53"/>
  <c r="AE153" i="53"/>
  <c r="AE121" i="53"/>
  <c r="AE150" i="53"/>
  <c r="AE114" i="53"/>
  <c r="AE193" i="53"/>
  <c r="AE7" i="53"/>
  <c r="AF6" i="53"/>
  <c r="AE157" i="53"/>
  <c r="AA196" i="53"/>
  <c r="AA213" i="53"/>
  <c r="AB148" i="53"/>
  <c r="AB147" i="53"/>
  <c r="AB149" i="53" s="1"/>
  <c r="AC147" i="53"/>
  <c r="AC148" i="53"/>
  <c r="AC149" i="53"/>
  <c r="AB113" i="53"/>
  <c r="T220" i="53"/>
  <c r="W204" i="53"/>
  <c r="X200" i="53" s="1"/>
  <c r="W202" i="53"/>
  <c r="V216" i="53"/>
  <c r="V205" i="53"/>
  <c r="U206" i="53"/>
  <c r="U217" i="53"/>
  <c r="U207" i="53"/>
  <c r="U218" i="53"/>
  <c r="Y166" i="53"/>
  <c r="Y168" i="53"/>
  <c r="Z164" i="53" s="1"/>
  <c r="X169" i="53"/>
  <c r="W170" i="53"/>
  <c r="W171" i="53"/>
  <c r="AA169" i="52"/>
  <c r="AA171" i="52" s="1"/>
  <c r="X214" i="52"/>
  <c r="X161" i="52"/>
  <c r="Y161" i="52" s="1"/>
  <c r="X169" i="52"/>
  <c r="Y196" i="52"/>
  <c r="Y212" i="52"/>
  <c r="Y124" i="52"/>
  <c r="Z149" i="52"/>
  <c r="AA211" i="52"/>
  <c r="AA112" i="52"/>
  <c r="AA111" i="52"/>
  <c r="AA184" i="52"/>
  <c r="AA183" i="52"/>
  <c r="AD142" i="52"/>
  <c r="AD145" i="52" s="1"/>
  <c r="AC142" i="52"/>
  <c r="AD198" i="52"/>
  <c r="AD199" i="52" s="1"/>
  <c r="AD201" i="52" s="1"/>
  <c r="AD188" i="52"/>
  <c r="AD191" i="52"/>
  <c r="AD126" i="52"/>
  <c r="AD127" i="52" s="1"/>
  <c r="AD129" i="52" s="1"/>
  <c r="AD116" i="52"/>
  <c r="AD119" i="52"/>
  <c r="AD162" i="52"/>
  <c r="AD163" i="52" s="1"/>
  <c r="AD165" i="52" s="1"/>
  <c r="AD155" i="52"/>
  <c r="AD152" i="52"/>
  <c r="AD159" i="52" s="1"/>
  <c r="AE118" i="52"/>
  <c r="AE115" i="52"/>
  <c r="AE120" i="52"/>
  <c r="AE192" i="52"/>
  <c r="AE190" i="52"/>
  <c r="AE187" i="52"/>
  <c r="AE103" i="52"/>
  <c r="AE175" i="52"/>
  <c r="AE139" i="52"/>
  <c r="AE151" i="52"/>
  <c r="AE154" i="52"/>
  <c r="AE156" i="52"/>
  <c r="AF180" i="52"/>
  <c r="AF193" i="52"/>
  <c r="AF114" i="52"/>
  <c r="AF7" i="52"/>
  <c r="AF203" i="52"/>
  <c r="AF144" i="52"/>
  <c r="AF179" i="52"/>
  <c r="AF107" i="52"/>
  <c r="AF108" i="52"/>
  <c r="AF186" i="52"/>
  <c r="AF189" i="52"/>
  <c r="AF167" i="52"/>
  <c r="AF102" i="52"/>
  <c r="AF143" i="52"/>
  <c r="AF174" i="52"/>
  <c r="AF131" i="52"/>
  <c r="AF157" i="52"/>
  <c r="AF117" i="52"/>
  <c r="AF121" i="52"/>
  <c r="AF138" i="52"/>
  <c r="AF150" i="52"/>
  <c r="AF153" i="52"/>
  <c r="AG6" i="52"/>
  <c r="Y132" i="52"/>
  <c r="Z128" i="52" s="1"/>
  <c r="Y130" i="52"/>
  <c r="W135" i="52"/>
  <c r="T218" i="52"/>
  <c r="T219" i="52"/>
  <c r="T220" i="52" s="1"/>
  <c r="V205" i="52"/>
  <c r="V216" i="52"/>
  <c r="W204" i="52"/>
  <c r="X200" i="52" s="1"/>
  <c r="W202" i="52"/>
  <c r="U217" i="52"/>
  <c r="U207" i="52"/>
  <c r="AD106" i="52"/>
  <c r="AD109" i="52" s="1"/>
  <c r="AC106" i="52"/>
  <c r="AB111" i="52"/>
  <c r="AB113" i="52" s="1"/>
  <c r="AB112" i="52"/>
  <c r="AB213" i="52"/>
  <c r="AB147" i="52"/>
  <c r="AB148" i="52"/>
  <c r="W134" i="52"/>
  <c r="X134" i="52" s="1"/>
  <c r="U206" i="52"/>
  <c r="AC178" i="52"/>
  <c r="AC181" i="52" s="1"/>
  <c r="AB181" i="52"/>
  <c r="AB211" i="52" s="1"/>
  <c r="X135" i="52"/>
  <c r="Y135" i="53"/>
  <c r="Z133" i="53"/>
  <c r="AA130" i="53"/>
  <c r="AA132" i="53"/>
  <c r="AB128" i="53" s="1"/>
  <c r="AB166" i="52"/>
  <c r="AB168" i="52"/>
  <c r="AC164" i="52" s="1"/>
  <c r="AC66" i="51"/>
  <c r="X97" i="51"/>
  <c r="AE6" i="51"/>
  <c r="AD7" i="51"/>
  <c r="AD103" i="51"/>
  <c r="AD65" i="51"/>
  <c r="AD68" i="51"/>
  <c r="AD73" i="51"/>
  <c r="AD74" i="51"/>
  <c r="AD64" i="51"/>
  <c r="AD81" i="51"/>
  <c r="AD82" i="51" s="1"/>
  <c r="AD85" i="51"/>
  <c r="AD86" i="51"/>
  <c r="AD87" i="51"/>
  <c r="AD88" i="51"/>
  <c r="AD89" i="51"/>
  <c r="AD90" i="51"/>
  <c r="AD91" i="51"/>
  <c r="AD92" i="51"/>
  <c r="AD93" i="51"/>
  <c r="AD94" i="51"/>
  <c r="AC67" i="51"/>
  <c r="AC69" i="51"/>
  <c r="AC83" i="51"/>
  <c r="AC84" i="51"/>
  <c r="AB70" i="51"/>
  <c r="AB72" i="51" s="1"/>
  <c r="AB71" i="51"/>
  <c r="AB76" i="51"/>
  <c r="AB98" i="51"/>
  <c r="AB99" i="51" s="1"/>
  <c r="AB101" i="51" s="1"/>
  <c r="AB95" i="51"/>
  <c r="AA72" i="51"/>
  <c r="Z77" i="51"/>
  <c r="Z78" i="51"/>
  <c r="Z102" i="51"/>
  <c r="Z104" i="51"/>
  <c r="AA100" i="51" s="1"/>
  <c r="W106" i="51"/>
  <c r="X106" i="51" s="1"/>
  <c r="W107" i="51"/>
  <c r="W108" i="51"/>
  <c r="Y78" i="51"/>
  <c r="Y77" i="51"/>
  <c r="Y80" i="51" s="1"/>
  <c r="X107" i="51"/>
  <c r="X108" i="51"/>
  <c r="AC79" i="51"/>
  <c r="E194" i="43"/>
  <c r="AC195" i="53" l="1"/>
  <c r="AF194" i="53"/>
  <c r="AF158" i="53"/>
  <c r="AF122" i="53"/>
  <c r="AD195" i="52"/>
  <c r="AD123" i="52"/>
  <c r="AD184" i="52"/>
  <c r="AD183" i="52"/>
  <c r="AD185" i="52" s="1"/>
  <c r="AG194" i="52"/>
  <c r="AG158" i="52"/>
  <c r="AG122" i="52"/>
  <c r="G225" i="47"/>
  <c r="H225" i="47" s="1"/>
  <c r="I225" i="47" s="1"/>
  <c r="J225" i="47" s="1"/>
  <c r="K225" i="47" s="1"/>
  <c r="L225" i="47" s="1"/>
  <c r="M225" i="47" s="1"/>
  <c r="N225" i="47" s="1"/>
  <c r="O225" i="47" s="1"/>
  <c r="P225" i="47" s="1"/>
  <c r="Q225" i="47" s="1"/>
  <c r="R225" i="47" s="1"/>
  <c r="S225" i="47" s="1"/>
  <c r="T225" i="47" s="1"/>
  <c r="U225" i="47" s="1"/>
  <c r="V225" i="47" s="1"/>
  <c r="W225" i="47" s="1"/>
  <c r="X225" i="47" s="1"/>
  <c r="Y225" i="47" s="1"/>
  <c r="Z225" i="47" s="1"/>
  <c r="K166" i="47" s="1"/>
  <c r="K168" i="47"/>
  <c r="K164" i="47"/>
  <c r="K165" i="47"/>
  <c r="K167" i="47"/>
  <c r="K257" i="47" s="1"/>
  <c r="E224" i="47"/>
  <c r="E218" i="47"/>
  <c r="K121" i="46"/>
  <c r="L117" i="46" s="1"/>
  <c r="K131" i="46"/>
  <c r="E4" i="47"/>
  <c r="G254" i="47"/>
  <c r="X170" i="53"/>
  <c r="V206" i="53"/>
  <c r="AB160" i="53"/>
  <c r="AB161" i="53" s="1"/>
  <c r="AC160" i="53"/>
  <c r="AC113" i="53"/>
  <c r="AD183" i="53"/>
  <c r="AD184" i="53"/>
  <c r="AD185" i="53" s="1"/>
  <c r="AD198" i="53"/>
  <c r="AD199" i="53" s="1"/>
  <c r="AD201" i="53" s="1"/>
  <c r="AD188" i="53"/>
  <c r="AD191" i="53"/>
  <c r="AD147" i="53"/>
  <c r="AD148" i="53"/>
  <c r="AD112" i="53"/>
  <c r="AD111" i="53"/>
  <c r="AD113" i="53" s="1"/>
  <c r="AD211" i="53"/>
  <c r="AD162" i="53"/>
  <c r="AD163" i="53" s="1"/>
  <c r="AD165" i="53" s="1"/>
  <c r="AD155" i="53"/>
  <c r="AD152" i="53"/>
  <c r="AD159" i="53" s="1"/>
  <c r="AD126" i="53"/>
  <c r="AD127" i="53" s="1"/>
  <c r="AD129" i="53" s="1"/>
  <c r="AD119" i="53"/>
  <c r="AD116" i="53"/>
  <c r="AD123" i="53" s="1"/>
  <c r="AE177" i="53"/>
  <c r="AE181" i="53" s="1"/>
  <c r="AE182" i="53"/>
  <c r="AE141" i="53"/>
  <c r="AE146" i="53"/>
  <c r="AE140" i="53"/>
  <c r="AE142" i="53" s="1"/>
  <c r="AE145" i="53" s="1"/>
  <c r="AE210" i="53"/>
  <c r="AE105" i="53"/>
  <c r="AE109" i="53" s="1"/>
  <c r="AE110" i="53"/>
  <c r="AE187" i="53"/>
  <c r="AE190" i="53"/>
  <c r="AE192" i="53"/>
  <c r="AE156" i="53"/>
  <c r="AE154" i="53"/>
  <c r="AE151" i="53"/>
  <c r="AE120" i="53"/>
  <c r="AE118" i="53"/>
  <c r="AE115" i="53"/>
  <c r="AF203" i="53"/>
  <c r="AF174" i="53"/>
  <c r="AF175" i="53" s="1"/>
  <c r="AF176" i="53" s="1"/>
  <c r="AF178" i="53" s="1"/>
  <c r="AF180" i="53"/>
  <c r="AF167" i="53"/>
  <c r="AF144" i="53"/>
  <c r="AF131" i="53"/>
  <c r="AF179" i="53"/>
  <c r="AF186" i="53"/>
  <c r="AF102" i="53"/>
  <c r="AF103" i="53" s="1"/>
  <c r="AF104" i="53" s="1"/>
  <c r="AF106" i="53" s="1"/>
  <c r="AF138" i="53"/>
  <c r="AF139" i="53" s="1"/>
  <c r="AF143" i="53"/>
  <c r="AF189" i="53"/>
  <c r="AF107" i="53"/>
  <c r="AF114" i="53"/>
  <c r="AF193" i="53"/>
  <c r="AF7" i="53"/>
  <c r="AF150" i="53"/>
  <c r="AF153" i="53"/>
  <c r="AF117" i="53"/>
  <c r="AF121" i="53"/>
  <c r="AF108" i="53"/>
  <c r="AG6" i="53"/>
  <c r="AF157" i="53"/>
  <c r="AA197" i="53"/>
  <c r="AA214" i="53"/>
  <c r="AA215" i="53" s="1"/>
  <c r="AB124" i="53"/>
  <c r="AB125" i="53" s="1"/>
  <c r="AB212" i="53"/>
  <c r="AB196" i="53"/>
  <c r="AB214" i="53" s="1"/>
  <c r="AB213" i="53"/>
  <c r="X204" i="53"/>
  <c r="Y200" i="53" s="1"/>
  <c r="X202" i="53"/>
  <c r="W216" i="53"/>
  <c r="W205" i="53"/>
  <c r="V217" i="53"/>
  <c r="V218" i="53" s="1"/>
  <c r="V207" i="53"/>
  <c r="U219" i="53"/>
  <c r="U220" i="53" s="1"/>
  <c r="Y169" i="53"/>
  <c r="Z168" i="53"/>
  <c r="AA164" i="53" s="1"/>
  <c r="Z166" i="53"/>
  <c r="X171" i="53"/>
  <c r="V206" i="52"/>
  <c r="X215" i="52"/>
  <c r="X170" i="52"/>
  <c r="Y170" i="52" s="1"/>
  <c r="X171" i="52"/>
  <c r="Y197" i="52"/>
  <c r="Z197" i="52" s="1"/>
  <c r="Y133" i="52"/>
  <c r="Y125" i="52"/>
  <c r="Z125" i="52" s="1"/>
  <c r="Y214" i="52"/>
  <c r="Z212" i="52"/>
  <c r="Z160" i="52"/>
  <c r="AA113" i="52"/>
  <c r="AA185" i="52"/>
  <c r="AD148" i="52"/>
  <c r="AD147" i="52"/>
  <c r="AD149" i="52" s="1"/>
  <c r="AC145" i="52"/>
  <c r="AE126" i="52"/>
  <c r="AE127" i="52" s="1"/>
  <c r="AE129" i="52" s="1"/>
  <c r="AE116" i="52"/>
  <c r="AE119" i="52"/>
  <c r="AE198" i="52"/>
  <c r="AE199" i="52" s="1"/>
  <c r="AE201" i="52" s="1"/>
  <c r="AE191" i="52"/>
  <c r="AE188" i="52"/>
  <c r="AE195" i="52" s="1"/>
  <c r="AE210" i="52"/>
  <c r="AE110" i="52"/>
  <c r="AE105" i="52"/>
  <c r="AE104" i="52"/>
  <c r="AE182" i="52"/>
  <c r="AE177" i="52"/>
  <c r="AE176" i="52"/>
  <c r="AE140" i="52"/>
  <c r="AE141" i="52"/>
  <c r="AE146" i="52"/>
  <c r="AE162" i="52"/>
  <c r="AE163" i="52" s="1"/>
  <c r="AE165" i="52" s="1"/>
  <c r="AE155" i="52"/>
  <c r="AE152" i="52"/>
  <c r="AE159" i="52" s="1"/>
  <c r="AF115" i="52"/>
  <c r="AF120" i="52"/>
  <c r="AF118" i="52"/>
  <c r="AF192" i="52"/>
  <c r="AF190" i="52"/>
  <c r="AF187" i="52"/>
  <c r="AF151" i="52"/>
  <c r="AF154" i="52"/>
  <c r="AF156" i="52"/>
  <c r="AG174" i="52"/>
  <c r="AG175" i="52" s="1"/>
  <c r="AG186" i="52"/>
  <c r="AG114" i="52"/>
  <c r="AG203" i="52"/>
  <c r="AG102" i="52"/>
  <c r="AG103" i="52" s="1"/>
  <c r="AG104" i="52" s="1"/>
  <c r="AG108" i="52"/>
  <c r="AG179" i="52"/>
  <c r="AG180" i="52"/>
  <c r="AG167" i="52"/>
  <c r="AG7" i="52"/>
  <c r="AG143" i="52"/>
  <c r="AG193" i="52"/>
  <c r="AG144" i="52"/>
  <c r="AG107" i="52"/>
  <c r="AG189" i="52"/>
  <c r="AG131" i="52"/>
  <c r="AG157" i="52"/>
  <c r="AG117" i="52"/>
  <c r="AG121" i="52"/>
  <c r="AG138" i="52"/>
  <c r="AG139" i="52" s="1"/>
  <c r="AG150" i="52"/>
  <c r="AG153" i="52"/>
  <c r="AH6" i="52"/>
  <c r="Z132" i="52"/>
  <c r="AA128" i="52" s="1"/>
  <c r="Z130" i="52"/>
  <c r="V217" i="52"/>
  <c r="V207" i="52"/>
  <c r="X204" i="52"/>
  <c r="Y200" i="52" s="1"/>
  <c r="X202" i="52"/>
  <c r="W216" i="52"/>
  <c r="W205" i="52"/>
  <c r="U219" i="52"/>
  <c r="U220" i="52" s="1"/>
  <c r="AD211" i="52"/>
  <c r="AD112" i="52"/>
  <c r="AD111" i="52"/>
  <c r="AD113" i="52" s="1"/>
  <c r="AC109" i="52"/>
  <c r="AB124" i="52"/>
  <c r="AC184" i="52"/>
  <c r="AC183" i="52"/>
  <c r="AB184" i="52"/>
  <c r="AB183" i="52"/>
  <c r="AC213" i="52"/>
  <c r="U218" i="52"/>
  <c r="AF103" i="52"/>
  <c r="AF175" i="52"/>
  <c r="AF139" i="52"/>
  <c r="AB149" i="52"/>
  <c r="Z134" i="53"/>
  <c r="Z135" i="53"/>
  <c r="AA133" i="53"/>
  <c r="AB130" i="53"/>
  <c r="AB132" i="53"/>
  <c r="AC128" i="53" s="1"/>
  <c r="AC166" i="52"/>
  <c r="AC168" i="52"/>
  <c r="AD164" i="52" s="1"/>
  <c r="Z80" i="51"/>
  <c r="Z96" i="51" s="1"/>
  <c r="Z105" i="51" s="1"/>
  <c r="AF6" i="51"/>
  <c r="AE7" i="51"/>
  <c r="AE64" i="51"/>
  <c r="AE65" i="51"/>
  <c r="AE68" i="51"/>
  <c r="AE73" i="51"/>
  <c r="AE74" i="51"/>
  <c r="AE79" i="51" s="1"/>
  <c r="AE103" i="51"/>
  <c r="AE81" i="51"/>
  <c r="AE82" i="51" s="1"/>
  <c r="AE85" i="51"/>
  <c r="AE86" i="51"/>
  <c r="AE87" i="51"/>
  <c r="AE88" i="51"/>
  <c r="AE89" i="51"/>
  <c r="AE90" i="51"/>
  <c r="AE91" i="51"/>
  <c r="AE92" i="51"/>
  <c r="AE93" i="51"/>
  <c r="AE94" i="51"/>
  <c r="AD66" i="51"/>
  <c r="AD67" i="51"/>
  <c r="AD69" i="51"/>
  <c r="AD83" i="51"/>
  <c r="AD84" i="51"/>
  <c r="AC70" i="51"/>
  <c r="AC71" i="51"/>
  <c r="AC76" i="51"/>
  <c r="AC98" i="51"/>
  <c r="AC99" i="51" s="1"/>
  <c r="AC101" i="51" s="1"/>
  <c r="AC95" i="51"/>
  <c r="AB75" i="51"/>
  <c r="AA75" i="51"/>
  <c r="AA102" i="51"/>
  <c r="AA104" i="51"/>
  <c r="AB100" i="51" s="1"/>
  <c r="Y96" i="51"/>
  <c r="AD79" i="51"/>
  <c r="AD195" i="53" l="1"/>
  <c r="AC124" i="53"/>
  <c r="AC212" i="53"/>
  <c r="AG194" i="53"/>
  <c r="AG158" i="53"/>
  <c r="AG122" i="53"/>
  <c r="AE123" i="52"/>
  <c r="AH194" i="52"/>
  <c r="AH158" i="52"/>
  <c r="AH122" i="52"/>
  <c r="K256" i="47"/>
  <c r="H146" i="49"/>
  <c r="C233" i="47"/>
  <c r="H144" i="49"/>
  <c r="K254" i="47"/>
  <c r="H145" i="49"/>
  <c r="K255" i="47"/>
  <c r="L120" i="46"/>
  <c r="L119" i="46"/>
  <c r="K170" i="47"/>
  <c r="B2" i="47"/>
  <c r="G89" i="47"/>
  <c r="H89" i="47"/>
  <c r="H94" i="47" s="1"/>
  <c r="I89" i="47"/>
  <c r="I94" i="47" s="1"/>
  <c r="J89" i="47"/>
  <c r="J94" i="47" s="1"/>
  <c r="K89" i="47"/>
  <c r="K94" i="47" s="1"/>
  <c r="L89" i="47"/>
  <c r="L94" i="47" s="1"/>
  <c r="M89" i="47"/>
  <c r="M94" i="47" s="1"/>
  <c r="N89" i="47"/>
  <c r="N94" i="47" s="1"/>
  <c r="O89" i="47"/>
  <c r="O94" i="47" s="1"/>
  <c r="P89" i="47"/>
  <c r="P94" i="47" s="1"/>
  <c r="Q89" i="47"/>
  <c r="Q94" i="47" s="1"/>
  <c r="R89" i="47"/>
  <c r="R94" i="47" s="1"/>
  <c r="S89" i="47"/>
  <c r="S94" i="47" s="1"/>
  <c r="T89" i="47"/>
  <c r="T94" i="47" s="1"/>
  <c r="U89" i="47"/>
  <c r="U94" i="47" s="1"/>
  <c r="V89" i="47"/>
  <c r="V94" i="47" s="1"/>
  <c r="W89" i="47"/>
  <c r="W94" i="47" s="1"/>
  <c r="X89" i="47"/>
  <c r="X94" i="47" s="1"/>
  <c r="Y89" i="47"/>
  <c r="Y94" i="47" s="1"/>
  <c r="Z89" i="47"/>
  <c r="Z94" i="47" s="1"/>
  <c r="AA89" i="47"/>
  <c r="J170" i="47"/>
  <c r="G170" i="47"/>
  <c r="H170" i="47"/>
  <c r="I170" i="47"/>
  <c r="AE26" i="54"/>
  <c r="AC185" i="52"/>
  <c r="AC196" i="52" s="1"/>
  <c r="AC161" i="53"/>
  <c r="AD149" i="53"/>
  <c r="AD160" i="53" s="1"/>
  <c r="AD161" i="53" s="1"/>
  <c r="AB197" i="53"/>
  <c r="AD212" i="53"/>
  <c r="AD124" i="53"/>
  <c r="AE183" i="53"/>
  <c r="AE184" i="53"/>
  <c r="AE185" i="53"/>
  <c r="AE147" i="53"/>
  <c r="AE148" i="53"/>
  <c r="AE149" i="53"/>
  <c r="AE112" i="53"/>
  <c r="AE111" i="53"/>
  <c r="AE113" i="53" s="1"/>
  <c r="AE211" i="53"/>
  <c r="AE198" i="53"/>
  <c r="AE199" i="53" s="1"/>
  <c r="AE201" i="53" s="1"/>
  <c r="AE188" i="53"/>
  <c r="AE195" i="53" s="1"/>
  <c r="AE191" i="53"/>
  <c r="AE162" i="53"/>
  <c r="AE163" i="53" s="1"/>
  <c r="AE165" i="53" s="1"/>
  <c r="AE155" i="53"/>
  <c r="AE152" i="53"/>
  <c r="AE159" i="53" s="1"/>
  <c r="AE126" i="53"/>
  <c r="AE127" i="53" s="1"/>
  <c r="AE129" i="53" s="1"/>
  <c r="AE119" i="53"/>
  <c r="AE116" i="53"/>
  <c r="AE123" i="53" s="1"/>
  <c r="AF177" i="53"/>
  <c r="AF181" i="53" s="1"/>
  <c r="AF182" i="53"/>
  <c r="AF190" i="53"/>
  <c r="AF192" i="53"/>
  <c r="AF187" i="53"/>
  <c r="AF210" i="53"/>
  <c r="AF110" i="53"/>
  <c r="AF105" i="53"/>
  <c r="AF109" i="53" s="1"/>
  <c r="AF141" i="53"/>
  <c r="AF146" i="53"/>
  <c r="AF140" i="53"/>
  <c r="AF142" i="53" s="1"/>
  <c r="AF145" i="53" s="1"/>
  <c r="AF120" i="53"/>
  <c r="AF118" i="53"/>
  <c r="AF115" i="53"/>
  <c r="AF156" i="53"/>
  <c r="AF154" i="53"/>
  <c r="AF151" i="53"/>
  <c r="AG203" i="53"/>
  <c r="AG174" i="53"/>
  <c r="AG175" i="53" s="1"/>
  <c r="AG176" i="53" s="1"/>
  <c r="AG178" i="53" s="1"/>
  <c r="AG180" i="53"/>
  <c r="AG167" i="53"/>
  <c r="AG144" i="53"/>
  <c r="AG131" i="53"/>
  <c r="AG179" i="53"/>
  <c r="AG189" i="53"/>
  <c r="AG138" i="53"/>
  <c r="AG139" i="53" s="1"/>
  <c r="AG102" i="53"/>
  <c r="AG103" i="53" s="1"/>
  <c r="AG104" i="53" s="1"/>
  <c r="AG106" i="53" s="1"/>
  <c r="AG186" i="53"/>
  <c r="AG143" i="53"/>
  <c r="AG114" i="53"/>
  <c r="AG117" i="53"/>
  <c r="AG121" i="53"/>
  <c r="AG153" i="53"/>
  <c r="AG108" i="53"/>
  <c r="AG150" i="53"/>
  <c r="AG7" i="53"/>
  <c r="AG193" i="53"/>
  <c r="AG107" i="53"/>
  <c r="AG157" i="53"/>
  <c r="AH6" i="53"/>
  <c r="AC196" i="53"/>
  <c r="AC213" i="53"/>
  <c r="AB215" i="53"/>
  <c r="AC125" i="53"/>
  <c r="AD125" i="53" s="1"/>
  <c r="Y204" i="53"/>
  <c r="Z200" i="53" s="1"/>
  <c r="Y202" i="53"/>
  <c r="X216" i="53"/>
  <c r="X205" i="53"/>
  <c r="W217" i="53"/>
  <c r="W206" i="53"/>
  <c r="W207" i="53"/>
  <c r="Y170" i="53"/>
  <c r="Y171" i="53"/>
  <c r="AA168" i="53"/>
  <c r="AB164" i="53" s="1"/>
  <c r="AA166" i="53"/>
  <c r="Z169" i="53"/>
  <c r="V219" i="53"/>
  <c r="V220" i="53" s="1"/>
  <c r="AB160" i="52"/>
  <c r="AB169" i="52" s="1"/>
  <c r="AB171" i="52" s="1"/>
  <c r="Y215" i="52"/>
  <c r="Y134" i="52"/>
  <c r="Y135" i="52"/>
  <c r="Z161" i="52"/>
  <c r="AA161" i="52" s="1"/>
  <c r="Z169" i="52"/>
  <c r="Z214" i="52"/>
  <c r="AA212" i="52"/>
  <c r="AA124" i="52"/>
  <c r="AA196" i="52"/>
  <c r="AC148" i="52"/>
  <c r="AC147" i="52"/>
  <c r="AE106" i="52"/>
  <c r="AE178" i="52"/>
  <c r="AE142" i="52"/>
  <c r="AF126" i="52"/>
  <c r="AF127" i="52" s="1"/>
  <c r="AF129" i="52" s="1"/>
  <c r="AF116" i="52"/>
  <c r="AF119" i="52"/>
  <c r="AF198" i="52"/>
  <c r="AF199" i="52" s="1"/>
  <c r="AF201" i="52" s="1"/>
  <c r="AF191" i="52"/>
  <c r="AF188" i="52"/>
  <c r="AF195" i="52" s="1"/>
  <c r="AF162" i="52"/>
  <c r="AF163" i="52" s="1"/>
  <c r="AF165" i="52" s="1"/>
  <c r="AF152" i="52"/>
  <c r="AF155" i="52"/>
  <c r="AG182" i="52"/>
  <c r="AG177" i="52"/>
  <c r="AG176" i="52"/>
  <c r="AG192" i="52"/>
  <c r="AG190" i="52"/>
  <c r="AG187" i="52"/>
  <c r="AG120" i="52"/>
  <c r="AG115" i="52"/>
  <c r="AG118" i="52"/>
  <c r="AG210" i="52"/>
  <c r="AG110" i="52"/>
  <c r="AG105" i="52"/>
  <c r="AG146" i="52"/>
  <c r="AG141" i="52"/>
  <c r="AG156" i="52"/>
  <c r="AG154" i="52"/>
  <c r="AG151" i="52"/>
  <c r="AH203" i="52"/>
  <c r="AH143" i="52"/>
  <c r="AH107" i="52"/>
  <c r="AH193" i="52"/>
  <c r="AH102" i="52"/>
  <c r="AH7" i="52"/>
  <c r="AH180" i="52"/>
  <c r="AH167" i="52"/>
  <c r="AH114" i="52"/>
  <c r="AH189" i="52"/>
  <c r="AH144" i="52"/>
  <c r="AH179" i="52"/>
  <c r="AH186" i="52"/>
  <c r="AH108" i="52"/>
  <c r="AH174" i="52"/>
  <c r="AH131" i="52"/>
  <c r="AH157" i="52"/>
  <c r="AH117" i="52"/>
  <c r="AH121" i="52"/>
  <c r="AH138" i="52"/>
  <c r="AH150" i="52"/>
  <c r="AH153" i="52"/>
  <c r="AI6" i="52"/>
  <c r="AA132" i="52"/>
  <c r="AB128" i="52" s="1"/>
  <c r="AA130" i="52"/>
  <c r="Z133" i="52"/>
  <c r="V219" i="52"/>
  <c r="V220" i="52" s="1"/>
  <c r="Y204" i="52"/>
  <c r="Z200" i="52" s="1"/>
  <c r="Y202" i="52"/>
  <c r="X216" i="52"/>
  <c r="X205" i="52"/>
  <c r="W217" i="52"/>
  <c r="W207" i="52"/>
  <c r="W206" i="52"/>
  <c r="X206" i="52" s="1"/>
  <c r="AD212" i="52"/>
  <c r="AD124" i="52"/>
  <c r="AC211" i="52"/>
  <c r="AC112" i="52"/>
  <c r="AC111" i="52"/>
  <c r="AD196" i="52"/>
  <c r="AD213" i="52"/>
  <c r="AF105" i="52"/>
  <c r="AF110" i="52"/>
  <c r="AF210" i="52"/>
  <c r="AF104" i="52"/>
  <c r="AF177" i="52"/>
  <c r="AF182" i="52"/>
  <c r="AF176" i="52"/>
  <c r="AF146" i="52"/>
  <c r="AF141" i="52"/>
  <c r="AF140" i="52"/>
  <c r="AD160" i="52"/>
  <c r="V218" i="52"/>
  <c r="AG140" i="52"/>
  <c r="AB185" i="52"/>
  <c r="AA135" i="53"/>
  <c r="AB133" i="53"/>
  <c r="AC132" i="53"/>
  <c r="AD128" i="53" s="1"/>
  <c r="AC130" i="53"/>
  <c r="AD166" i="52"/>
  <c r="AD168" i="52"/>
  <c r="AE164" i="52" s="1"/>
  <c r="AA134" i="53"/>
  <c r="AE66" i="51"/>
  <c r="AG6" i="51"/>
  <c r="AF7" i="51"/>
  <c r="AF103" i="51"/>
  <c r="AF65" i="51"/>
  <c r="AF68" i="51"/>
  <c r="AF73" i="51"/>
  <c r="AF74" i="51"/>
  <c r="AF64" i="51"/>
  <c r="AF81" i="51"/>
  <c r="AF82" i="51" s="1"/>
  <c r="AF85" i="51"/>
  <c r="AF86" i="51"/>
  <c r="AF87" i="51"/>
  <c r="AF88" i="51"/>
  <c r="AF89" i="51"/>
  <c r="AF90" i="51"/>
  <c r="AF91" i="51"/>
  <c r="AF92" i="51"/>
  <c r="AF93" i="51"/>
  <c r="AF94" i="51"/>
  <c r="AE67" i="51"/>
  <c r="AE69" i="51"/>
  <c r="AE83" i="51"/>
  <c r="AE84" i="51"/>
  <c r="AD70" i="51"/>
  <c r="AD71" i="51"/>
  <c r="AD76" i="51"/>
  <c r="AD98" i="51"/>
  <c r="AD99" i="51" s="1"/>
  <c r="AD101" i="51" s="1"/>
  <c r="AD95" i="51"/>
  <c r="AD72" i="51"/>
  <c r="AC72" i="51"/>
  <c r="AB77" i="51"/>
  <c r="AB78" i="51"/>
  <c r="AA78" i="51"/>
  <c r="AA77" i="51"/>
  <c r="AB102" i="51"/>
  <c r="AB104" i="51"/>
  <c r="AC100" i="51" s="1"/>
  <c r="Y97" i="51"/>
  <c r="Z97" i="51" s="1"/>
  <c r="Y105" i="51"/>
  <c r="Z107" i="51"/>
  <c r="Z108" i="51"/>
  <c r="L131" i="46" l="1"/>
  <c r="L121" i="46"/>
  <c r="M117" i="46" s="1"/>
  <c r="AH194" i="53"/>
  <c r="AH158" i="53"/>
  <c r="AH122" i="53"/>
  <c r="AF123" i="52"/>
  <c r="AF159" i="52"/>
  <c r="AI194" i="52"/>
  <c r="AI158" i="52"/>
  <c r="AI122" i="52"/>
  <c r="I146" i="49"/>
  <c r="I195" i="49" s="1"/>
  <c r="H195" i="49"/>
  <c r="G270" i="47"/>
  <c r="I144" i="49"/>
  <c r="I193" i="49" s="1"/>
  <c r="H193" i="49"/>
  <c r="G268" i="47"/>
  <c r="G269" i="47"/>
  <c r="H194" i="49"/>
  <c r="I145" i="49"/>
  <c r="I194" i="49" s="1"/>
  <c r="M120" i="46"/>
  <c r="M119" i="46"/>
  <c r="L103" i="46"/>
  <c r="L130" i="46"/>
  <c r="E98" i="47"/>
  <c r="E113" i="47"/>
  <c r="P26" i="54" a="1"/>
  <c r="M26" i="54" a="1"/>
  <c r="J26" i="54" a="1"/>
  <c r="E99" i="47"/>
  <c r="E109" i="47"/>
  <c r="E106" i="47"/>
  <c r="G94" i="47"/>
  <c r="G92" i="47"/>
  <c r="H92" i="47" s="1"/>
  <c r="I92" i="47" s="1"/>
  <c r="E112" i="47"/>
  <c r="E116" i="47"/>
  <c r="Q26" i="54" a="1"/>
  <c r="N26" i="54" a="1"/>
  <c r="L26" i="54" a="1"/>
  <c r="O26" i="54" a="1"/>
  <c r="K26" i="54" a="1"/>
  <c r="AC26" i="54" a="1"/>
  <c r="AB26" i="54" a="1"/>
  <c r="AA26" i="54" a="1"/>
  <c r="Z26" i="54" a="1"/>
  <c r="Y26" i="54" a="1"/>
  <c r="X26" i="54" a="1"/>
  <c r="W26" i="54" a="1"/>
  <c r="V26" i="54" a="1"/>
  <c r="U26" i="54" a="1"/>
  <c r="T26" i="54" a="1"/>
  <c r="S26" i="54" a="1"/>
  <c r="R26" i="54" a="1"/>
  <c r="AA94" i="47"/>
  <c r="E103" i="47" s="1"/>
  <c r="AD26" i="54"/>
  <c r="Z134" i="52"/>
  <c r="AB161" i="52"/>
  <c r="AE160" i="53"/>
  <c r="AE161" i="53" s="1"/>
  <c r="AE212" i="53"/>
  <c r="AE124" i="53"/>
  <c r="AE125" i="53" s="1"/>
  <c r="AF183" i="53"/>
  <c r="AF184" i="53"/>
  <c r="AF185" i="53"/>
  <c r="AF198" i="53"/>
  <c r="AF199" i="53" s="1"/>
  <c r="AF201" i="53" s="1"/>
  <c r="AF188" i="53"/>
  <c r="AF191" i="53"/>
  <c r="AF112" i="53"/>
  <c r="AF111" i="53"/>
  <c r="AF113" i="53" s="1"/>
  <c r="AF211" i="53"/>
  <c r="AF147" i="53"/>
  <c r="AF148" i="53"/>
  <c r="AF149" i="53"/>
  <c r="AF126" i="53"/>
  <c r="AF127" i="53" s="1"/>
  <c r="AF129" i="53" s="1"/>
  <c r="AF119" i="53"/>
  <c r="AF116" i="53"/>
  <c r="AF123" i="53" s="1"/>
  <c r="AF162" i="53"/>
  <c r="AF163" i="53" s="1"/>
  <c r="AF165" i="53" s="1"/>
  <c r="AF155" i="53"/>
  <c r="AF152" i="53"/>
  <c r="AF159" i="53" s="1"/>
  <c r="AG177" i="53"/>
  <c r="AG181" i="53" s="1"/>
  <c r="AG182" i="53"/>
  <c r="AG141" i="53"/>
  <c r="AG146" i="53"/>
  <c r="AG140" i="53"/>
  <c r="AG142" i="53" s="1"/>
  <c r="AG145" i="53" s="1"/>
  <c r="AG210" i="53"/>
  <c r="AG105" i="53"/>
  <c r="AG109" i="53" s="1"/>
  <c r="AG110" i="53"/>
  <c r="AG187" i="53"/>
  <c r="AG190" i="53"/>
  <c r="AG192" i="53"/>
  <c r="AG120" i="53"/>
  <c r="AG118" i="53"/>
  <c r="AG115" i="53"/>
  <c r="AG156" i="53"/>
  <c r="AG154" i="53"/>
  <c r="AG151" i="53"/>
  <c r="AH203" i="53"/>
  <c r="AH180" i="53"/>
  <c r="AH167" i="53"/>
  <c r="AH174" i="53"/>
  <c r="AH175" i="53" s="1"/>
  <c r="AH176" i="53" s="1"/>
  <c r="AH178" i="53" s="1"/>
  <c r="AH144" i="53"/>
  <c r="AH131" i="53"/>
  <c r="AH179" i="53"/>
  <c r="AH143" i="53"/>
  <c r="AH189" i="53"/>
  <c r="AH186" i="53"/>
  <c r="AH138" i="53"/>
  <c r="AH139" i="53" s="1"/>
  <c r="AH102" i="53"/>
  <c r="AH103" i="53" s="1"/>
  <c r="AH104" i="53" s="1"/>
  <c r="AH106" i="53" s="1"/>
  <c r="AH153" i="53"/>
  <c r="AH107" i="53"/>
  <c r="AH7" i="53"/>
  <c r="AH193" i="53"/>
  <c r="AH108" i="53"/>
  <c r="AH121" i="53"/>
  <c r="AH117" i="53"/>
  <c r="AH114" i="53"/>
  <c r="AH150" i="53"/>
  <c r="AI6" i="53"/>
  <c r="AH157" i="53"/>
  <c r="AC197" i="53"/>
  <c r="AC214" i="53"/>
  <c r="AC215" i="53" s="1"/>
  <c r="AD196" i="53"/>
  <c r="AD214" i="53" s="1"/>
  <c r="AD213" i="53"/>
  <c r="X206" i="53"/>
  <c r="Z204" i="53"/>
  <c r="AA200" i="53" s="1"/>
  <c r="Z202" i="53"/>
  <c r="Y216" i="53"/>
  <c r="Y205" i="53"/>
  <c r="X217" i="53"/>
  <c r="X207" i="53"/>
  <c r="W218" i="53"/>
  <c r="X218" i="53" s="1"/>
  <c r="W219" i="53"/>
  <c r="W220" i="53" s="1"/>
  <c r="AB168" i="53"/>
  <c r="AC164" i="53" s="1"/>
  <c r="AB166" i="53"/>
  <c r="AA169" i="53"/>
  <c r="Z171" i="53"/>
  <c r="Z170" i="53"/>
  <c r="AA170" i="53" s="1"/>
  <c r="AB196" i="52"/>
  <c r="AB214" i="52" s="1"/>
  <c r="AB212" i="52"/>
  <c r="W218" i="52"/>
  <c r="Z170" i="52"/>
  <c r="AA170" i="52" s="1"/>
  <c r="AB170" i="52" s="1"/>
  <c r="Z171" i="52"/>
  <c r="Z215" i="52"/>
  <c r="AA133" i="52"/>
  <c r="AA125" i="52"/>
  <c r="AB125" i="52" s="1"/>
  <c r="AA214" i="52"/>
  <c r="AA197" i="52"/>
  <c r="AC149" i="52"/>
  <c r="AE109" i="52"/>
  <c r="AE181" i="52"/>
  <c r="AE145" i="52"/>
  <c r="AG198" i="52"/>
  <c r="AG199" i="52" s="1"/>
  <c r="AG201" i="52" s="1"/>
  <c r="AG191" i="52"/>
  <c r="AG188" i="52"/>
  <c r="AG195" i="52" s="1"/>
  <c r="AG126" i="52"/>
  <c r="AG127" i="52" s="1"/>
  <c r="AG129" i="52" s="1"/>
  <c r="AG119" i="52"/>
  <c r="AG116" i="52"/>
  <c r="AG123" i="52" s="1"/>
  <c r="AG162" i="52"/>
  <c r="AG163" i="52" s="1"/>
  <c r="AG165" i="52" s="1"/>
  <c r="AG155" i="52"/>
  <c r="AG152" i="52"/>
  <c r="AG159" i="52" s="1"/>
  <c r="AH103" i="52"/>
  <c r="AH120" i="52"/>
  <c r="AH115" i="52"/>
  <c r="AH118" i="52"/>
  <c r="AH192" i="52"/>
  <c r="AH190" i="52"/>
  <c r="AH187" i="52"/>
  <c r="AH175" i="52"/>
  <c r="AH139" i="52"/>
  <c r="AH151" i="52"/>
  <c r="AH156" i="52"/>
  <c r="AH154" i="52"/>
  <c r="AI179" i="52"/>
  <c r="AI186" i="52"/>
  <c r="AI143" i="52"/>
  <c r="AI107" i="52"/>
  <c r="AI102" i="52"/>
  <c r="AI7" i="52"/>
  <c r="AI180" i="52"/>
  <c r="AI144" i="52"/>
  <c r="AI193" i="52"/>
  <c r="AI167" i="52"/>
  <c r="AI108" i="52"/>
  <c r="AI174" i="52"/>
  <c r="AI114" i="52"/>
  <c r="AI189" i="52"/>
  <c r="AI203" i="52"/>
  <c r="AI157" i="52"/>
  <c r="AI117" i="52"/>
  <c r="AI121" i="52"/>
  <c r="AI131" i="52"/>
  <c r="AI138" i="52"/>
  <c r="AI150" i="52"/>
  <c r="AI153" i="52"/>
  <c r="AJ6" i="52"/>
  <c r="AB130" i="52"/>
  <c r="AB132" i="52"/>
  <c r="AC128" i="52" s="1"/>
  <c r="Z135" i="52"/>
  <c r="Z204" i="52"/>
  <c r="AA200" i="52" s="1"/>
  <c r="Z202" i="52"/>
  <c r="Y205" i="52"/>
  <c r="Y216" i="52"/>
  <c r="X217" i="52"/>
  <c r="X207" i="52"/>
  <c r="X219" i="52" s="1"/>
  <c r="W219" i="52"/>
  <c r="W220" i="52" s="1"/>
  <c r="AC113" i="52"/>
  <c r="AD214" i="52"/>
  <c r="AG142" i="52"/>
  <c r="AE213" i="52"/>
  <c r="AG106" i="52"/>
  <c r="AG109" i="52" s="1"/>
  <c r="AF106" i="52"/>
  <c r="AG178" i="52"/>
  <c r="AG181" i="52" s="1"/>
  <c r="AF178" i="52"/>
  <c r="AF142" i="52"/>
  <c r="AF145" i="52" s="1"/>
  <c r="AB135" i="53"/>
  <c r="AD130" i="53"/>
  <c r="AD132" i="53"/>
  <c r="AE128" i="53" s="1"/>
  <c r="AC133" i="53"/>
  <c r="AE166" i="52"/>
  <c r="AE168" i="52"/>
  <c r="AF164" i="52" s="1"/>
  <c r="AB134" i="53"/>
  <c r="AD169" i="52"/>
  <c r="AB80" i="51"/>
  <c r="AB96" i="51" s="1"/>
  <c r="AB105" i="51" s="1"/>
  <c r="AA80" i="51"/>
  <c r="AA96" i="51" s="1"/>
  <c r="AH6" i="51"/>
  <c r="AG64" i="51"/>
  <c r="AG65" i="51"/>
  <c r="AG68" i="51"/>
  <c r="AG73" i="51"/>
  <c r="AG74" i="51"/>
  <c r="AG7" i="51"/>
  <c r="AG81" i="51"/>
  <c r="AG82" i="51" s="1"/>
  <c r="AG85" i="51"/>
  <c r="AG86" i="51"/>
  <c r="AG87" i="51"/>
  <c r="AG88" i="51"/>
  <c r="AG89" i="51"/>
  <c r="AG90" i="51"/>
  <c r="AG91" i="51"/>
  <c r="AG92" i="51"/>
  <c r="AG93" i="51"/>
  <c r="AG94" i="51"/>
  <c r="AG103" i="51"/>
  <c r="AF66" i="51"/>
  <c r="AF67" i="51"/>
  <c r="AF69" i="51"/>
  <c r="AF79" i="51"/>
  <c r="AF83" i="51"/>
  <c r="AF84" i="51"/>
  <c r="AE70" i="51"/>
  <c r="AE71" i="51"/>
  <c r="AE76" i="51"/>
  <c r="AE98" i="51"/>
  <c r="AE99" i="51" s="1"/>
  <c r="AE101" i="51" s="1"/>
  <c r="AE95" i="51"/>
  <c r="AD75" i="51"/>
  <c r="AC75" i="51"/>
  <c r="AC102" i="51"/>
  <c r="AC104" i="51"/>
  <c r="AD100" i="51" s="1"/>
  <c r="Y106" i="51"/>
  <c r="Z106" i="51" s="1"/>
  <c r="Y108" i="51"/>
  <c r="Y107" i="51"/>
  <c r="AF195" i="53" l="1"/>
  <c r="AI194" i="53"/>
  <c r="AI158" i="53"/>
  <c r="AI122" i="53"/>
  <c r="AJ194" i="52"/>
  <c r="AJ158" i="52"/>
  <c r="AJ122" i="52"/>
  <c r="M131" i="46"/>
  <c r="M121" i="46"/>
  <c r="N117" i="46" s="1"/>
  <c r="N119" i="46" s="1"/>
  <c r="N120" i="46"/>
  <c r="M103" i="46"/>
  <c r="M130" i="46"/>
  <c r="P40" i="54"/>
  <c r="M40" i="54"/>
  <c r="J81" i="54"/>
  <c r="C26" i="54"/>
  <c r="C81" i="54" s="1"/>
  <c r="M81" i="54"/>
  <c r="N81" i="54"/>
  <c r="J56" i="54"/>
  <c r="K56" i="54" s="1"/>
  <c r="L56" i="54" s="1"/>
  <c r="M56" i="54" s="1"/>
  <c r="N56" i="54" s="1"/>
  <c r="O56" i="54" s="1"/>
  <c r="P56" i="54" s="1"/>
  <c r="Q56" i="54" s="1"/>
  <c r="R56" i="54" s="1"/>
  <c r="S56" i="54" s="1"/>
  <c r="T56" i="54" s="1"/>
  <c r="U56" i="54" s="1"/>
  <c r="V56" i="54" s="1"/>
  <c r="W56" i="54" s="1"/>
  <c r="X56" i="54" s="1"/>
  <c r="Y56" i="54" s="1"/>
  <c r="Z56" i="54" s="1"/>
  <c r="AA56" i="54" s="1"/>
  <c r="AB56" i="54" s="1"/>
  <c r="AC56" i="54" s="1"/>
  <c r="H81" i="54" s="1"/>
  <c r="I26" i="54" a="1"/>
  <c r="F81" i="54" s="1"/>
  <c r="J40" i="54"/>
  <c r="L81" i="54"/>
  <c r="G81" i="54"/>
  <c r="K81" i="54" s="1"/>
  <c r="D26" i="54" s="1"/>
  <c r="E101" i="47"/>
  <c r="G95" i="47"/>
  <c r="H95" i="47" s="1"/>
  <c r="I95" i="47" s="1"/>
  <c r="J95" i="47" s="1"/>
  <c r="K95" i="47" s="1"/>
  <c r="L95" i="47" s="1"/>
  <c r="M95" i="47" s="1"/>
  <c r="N95" i="47" s="1"/>
  <c r="O95" i="47" s="1"/>
  <c r="P95" i="47" s="1"/>
  <c r="Q95" i="47" s="1"/>
  <c r="R95" i="47" s="1"/>
  <c r="S95" i="47" s="1"/>
  <c r="T95" i="47" s="1"/>
  <c r="U95" i="47" s="1"/>
  <c r="V95" i="47" s="1"/>
  <c r="W95" i="47" s="1"/>
  <c r="X95" i="47" s="1"/>
  <c r="Y95" i="47" s="1"/>
  <c r="Z95" i="47" s="1"/>
  <c r="E102" i="47"/>
  <c r="E104" i="47"/>
  <c r="E115" i="47"/>
  <c r="E114" i="47"/>
  <c r="Q40" i="54"/>
  <c r="N40" i="54"/>
  <c r="L40" i="54"/>
  <c r="O40" i="54"/>
  <c r="K40" i="54"/>
  <c r="AC40" i="54"/>
  <c r="AB40" i="54"/>
  <c r="AA40" i="54"/>
  <c r="Z40" i="54"/>
  <c r="Y40" i="54"/>
  <c r="X40" i="54"/>
  <c r="W40" i="54"/>
  <c r="V40" i="54"/>
  <c r="U40" i="54"/>
  <c r="T40" i="54"/>
  <c r="S40" i="54"/>
  <c r="R40" i="54"/>
  <c r="AD31" i="54"/>
  <c r="O84" i="54" s="1"/>
  <c r="O81" i="54"/>
  <c r="AD40" i="54"/>
  <c r="O90" i="54" s="1"/>
  <c r="AB197" i="52"/>
  <c r="AC197" i="52" s="1"/>
  <c r="AD197" i="52" s="1"/>
  <c r="X220" i="52"/>
  <c r="AD197" i="53"/>
  <c r="AF212" i="53"/>
  <c r="AF124" i="53"/>
  <c r="AF125" i="53" s="1"/>
  <c r="AG183" i="53"/>
  <c r="AG184" i="53"/>
  <c r="AG185" i="53"/>
  <c r="AG147" i="53"/>
  <c r="AG148" i="53"/>
  <c r="AG149" i="53"/>
  <c r="AG111" i="53"/>
  <c r="AG112" i="53"/>
  <c r="AG211" i="53"/>
  <c r="AG198" i="53"/>
  <c r="AG199" i="53" s="1"/>
  <c r="AG201" i="53" s="1"/>
  <c r="AG188" i="53"/>
  <c r="AG195" i="53" s="1"/>
  <c r="AG191" i="53"/>
  <c r="AG126" i="53"/>
  <c r="AG127" i="53" s="1"/>
  <c r="AG129" i="53" s="1"/>
  <c r="AG119" i="53"/>
  <c r="AG116" i="53"/>
  <c r="AG123" i="53" s="1"/>
  <c r="AG162" i="53"/>
  <c r="AG163" i="53" s="1"/>
  <c r="AG165" i="53" s="1"/>
  <c r="AG155" i="53"/>
  <c r="AG152" i="53"/>
  <c r="AG159" i="53" s="1"/>
  <c r="AH182" i="53"/>
  <c r="AH177" i="53"/>
  <c r="AH181" i="53" s="1"/>
  <c r="AH190" i="53"/>
  <c r="AH192" i="53"/>
  <c r="AH187" i="53"/>
  <c r="AH141" i="53"/>
  <c r="AH146" i="53"/>
  <c r="AH140" i="53"/>
  <c r="AH142" i="53" s="1"/>
  <c r="AH145" i="53" s="1"/>
  <c r="AH210" i="53"/>
  <c r="AH110" i="53"/>
  <c r="AH105" i="53"/>
  <c r="AH109" i="53" s="1"/>
  <c r="AH120" i="53"/>
  <c r="AH118" i="53"/>
  <c r="AH115" i="53"/>
  <c r="AH156" i="53"/>
  <c r="AH154" i="53"/>
  <c r="AH151" i="53"/>
  <c r="AI203" i="53"/>
  <c r="AI174" i="53"/>
  <c r="AI175" i="53" s="1"/>
  <c r="AI176" i="53" s="1"/>
  <c r="AI178" i="53" s="1"/>
  <c r="AI180" i="53"/>
  <c r="AI167" i="53"/>
  <c r="AI144" i="53"/>
  <c r="AI131" i="53"/>
  <c r="AI179" i="53"/>
  <c r="AI186" i="53"/>
  <c r="AI143" i="53"/>
  <c r="AI138" i="53"/>
  <c r="AI139" i="53" s="1"/>
  <c r="AI102" i="53"/>
  <c r="AI103" i="53" s="1"/>
  <c r="AI104" i="53" s="1"/>
  <c r="AI106" i="53" s="1"/>
  <c r="AI189" i="53"/>
  <c r="AI117" i="53"/>
  <c r="AI121" i="53"/>
  <c r="AI108" i="53"/>
  <c r="AI107" i="53"/>
  <c r="AI193" i="53"/>
  <c r="AI7" i="53"/>
  <c r="AI153" i="53"/>
  <c r="AI150" i="53"/>
  <c r="AI114" i="53"/>
  <c r="AJ6" i="53"/>
  <c r="AI157" i="53"/>
  <c r="AE196" i="53"/>
  <c r="AE213" i="53"/>
  <c r="AD215" i="53"/>
  <c r="AF160" i="53"/>
  <c r="AF161" i="53" s="1"/>
  <c r="AA204" i="53"/>
  <c r="AB200" i="53" s="1"/>
  <c r="AA202" i="53"/>
  <c r="Z216" i="53"/>
  <c r="Z205" i="53"/>
  <c r="Y217" i="53"/>
  <c r="Y206" i="53"/>
  <c r="Z206" i="53" s="1"/>
  <c r="Y207" i="53"/>
  <c r="X219" i="53"/>
  <c r="X220" i="53" s="1"/>
  <c r="AC168" i="53"/>
  <c r="AD164" i="53" s="1"/>
  <c r="AC166" i="53"/>
  <c r="AB169" i="53"/>
  <c r="AA171" i="53"/>
  <c r="AA215" i="52"/>
  <c r="AB215" i="52" s="1"/>
  <c r="AA134" i="52"/>
  <c r="AA135" i="52"/>
  <c r="AC160" i="52"/>
  <c r="AE211" i="52"/>
  <c r="AE112" i="52"/>
  <c r="AE111" i="52"/>
  <c r="AE183" i="52"/>
  <c r="AE184" i="52"/>
  <c r="AE148" i="52"/>
  <c r="AE147" i="52"/>
  <c r="AF213" i="52"/>
  <c r="AH210" i="52"/>
  <c r="AH110" i="52"/>
  <c r="AH105" i="52"/>
  <c r="AH104" i="52"/>
  <c r="AH126" i="52"/>
  <c r="AH127" i="52" s="1"/>
  <c r="AH129" i="52" s="1"/>
  <c r="AH119" i="52"/>
  <c r="AH116" i="52"/>
  <c r="AH123" i="52" s="1"/>
  <c r="AH198" i="52"/>
  <c r="AH199" i="52" s="1"/>
  <c r="AH201" i="52" s="1"/>
  <c r="AH191" i="52"/>
  <c r="AH188" i="52"/>
  <c r="AH195" i="52" s="1"/>
  <c r="AH176" i="52"/>
  <c r="AH182" i="52"/>
  <c r="AH177" i="52"/>
  <c r="AH140" i="52"/>
  <c r="AH141" i="52"/>
  <c r="AH146" i="52"/>
  <c r="AH162" i="52"/>
  <c r="AH163" i="52" s="1"/>
  <c r="AH165" i="52" s="1"/>
  <c r="AH155" i="52"/>
  <c r="AH152" i="52"/>
  <c r="AH159" i="52" s="1"/>
  <c r="AI192" i="52"/>
  <c r="AI190" i="52"/>
  <c r="AI187" i="52"/>
  <c r="AI120" i="52"/>
  <c r="AI118" i="52"/>
  <c r="AI115" i="52"/>
  <c r="AI154" i="52"/>
  <c r="AI156" i="52"/>
  <c r="AI151" i="52"/>
  <c r="AJ203" i="52"/>
  <c r="AJ167" i="52"/>
  <c r="AJ144" i="52"/>
  <c r="AJ7" i="52"/>
  <c r="AJ180" i="52"/>
  <c r="AJ108" i="52"/>
  <c r="AJ143" i="52"/>
  <c r="AJ174" i="52"/>
  <c r="AJ175" i="52" s="1"/>
  <c r="AJ102" i="52"/>
  <c r="AJ103" i="52" s="1"/>
  <c r="AJ107" i="52"/>
  <c r="AJ179" i="52"/>
  <c r="AJ193" i="52"/>
  <c r="AJ114" i="52"/>
  <c r="AJ186" i="52"/>
  <c r="AJ189" i="52"/>
  <c r="AJ131" i="52"/>
  <c r="AJ157" i="52"/>
  <c r="AJ117" i="52"/>
  <c r="AJ121" i="52"/>
  <c r="AJ138" i="52"/>
  <c r="AJ139" i="52" s="1"/>
  <c r="AJ150" i="52"/>
  <c r="AJ153" i="52"/>
  <c r="AK6" i="52"/>
  <c r="AB133" i="52"/>
  <c r="AC132" i="52"/>
  <c r="AD128" i="52" s="1"/>
  <c r="AC130" i="52"/>
  <c r="AA204" i="52"/>
  <c r="AB200" i="52" s="1"/>
  <c r="AA202" i="52"/>
  <c r="Z216" i="52"/>
  <c r="Z205" i="52"/>
  <c r="Y217" i="52"/>
  <c r="Y206" i="52"/>
  <c r="Y207" i="52"/>
  <c r="X218" i="52"/>
  <c r="Y218" i="52" s="1"/>
  <c r="AC212" i="52"/>
  <c r="AC124" i="52"/>
  <c r="AG111" i="52"/>
  <c r="AG112" i="52"/>
  <c r="AG113" i="52"/>
  <c r="AG183" i="52"/>
  <c r="AG184" i="52"/>
  <c r="AG185" i="52"/>
  <c r="AF148" i="52"/>
  <c r="AF147" i="52"/>
  <c r="AI103" i="52"/>
  <c r="AI175" i="52"/>
  <c r="AI139" i="52"/>
  <c r="AG145" i="52"/>
  <c r="AG211" i="52" s="1"/>
  <c r="AF109" i="52"/>
  <c r="AF181" i="52"/>
  <c r="AD133" i="53"/>
  <c r="AE132" i="53"/>
  <c r="AF128" i="53" s="1"/>
  <c r="AE130" i="53"/>
  <c r="AC135" i="53"/>
  <c r="AF166" i="52"/>
  <c r="AF168" i="52"/>
  <c r="AG164" i="52" s="1"/>
  <c r="AD171" i="52"/>
  <c r="AC134" i="53"/>
  <c r="AD134" i="53" s="1"/>
  <c r="AG66" i="51"/>
  <c r="AI6" i="51"/>
  <c r="AH7" i="51"/>
  <c r="AH65" i="51"/>
  <c r="AH68" i="51"/>
  <c r="AH73" i="51"/>
  <c r="AH74" i="51"/>
  <c r="AH79" i="51" s="1"/>
  <c r="AH103" i="51"/>
  <c r="AH64" i="51"/>
  <c r="AH81" i="51"/>
  <c r="AH82" i="51" s="1"/>
  <c r="AH85" i="51"/>
  <c r="AH86" i="51"/>
  <c r="AH87" i="51"/>
  <c r="AH88" i="51"/>
  <c r="AH89" i="51"/>
  <c r="AH90" i="51"/>
  <c r="AH91" i="51"/>
  <c r="AH92" i="51"/>
  <c r="AH93" i="51"/>
  <c r="AH94" i="51"/>
  <c r="AG67" i="51"/>
  <c r="AG69" i="51"/>
  <c r="AG83" i="51"/>
  <c r="AG84" i="51"/>
  <c r="AF70" i="51"/>
  <c r="AF72" i="51" s="1"/>
  <c r="AF71" i="51"/>
  <c r="AF76" i="51"/>
  <c r="AF98" i="51"/>
  <c r="AF99" i="51" s="1"/>
  <c r="AF101" i="51" s="1"/>
  <c r="AF95" i="51"/>
  <c r="AE72" i="51"/>
  <c r="AD77" i="51"/>
  <c r="AD78" i="51"/>
  <c r="AD80" i="51"/>
  <c r="AD96" i="51" s="1"/>
  <c r="AC78" i="51"/>
  <c r="AC77" i="51"/>
  <c r="AC80" i="51" s="1"/>
  <c r="AA97" i="51"/>
  <c r="AB97" i="51" s="1"/>
  <c r="AA105" i="51"/>
  <c r="AD102" i="51"/>
  <c r="AD104" i="51"/>
  <c r="AE100" i="51" s="1"/>
  <c r="AB108" i="51"/>
  <c r="AB107" i="51"/>
  <c r="AG79" i="51"/>
  <c r="J92" i="47"/>
  <c r="K92" i="47" s="1"/>
  <c r="L92" i="47" s="1"/>
  <c r="M92" i="47" s="1"/>
  <c r="N92" i="47" s="1"/>
  <c r="AJ194" i="53" l="1"/>
  <c r="AJ158" i="53"/>
  <c r="AJ122" i="53"/>
  <c r="AK194" i="52"/>
  <c r="AK158" i="52"/>
  <c r="AK122" i="52"/>
  <c r="N130" i="46"/>
  <c r="N103" i="46"/>
  <c r="N131" i="46"/>
  <c r="N121" i="46"/>
  <c r="O117" i="46" s="1"/>
  <c r="E26" i="54"/>
  <c r="I81" i="54"/>
  <c r="G90" i="54"/>
  <c r="K90" i="54" s="1"/>
  <c r="D40" i="54" s="1"/>
  <c r="N90" i="54"/>
  <c r="I40" i="54" a="1"/>
  <c r="F90" i="54" s="1"/>
  <c r="J65" i="54"/>
  <c r="K65" i="54" s="1"/>
  <c r="L65" i="54" s="1"/>
  <c r="M65" i="54" s="1"/>
  <c r="N65" i="54" s="1"/>
  <c r="O65" i="54" s="1"/>
  <c r="P65" i="54" s="1"/>
  <c r="Q65" i="54" s="1"/>
  <c r="R65" i="54" s="1"/>
  <c r="S65" i="54" s="1"/>
  <c r="T65" i="54" s="1"/>
  <c r="U65" i="54" s="1"/>
  <c r="V65" i="54" s="1"/>
  <c r="W65" i="54" s="1"/>
  <c r="X65" i="54" s="1"/>
  <c r="Y65" i="54" s="1"/>
  <c r="Z65" i="54" s="1"/>
  <c r="AA65" i="54" s="1"/>
  <c r="AB65" i="54" s="1"/>
  <c r="AC65" i="54" s="1"/>
  <c r="H90" i="54" s="1"/>
  <c r="J90" i="54"/>
  <c r="C40" i="54"/>
  <c r="C90" i="54" s="1"/>
  <c r="L90" i="54"/>
  <c r="M90" i="54"/>
  <c r="AF149" i="52"/>
  <c r="AF160" i="52" s="1"/>
  <c r="AF169" i="52" s="1"/>
  <c r="AF171" i="52" s="1"/>
  <c r="AB134" i="52"/>
  <c r="AH183" i="53"/>
  <c r="AH184" i="53"/>
  <c r="AH198" i="53"/>
  <c r="AH199" i="53" s="1"/>
  <c r="AH201" i="53" s="1"/>
  <c r="AH188" i="53"/>
  <c r="AH191" i="53"/>
  <c r="AH147" i="53"/>
  <c r="AH148" i="53"/>
  <c r="AH149" i="53" s="1"/>
  <c r="AH111" i="53"/>
  <c r="AH112" i="53"/>
  <c r="AH211" i="53"/>
  <c r="AH126" i="53"/>
  <c r="AH127" i="53" s="1"/>
  <c r="AH129" i="53" s="1"/>
  <c r="AH119" i="53"/>
  <c r="AH116" i="53"/>
  <c r="AH123" i="53" s="1"/>
  <c r="AH162" i="53"/>
  <c r="AH163" i="53" s="1"/>
  <c r="AH165" i="53" s="1"/>
  <c r="AH155" i="53"/>
  <c r="AH152" i="53"/>
  <c r="AH159" i="53" s="1"/>
  <c r="AI177" i="53"/>
  <c r="AI181" i="53" s="1"/>
  <c r="AI182" i="53"/>
  <c r="AI190" i="53"/>
  <c r="AI187" i="53"/>
  <c r="AI192" i="53"/>
  <c r="AI141" i="53"/>
  <c r="AI146" i="53"/>
  <c r="AI140" i="53"/>
  <c r="AI142" i="53" s="1"/>
  <c r="AI145" i="53" s="1"/>
  <c r="AI210" i="53"/>
  <c r="AI105" i="53"/>
  <c r="AI109" i="53" s="1"/>
  <c r="AI110" i="53"/>
  <c r="AI156" i="53"/>
  <c r="AI154" i="53"/>
  <c r="AI151" i="53"/>
  <c r="AI120" i="53"/>
  <c r="AI118" i="53"/>
  <c r="AI115" i="53"/>
  <c r="AJ203" i="53"/>
  <c r="AJ174" i="53"/>
  <c r="AJ175" i="53" s="1"/>
  <c r="AJ176" i="53" s="1"/>
  <c r="AJ178" i="53" s="1"/>
  <c r="AJ180" i="53"/>
  <c r="AJ167" i="53"/>
  <c r="AJ144" i="53"/>
  <c r="AJ131" i="53"/>
  <c r="AJ179" i="53"/>
  <c r="AJ138" i="53"/>
  <c r="AJ139" i="53" s="1"/>
  <c r="AJ143" i="53"/>
  <c r="AJ102" i="53"/>
  <c r="AJ103" i="53" s="1"/>
  <c r="AJ104" i="53" s="1"/>
  <c r="AJ106" i="53" s="1"/>
  <c r="AJ189" i="53"/>
  <c r="AJ186" i="53"/>
  <c r="AJ153" i="53"/>
  <c r="AJ150" i="53"/>
  <c r="AJ7" i="53"/>
  <c r="AJ121" i="53"/>
  <c r="AJ107" i="53"/>
  <c r="AJ117" i="53"/>
  <c r="AJ114" i="53"/>
  <c r="AJ108" i="53"/>
  <c r="AJ193" i="53"/>
  <c r="AK6" i="53"/>
  <c r="AJ157" i="53"/>
  <c r="AE197" i="53"/>
  <c r="AE214" i="53"/>
  <c r="AE215" i="53" s="1"/>
  <c r="AF196" i="53"/>
  <c r="AF214" i="53" s="1"/>
  <c r="AF213" i="53"/>
  <c r="AG160" i="53"/>
  <c r="AG161" i="53" s="1"/>
  <c r="AG113" i="53"/>
  <c r="AB204" i="53"/>
  <c r="AC200" i="53" s="1"/>
  <c r="AB202" i="53"/>
  <c r="AA216" i="53"/>
  <c r="AA205" i="53"/>
  <c r="Z217" i="53"/>
  <c r="Z207" i="53"/>
  <c r="Y218" i="53"/>
  <c r="Z218" i="53" s="1"/>
  <c r="Y219" i="53"/>
  <c r="Y220" i="53" s="1"/>
  <c r="AD166" i="53"/>
  <c r="AD168" i="53"/>
  <c r="AE164" i="53" s="1"/>
  <c r="AC169" i="53"/>
  <c r="AB170" i="53"/>
  <c r="AC170" i="53" s="1"/>
  <c r="AB171" i="53"/>
  <c r="AC169" i="52"/>
  <c r="AC161" i="52"/>
  <c r="AD161" i="52" s="1"/>
  <c r="AE113" i="52"/>
  <c r="AE185" i="52"/>
  <c r="AE149" i="52"/>
  <c r="AG213" i="52"/>
  <c r="AH106" i="52"/>
  <c r="AH178" i="52"/>
  <c r="AH142" i="52"/>
  <c r="AI198" i="52"/>
  <c r="AI199" i="52" s="1"/>
  <c r="AI201" i="52" s="1"/>
  <c r="AI191" i="52"/>
  <c r="AI188" i="52"/>
  <c r="AI195" i="52" s="1"/>
  <c r="AI126" i="52"/>
  <c r="AI127" i="52" s="1"/>
  <c r="AI129" i="52" s="1"/>
  <c r="AI116" i="52"/>
  <c r="AI119" i="52"/>
  <c r="AI162" i="52"/>
  <c r="AI163" i="52" s="1"/>
  <c r="AI165" i="52" s="1"/>
  <c r="AI155" i="52"/>
  <c r="AI152" i="52"/>
  <c r="AI159" i="52" s="1"/>
  <c r="AJ182" i="52"/>
  <c r="AJ177" i="52"/>
  <c r="AJ176" i="52"/>
  <c r="AJ210" i="52"/>
  <c r="AJ110" i="52"/>
  <c r="AJ105" i="52"/>
  <c r="AJ104" i="52"/>
  <c r="AJ115" i="52"/>
  <c r="AJ120" i="52"/>
  <c r="AJ118" i="52"/>
  <c r="AJ190" i="52"/>
  <c r="AJ192" i="52"/>
  <c r="AJ187" i="52"/>
  <c r="AJ146" i="52"/>
  <c r="AJ141" i="52"/>
  <c r="AJ151" i="52"/>
  <c r="AJ154" i="52"/>
  <c r="AJ156" i="52"/>
  <c r="AK180" i="52"/>
  <c r="AK7" i="52"/>
  <c r="AK193" i="52"/>
  <c r="AK174" i="52"/>
  <c r="AK107" i="52"/>
  <c r="AK102" i="52"/>
  <c r="AK108" i="52"/>
  <c r="AK186" i="52"/>
  <c r="AK203" i="52"/>
  <c r="AK167" i="52"/>
  <c r="AK144" i="52"/>
  <c r="AK114" i="52"/>
  <c r="AK179" i="52"/>
  <c r="AK143" i="52"/>
  <c r="AK189" i="52"/>
  <c r="AK157" i="52"/>
  <c r="AK117" i="52"/>
  <c r="AK121" i="52"/>
  <c r="AK138" i="52"/>
  <c r="AK150" i="52"/>
  <c r="AK153" i="52"/>
  <c r="AK131" i="52"/>
  <c r="AL6" i="52"/>
  <c r="AB135" i="52"/>
  <c r="AD132" i="52"/>
  <c r="AE128" i="52" s="1"/>
  <c r="AD130" i="52"/>
  <c r="AB202" i="52"/>
  <c r="AB204" i="52"/>
  <c r="AC200" i="52" s="1"/>
  <c r="AA216" i="52"/>
  <c r="AA205" i="52"/>
  <c r="Z217" i="52"/>
  <c r="Z207" i="52"/>
  <c r="Z219" i="52" s="1"/>
  <c r="Y219" i="52"/>
  <c r="Y220" i="52" s="1"/>
  <c r="AC133" i="52"/>
  <c r="AC125" i="52"/>
  <c r="AD125" i="52" s="1"/>
  <c r="AC214" i="52"/>
  <c r="AG124" i="52"/>
  <c r="AI105" i="52"/>
  <c r="AI110" i="52"/>
  <c r="AI210" i="52"/>
  <c r="AI104" i="52"/>
  <c r="AI106" i="52" s="1"/>
  <c r="AI109" i="52" s="1"/>
  <c r="AI177" i="52"/>
  <c r="AI182" i="52"/>
  <c r="AI176" i="52"/>
  <c r="AI178" i="52" s="1"/>
  <c r="AI181" i="52" s="1"/>
  <c r="AI146" i="52"/>
  <c r="AI141" i="52"/>
  <c r="AI140" i="52"/>
  <c r="AI142" i="52" s="1"/>
  <c r="AI145" i="52" s="1"/>
  <c r="AG147" i="52"/>
  <c r="AG148" i="52"/>
  <c r="AF211" i="52"/>
  <c r="AF112" i="52"/>
  <c r="AF111" i="52"/>
  <c r="AF184" i="52"/>
  <c r="AF183" i="52"/>
  <c r="Z206" i="52"/>
  <c r="AG196" i="52"/>
  <c r="AJ140" i="52"/>
  <c r="AD135" i="53"/>
  <c r="AF132" i="53"/>
  <c r="AG128" i="53" s="1"/>
  <c r="AF130" i="53"/>
  <c r="AE133" i="53"/>
  <c r="AG166" i="52"/>
  <c r="AG168" i="52"/>
  <c r="AH164" i="52" s="1"/>
  <c r="O92" i="47"/>
  <c r="P92" i="47" s="1"/>
  <c r="Q92" i="47" s="1"/>
  <c r="R92" i="47" s="1"/>
  <c r="S92" i="47" s="1"/>
  <c r="T92" i="47" s="1"/>
  <c r="U92" i="47" s="1"/>
  <c r="AJ6" i="51"/>
  <c r="AI64" i="51"/>
  <c r="AI65" i="51"/>
  <c r="AI68" i="51"/>
  <c r="AI73" i="51"/>
  <c r="AI74" i="51"/>
  <c r="AI103" i="51"/>
  <c r="AI7" i="51"/>
  <c r="AI81" i="51"/>
  <c r="AI82" i="51" s="1"/>
  <c r="AI85" i="51"/>
  <c r="AI86" i="51"/>
  <c r="AI87" i="51"/>
  <c r="AI88" i="51"/>
  <c r="AI89" i="51"/>
  <c r="AI90" i="51"/>
  <c r="AI91" i="51"/>
  <c r="AI92" i="51"/>
  <c r="AI93" i="51"/>
  <c r="AI94" i="51"/>
  <c r="AH66" i="51"/>
  <c r="AH67" i="51"/>
  <c r="AH69" i="51"/>
  <c r="AH83" i="51"/>
  <c r="AH84" i="51"/>
  <c r="AG70" i="51"/>
  <c r="AG71" i="51"/>
  <c r="AG76" i="51"/>
  <c r="AG98" i="51"/>
  <c r="AG99" i="51" s="1"/>
  <c r="AG101" i="51" s="1"/>
  <c r="AG95" i="51"/>
  <c r="AF75" i="51"/>
  <c r="AE75" i="51"/>
  <c r="AC96" i="51"/>
  <c r="AA106" i="51"/>
  <c r="AB106" i="51" s="1"/>
  <c r="AA107" i="51"/>
  <c r="AA108" i="51"/>
  <c r="AE104" i="51"/>
  <c r="AF100" i="51" s="1"/>
  <c r="AE102" i="51"/>
  <c r="AD105" i="51"/>
  <c r="AH195" i="53" l="1"/>
  <c r="AK194" i="53"/>
  <c r="AK158" i="53"/>
  <c r="AK122" i="53"/>
  <c r="AI123" i="52"/>
  <c r="AL194" i="52"/>
  <c r="AL158" i="52"/>
  <c r="AL122" i="52"/>
  <c r="O119" i="46"/>
  <c r="O120" i="46"/>
  <c r="E40" i="54"/>
  <c r="I90" i="54"/>
  <c r="AH185" i="53"/>
  <c r="AF197" i="53"/>
  <c r="AI183" i="53"/>
  <c r="AI184" i="53"/>
  <c r="AI185" i="53"/>
  <c r="AI198" i="53"/>
  <c r="AI199" i="53" s="1"/>
  <c r="AI201" i="53" s="1"/>
  <c r="AI188" i="53"/>
  <c r="AI191" i="53"/>
  <c r="AI147" i="53"/>
  <c r="AI148" i="53"/>
  <c r="AI149" i="53"/>
  <c r="AI111" i="53"/>
  <c r="AI112" i="53"/>
  <c r="AI211" i="53"/>
  <c r="AI162" i="53"/>
  <c r="AI163" i="53" s="1"/>
  <c r="AI165" i="53" s="1"/>
  <c r="AI155" i="53"/>
  <c r="AI152" i="53"/>
  <c r="AI159" i="53" s="1"/>
  <c r="AI126" i="53"/>
  <c r="AI127" i="53" s="1"/>
  <c r="AI129" i="53" s="1"/>
  <c r="AI119" i="53"/>
  <c r="AI116" i="53"/>
  <c r="AI123" i="53" s="1"/>
  <c r="AJ177" i="53"/>
  <c r="AJ181" i="53" s="1"/>
  <c r="AJ182" i="53"/>
  <c r="AJ141" i="53"/>
  <c r="AJ146" i="53"/>
  <c r="AJ140" i="53"/>
  <c r="AJ142" i="53" s="1"/>
  <c r="AJ145" i="53" s="1"/>
  <c r="AJ210" i="53"/>
  <c r="AJ110" i="53"/>
  <c r="AJ105" i="53"/>
  <c r="AJ109" i="53" s="1"/>
  <c r="AJ192" i="53"/>
  <c r="AJ187" i="53"/>
  <c r="AJ190" i="53"/>
  <c r="AJ156" i="53"/>
  <c r="AJ154" i="53"/>
  <c r="AJ151" i="53"/>
  <c r="AJ120" i="53"/>
  <c r="AJ118" i="53"/>
  <c r="AJ115" i="53"/>
  <c r="AK203" i="53"/>
  <c r="AK180" i="53"/>
  <c r="AK174" i="53"/>
  <c r="AK175" i="53" s="1"/>
  <c r="AK176" i="53" s="1"/>
  <c r="AK178" i="53" s="1"/>
  <c r="AK167" i="53"/>
  <c r="AK144" i="53"/>
  <c r="AK131" i="53"/>
  <c r="AK179" i="53"/>
  <c r="AK143" i="53"/>
  <c r="AK138" i="53"/>
  <c r="AK139" i="53" s="1"/>
  <c r="AK102" i="53"/>
  <c r="AK103" i="53" s="1"/>
  <c r="AK104" i="53" s="1"/>
  <c r="AK106" i="53" s="1"/>
  <c r="AK186" i="53"/>
  <c r="AK189" i="53"/>
  <c r="AK107" i="53"/>
  <c r="AK121" i="53"/>
  <c r="AK193" i="53"/>
  <c r="AK7" i="53"/>
  <c r="AK117" i="53"/>
  <c r="AK150" i="53"/>
  <c r="AK114" i="53"/>
  <c r="AK108" i="53"/>
  <c r="AK153" i="53"/>
  <c r="AK157" i="53"/>
  <c r="AL6" i="53"/>
  <c r="AG124" i="53"/>
  <c r="AG125" i="53" s="1"/>
  <c r="AG212" i="53"/>
  <c r="AG196" i="53"/>
  <c r="AG213" i="53"/>
  <c r="AF215" i="53"/>
  <c r="AH160" i="53"/>
  <c r="AH161" i="53" s="1"/>
  <c r="AH113" i="53"/>
  <c r="AC204" i="53"/>
  <c r="AD200" i="53" s="1"/>
  <c r="AC202" i="53"/>
  <c r="AB216" i="53"/>
  <c r="AB205" i="53"/>
  <c r="AA217" i="53"/>
  <c r="AA206" i="53"/>
  <c r="AB206" i="53" s="1"/>
  <c r="AA207" i="53"/>
  <c r="Z219" i="53"/>
  <c r="Z220" i="53" s="1"/>
  <c r="AD169" i="53"/>
  <c r="AE168" i="53"/>
  <c r="AF164" i="53" s="1"/>
  <c r="AE166" i="53"/>
  <c r="AC171" i="53"/>
  <c r="Z220" i="52"/>
  <c r="AC170" i="52"/>
  <c r="AD170" i="52" s="1"/>
  <c r="AC171" i="52"/>
  <c r="AE212" i="52"/>
  <c r="AE124" i="52"/>
  <c r="AE196" i="52"/>
  <c r="AE160" i="52"/>
  <c r="AI211" i="52"/>
  <c r="AI112" i="52"/>
  <c r="AI111" i="52"/>
  <c r="AI113" i="52" s="1"/>
  <c r="AH109" i="52"/>
  <c r="AH213" i="52"/>
  <c r="AH181" i="52"/>
  <c r="AI184" i="52"/>
  <c r="AI183" i="52"/>
  <c r="AI185" i="52" s="1"/>
  <c r="AH145" i="52"/>
  <c r="AI148" i="52"/>
  <c r="AI147" i="52"/>
  <c r="AJ126" i="52"/>
  <c r="AJ127" i="52" s="1"/>
  <c r="AJ129" i="52" s="1"/>
  <c r="AJ119" i="52"/>
  <c r="AJ116" i="52"/>
  <c r="AJ123" i="52" s="1"/>
  <c r="AJ198" i="52"/>
  <c r="AJ199" i="52" s="1"/>
  <c r="AJ201" i="52" s="1"/>
  <c r="AJ191" i="52"/>
  <c r="AJ188" i="52"/>
  <c r="AJ195" i="52" s="1"/>
  <c r="AJ162" i="52"/>
  <c r="AJ163" i="52" s="1"/>
  <c r="AJ165" i="52" s="1"/>
  <c r="AJ155" i="52"/>
  <c r="AJ152" i="52"/>
  <c r="AJ159" i="52" s="1"/>
  <c r="AK175" i="52"/>
  <c r="AK103" i="52"/>
  <c r="AK187" i="52"/>
  <c r="AK192" i="52"/>
  <c r="AK190" i="52"/>
  <c r="AK120" i="52"/>
  <c r="AK115" i="52"/>
  <c r="AK118" i="52"/>
  <c r="AK139" i="52"/>
  <c r="AK151" i="52"/>
  <c r="AK156" i="52"/>
  <c r="AK154" i="52"/>
  <c r="AL193" i="52"/>
  <c r="AL107" i="52"/>
  <c r="AL167" i="52"/>
  <c r="AL7" i="52"/>
  <c r="AL108" i="52"/>
  <c r="AL114" i="52"/>
  <c r="AL174" i="52"/>
  <c r="AL102" i="52"/>
  <c r="AL180" i="52"/>
  <c r="AL179" i="52"/>
  <c r="AL186" i="52"/>
  <c r="AL144" i="52"/>
  <c r="AL203" i="52"/>
  <c r="AL143" i="52"/>
  <c r="AL189" i="52"/>
  <c r="AL157" i="52"/>
  <c r="AL117" i="52"/>
  <c r="AL121" i="52"/>
  <c r="AL131" i="52"/>
  <c r="AL138" i="52"/>
  <c r="AL150" i="52"/>
  <c r="AL153" i="52"/>
  <c r="AM6" i="52"/>
  <c r="AE132" i="52"/>
  <c r="AF128" i="52" s="1"/>
  <c r="AE130" i="52"/>
  <c r="AD133" i="52"/>
  <c r="AB216" i="52"/>
  <c r="AB205" i="52"/>
  <c r="AC202" i="52"/>
  <c r="AC204" i="52"/>
  <c r="AD200" i="52" s="1"/>
  <c r="AA217" i="52"/>
  <c r="AA207" i="52"/>
  <c r="Z218" i="52"/>
  <c r="AA218" i="52" s="1"/>
  <c r="AC134" i="52"/>
  <c r="AD134" i="52" s="1"/>
  <c r="AC135" i="52"/>
  <c r="AC215" i="52"/>
  <c r="AD215" i="52" s="1"/>
  <c r="AJ106" i="52"/>
  <c r="AJ178" i="52"/>
  <c r="AJ142" i="52"/>
  <c r="AG149" i="52"/>
  <c r="AF185" i="52"/>
  <c r="AA206" i="52"/>
  <c r="AF113" i="52"/>
  <c r="AG130" i="53"/>
  <c r="AG132" i="53"/>
  <c r="AH128" i="53" s="1"/>
  <c r="AF133" i="53"/>
  <c r="AE134" i="53"/>
  <c r="AF134" i="53" s="1"/>
  <c r="AE135" i="53"/>
  <c r="AH166" i="52"/>
  <c r="AH168" i="52"/>
  <c r="AI164" i="52" s="1"/>
  <c r="V92" i="47"/>
  <c r="AK6" i="51"/>
  <c r="AJ7" i="51"/>
  <c r="AJ64" i="51"/>
  <c r="AJ65" i="51"/>
  <c r="AJ68" i="51"/>
  <c r="AJ73" i="51"/>
  <c r="AJ74" i="51"/>
  <c r="AJ79" i="51" s="1"/>
  <c r="AJ81" i="51"/>
  <c r="AJ82" i="51" s="1"/>
  <c r="AJ85" i="51"/>
  <c r="AJ86" i="51"/>
  <c r="AJ87" i="51"/>
  <c r="AJ88" i="51"/>
  <c r="AJ89" i="51"/>
  <c r="AJ90" i="51"/>
  <c r="AJ91" i="51"/>
  <c r="AJ92" i="51"/>
  <c r="AJ93" i="51"/>
  <c r="AJ94" i="51"/>
  <c r="AJ103" i="51"/>
  <c r="AI67" i="51"/>
  <c r="AI69" i="51"/>
  <c r="AI79" i="51"/>
  <c r="AI83" i="51"/>
  <c r="AI84" i="51"/>
  <c r="AH70" i="51"/>
  <c r="AH72" i="51" s="1"/>
  <c r="AH71" i="51"/>
  <c r="AH76" i="51"/>
  <c r="AH98" i="51"/>
  <c r="AH99" i="51" s="1"/>
  <c r="AH101" i="51" s="1"/>
  <c r="AH95" i="51"/>
  <c r="AG72" i="51"/>
  <c r="AF77" i="51"/>
  <c r="AF78" i="51"/>
  <c r="AF80" i="51"/>
  <c r="AF96" i="51" s="1"/>
  <c r="AE78" i="51"/>
  <c r="AE77" i="51"/>
  <c r="AC97" i="51"/>
  <c r="AD97" i="51" s="1"/>
  <c r="AC105" i="51"/>
  <c r="AF104" i="51"/>
  <c r="AG100" i="51" s="1"/>
  <c r="AF102" i="51"/>
  <c r="AD108" i="51"/>
  <c r="AD107" i="51"/>
  <c r="AI66" i="51"/>
  <c r="AI195" i="53" l="1"/>
  <c r="AL194" i="53"/>
  <c r="AL158" i="53"/>
  <c r="AL122" i="53"/>
  <c r="AB206" i="52"/>
  <c r="AI149" i="52"/>
  <c r="AI212" i="52" s="1"/>
  <c r="AM194" i="52"/>
  <c r="AM158" i="52"/>
  <c r="AM122" i="52"/>
  <c r="O103" i="46"/>
  <c r="O130" i="46"/>
  <c r="O131" i="46"/>
  <c r="O121" i="46"/>
  <c r="P117" i="46" s="1"/>
  <c r="W92" i="47"/>
  <c r="X92" i="47" s="1"/>
  <c r="Y92" i="47" s="1"/>
  <c r="Z92" i="47" s="1"/>
  <c r="E107" i="47"/>
  <c r="E117" i="47" s="1"/>
  <c r="E108" i="47"/>
  <c r="AJ183" i="53"/>
  <c r="AJ184" i="53"/>
  <c r="AJ185" i="53"/>
  <c r="AJ147" i="53"/>
  <c r="AJ148" i="53"/>
  <c r="AJ149" i="53"/>
  <c r="AJ112" i="53"/>
  <c r="AJ111" i="53"/>
  <c r="AJ113" i="53"/>
  <c r="AJ211" i="53"/>
  <c r="AJ198" i="53"/>
  <c r="AJ199" i="53" s="1"/>
  <c r="AJ201" i="53" s="1"/>
  <c r="AJ188" i="53"/>
  <c r="AJ195" i="53" s="1"/>
  <c r="AJ191" i="53"/>
  <c r="AJ162" i="53"/>
  <c r="AJ163" i="53" s="1"/>
  <c r="AJ165" i="53" s="1"/>
  <c r="AJ155" i="53"/>
  <c r="AJ152" i="53"/>
  <c r="AJ159" i="53" s="1"/>
  <c r="AJ126" i="53"/>
  <c r="AJ127" i="53" s="1"/>
  <c r="AJ129" i="53" s="1"/>
  <c r="AJ119" i="53"/>
  <c r="AJ116" i="53"/>
  <c r="AJ123" i="53" s="1"/>
  <c r="AK177" i="53"/>
  <c r="AK181" i="53" s="1"/>
  <c r="AK182" i="53"/>
  <c r="AK141" i="53"/>
  <c r="AK146" i="53"/>
  <c r="AK140" i="53"/>
  <c r="AK142" i="53" s="1"/>
  <c r="AK145" i="53" s="1"/>
  <c r="AK210" i="53"/>
  <c r="AK105" i="53"/>
  <c r="AK109" i="53" s="1"/>
  <c r="AK110" i="53"/>
  <c r="AK187" i="53"/>
  <c r="AK190" i="53"/>
  <c r="AK192" i="53"/>
  <c r="AK156" i="53"/>
  <c r="AK154" i="53"/>
  <c r="AK151" i="53"/>
  <c r="AK120" i="53"/>
  <c r="AK118" i="53"/>
  <c r="AK115" i="53"/>
  <c r="AL203" i="53"/>
  <c r="AL174" i="53"/>
  <c r="AL175" i="53" s="1"/>
  <c r="AL176" i="53" s="1"/>
  <c r="AL178" i="53" s="1"/>
  <c r="AL180" i="53"/>
  <c r="AL167" i="53"/>
  <c r="AL144" i="53"/>
  <c r="AL179" i="53"/>
  <c r="AL131" i="53"/>
  <c r="AL186" i="53"/>
  <c r="AL138" i="53"/>
  <c r="AL139" i="53" s="1"/>
  <c r="AL143" i="53"/>
  <c r="AL102" i="53"/>
  <c r="AL103" i="53" s="1"/>
  <c r="AL104" i="53" s="1"/>
  <c r="AL106" i="53" s="1"/>
  <c r="AL189" i="53"/>
  <c r="AL108" i="53"/>
  <c r="AL114" i="53"/>
  <c r="AL153" i="53"/>
  <c r="AL7" i="53"/>
  <c r="AL117" i="53"/>
  <c r="AL150" i="53"/>
  <c r="AL193" i="53"/>
  <c r="AL121" i="53"/>
  <c r="AL107" i="53"/>
  <c r="AL157" i="53"/>
  <c r="AM6" i="53"/>
  <c r="AG197" i="53"/>
  <c r="AG214" i="53"/>
  <c r="AG215" i="53" s="1"/>
  <c r="AH196" i="53"/>
  <c r="AH213" i="53"/>
  <c r="AH124" i="53"/>
  <c r="AH125" i="53" s="1"/>
  <c r="AH212" i="53"/>
  <c r="AI160" i="53"/>
  <c r="AI161" i="53" s="1"/>
  <c r="AI113" i="53"/>
  <c r="AD204" i="53"/>
  <c r="AE200" i="53" s="1"/>
  <c r="AD202" i="53"/>
  <c r="AC216" i="53"/>
  <c r="AC205" i="53"/>
  <c r="AB217" i="53"/>
  <c r="AB207" i="53"/>
  <c r="AA218" i="53"/>
  <c r="AA219" i="53"/>
  <c r="AA220" i="53" s="1"/>
  <c r="AD170" i="53"/>
  <c r="AD171" i="53"/>
  <c r="AF168" i="53"/>
  <c r="AG164" i="53" s="1"/>
  <c r="AF166" i="53"/>
  <c r="AE169" i="53"/>
  <c r="AI196" i="52"/>
  <c r="AE133" i="52"/>
  <c r="AE125" i="52"/>
  <c r="AE214" i="52"/>
  <c r="AE197" i="52"/>
  <c r="AE161" i="52"/>
  <c r="AF161" i="52" s="1"/>
  <c r="AE169" i="52"/>
  <c r="AI124" i="52"/>
  <c r="AH111" i="52"/>
  <c r="AH112" i="52"/>
  <c r="AH211" i="52"/>
  <c r="AH183" i="52"/>
  <c r="AH184" i="52"/>
  <c r="AH147" i="52"/>
  <c r="AH148" i="52"/>
  <c r="AJ213" i="52"/>
  <c r="AK176" i="52"/>
  <c r="AK182" i="52"/>
  <c r="AK177" i="52"/>
  <c r="AK104" i="52"/>
  <c r="AK110" i="52"/>
  <c r="AK210" i="52"/>
  <c r="AK105" i="52"/>
  <c r="AK198" i="52"/>
  <c r="AK199" i="52" s="1"/>
  <c r="AK201" i="52" s="1"/>
  <c r="AK188" i="52"/>
  <c r="AK191" i="52"/>
  <c r="AK126" i="52"/>
  <c r="AK127" i="52" s="1"/>
  <c r="AK129" i="52" s="1"/>
  <c r="AK119" i="52"/>
  <c r="AK116" i="52"/>
  <c r="AK123" i="52" s="1"/>
  <c r="AK140" i="52"/>
  <c r="AK146" i="52"/>
  <c r="AK141" i="52"/>
  <c r="AK162" i="52"/>
  <c r="AK163" i="52" s="1"/>
  <c r="AK165" i="52" s="1"/>
  <c r="AK152" i="52"/>
  <c r="AK155" i="52"/>
  <c r="AL120" i="52"/>
  <c r="AL115" i="52"/>
  <c r="AL118" i="52"/>
  <c r="AL187" i="52"/>
  <c r="AL192" i="52"/>
  <c r="AL190" i="52"/>
  <c r="AL154" i="52"/>
  <c r="AL156" i="52"/>
  <c r="AL151" i="52"/>
  <c r="AM189" i="52"/>
  <c r="AM114" i="52"/>
  <c r="AM167" i="52"/>
  <c r="AM174" i="52"/>
  <c r="AM175" i="52" s="1"/>
  <c r="AM143" i="52"/>
  <c r="AM186" i="52"/>
  <c r="AM144" i="52"/>
  <c r="AM102" i="52"/>
  <c r="AM103" i="52" s="1"/>
  <c r="AM179" i="52"/>
  <c r="AM107" i="52"/>
  <c r="AM7" i="52"/>
  <c r="AM180" i="52"/>
  <c r="AM193" i="52"/>
  <c r="AM108" i="52"/>
  <c r="AM203" i="52"/>
  <c r="AM157" i="52"/>
  <c r="AM117" i="52"/>
  <c r="AM121" i="52"/>
  <c r="AM138" i="52"/>
  <c r="AM139" i="52" s="1"/>
  <c r="AM150" i="52"/>
  <c r="AM153" i="52"/>
  <c r="AM131" i="52"/>
  <c r="AN6" i="52"/>
  <c r="AF132" i="52"/>
  <c r="AG128" i="52" s="1"/>
  <c r="AF130" i="52"/>
  <c r="AD135" i="52"/>
  <c r="AB217" i="52"/>
  <c r="AB207" i="52"/>
  <c r="AB219" i="52" s="1"/>
  <c r="AC216" i="52"/>
  <c r="AC205" i="52"/>
  <c r="AD204" i="52"/>
  <c r="AE200" i="52" s="1"/>
  <c r="AD202" i="52"/>
  <c r="AA219" i="52"/>
  <c r="AA220" i="52" s="1"/>
  <c r="AI213" i="52"/>
  <c r="AG212" i="52"/>
  <c r="AG160" i="52"/>
  <c r="AF124" i="52"/>
  <c r="AF212" i="52"/>
  <c r="AI160" i="52"/>
  <c r="AL175" i="52"/>
  <c r="AL103" i="52"/>
  <c r="AL139" i="52"/>
  <c r="AJ109" i="52"/>
  <c r="AJ181" i="52"/>
  <c r="AJ145" i="52"/>
  <c r="AF196" i="52"/>
  <c r="AG133" i="53"/>
  <c r="AH132" i="53"/>
  <c r="AI128" i="53" s="1"/>
  <c r="AH130" i="53"/>
  <c r="AF135" i="53"/>
  <c r="AI166" i="52"/>
  <c r="AI168" i="52"/>
  <c r="AJ164" i="52" s="1"/>
  <c r="AE80" i="51"/>
  <c r="AE96" i="51" s="1"/>
  <c r="AJ66" i="51"/>
  <c r="AL6" i="51"/>
  <c r="AK103" i="51"/>
  <c r="AK64" i="51"/>
  <c r="AK65" i="51"/>
  <c r="AK68" i="51"/>
  <c r="AK73" i="51"/>
  <c r="AK74" i="51"/>
  <c r="AK7" i="51"/>
  <c r="AK81" i="51"/>
  <c r="AK82" i="51" s="1"/>
  <c r="AK85" i="51"/>
  <c r="AK86" i="51"/>
  <c r="AK87" i="51"/>
  <c r="AK88" i="51"/>
  <c r="AK89" i="51"/>
  <c r="AK90" i="51"/>
  <c r="AK91" i="51"/>
  <c r="AK92" i="51"/>
  <c r="AK93" i="51"/>
  <c r="AK94" i="51"/>
  <c r="AJ67" i="51"/>
  <c r="AJ69" i="51"/>
  <c r="AJ83" i="51"/>
  <c r="AJ84" i="51"/>
  <c r="AI70" i="51"/>
  <c r="AI71" i="51"/>
  <c r="AI76" i="51"/>
  <c r="AI98" i="51"/>
  <c r="AI99" i="51" s="1"/>
  <c r="AI101" i="51" s="1"/>
  <c r="AI95" i="51"/>
  <c r="AH75" i="51"/>
  <c r="AG75" i="51"/>
  <c r="AC106" i="51"/>
  <c r="AD106" i="51" s="1"/>
  <c r="AC107" i="51"/>
  <c r="AC108" i="51"/>
  <c r="AG102" i="51"/>
  <c r="AG104" i="51"/>
  <c r="AH100" i="51" s="1"/>
  <c r="AF105" i="51"/>
  <c r="AB218" i="53" l="1"/>
  <c r="AM194" i="53"/>
  <c r="AM158" i="53"/>
  <c r="AM122" i="53"/>
  <c r="AK195" i="52"/>
  <c r="AK159" i="52"/>
  <c r="AB220" i="52"/>
  <c r="AN194" i="52"/>
  <c r="AN158" i="52"/>
  <c r="AN122" i="52"/>
  <c r="P119" i="46"/>
  <c r="P120" i="46"/>
  <c r="AH197" i="53"/>
  <c r="AJ212" i="53"/>
  <c r="AJ124" i="53"/>
  <c r="AK183" i="53"/>
  <c r="AK184" i="53"/>
  <c r="AK185" i="53"/>
  <c r="AK147" i="53"/>
  <c r="AK148" i="53"/>
  <c r="AK149" i="53"/>
  <c r="AK111" i="53"/>
  <c r="AK112" i="53"/>
  <c r="AK113" i="53"/>
  <c r="AK211" i="53"/>
  <c r="AK198" i="53"/>
  <c r="AK199" i="53" s="1"/>
  <c r="AK201" i="53" s="1"/>
  <c r="AK188" i="53"/>
  <c r="AK195" i="53" s="1"/>
  <c r="AK191" i="53"/>
  <c r="AK162" i="53"/>
  <c r="AK163" i="53" s="1"/>
  <c r="AK165" i="53" s="1"/>
  <c r="AK155" i="53"/>
  <c r="AK152" i="53"/>
  <c r="AK159" i="53" s="1"/>
  <c r="AK126" i="53"/>
  <c r="AK127" i="53" s="1"/>
  <c r="AK129" i="53" s="1"/>
  <c r="AK119" i="53"/>
  <c r="AK116" i="53"/>
  <c r="AK123" i="53" s="1"/>
  <c r="AL177" i="53"/>
  <c r="AL181" i="53" s="1"/>
  <c r="AL182" i="53"/>
  <c r="AL192" i="53"/>
  <c r="AL190" i="53"/>
  <c r="AL187" i="53"/>
  <c r="AL141" i="53"/>
  <c r="AL146" i="53"/>
  <c r="AL140" i="53"/>
  <c r="AL210" i="53"/>
  <c r="AL110" i="53"/>
  <c r="AL105" i="53"/>
  <c r="AL109" i="53" s="1"/>
  <c r="AL120" i="53"/>
  <c r="AL118" i="53"/>
  <c r="AL115" i="53"/>
  <c r="AL156" i="53"/>
  <c r="AL154" i="53"/>
  <c r="AL151" i="53"/>
  <c r="AM203" i="53"/>
  <c r="AM180" i="53"/>
  <c r="AM167" i="53"/>
  <c r="AM174" i="53"/>
  <c r="AM175" i="53" s="1"/>
  <c r="AM176" i="53" s="1"/>
  <c r="AM178" i="53" s="1"/>
  <c r="AM144" i="53"/>
  <c r="AM179" i="53"/>
  <c r="AM131" i="53"/>
  <c r="AM138" i="53"/>
  <c r="AM139" i="53" s="1"/>
  <c r="AM102" i="53"/>
  <c r="AM103" i="53" s="1"/>
  <c r="AM104" i="53" s="1"/>
  <c r="AM106" i="53" s="1"/>
  <c r="AM189" i="53"/>
  <c r="AM186" i="53"/>
  <c r="AM143" i="53"/>
  <c r="AM121" i="53"/>
  <c r="AM107" i="53"/>
  <c r="AM7" i="53"/>
  <c r="AM114" i="53"/>
  <c r="AM150" i="53"/>
  <c r="AM108" i="53"/>
  <c r="AM153" i="53"/>
  <c r="AM193" i="53"/>
  <c r="AM117" i="53"/>
  <c r="AM157" i="53"/>
  <c r="AN6" i="53"/>
  <c r="AI196" i="53"/>
  <c r="AI213" i="53"/>
  <c r="AI124" i="53"/>
  <c r="AI125" i="53" s="1"/>
  <c r="AI212" i="53"/>
  <c r="AH214" i="53"/>
  <c r="AH215" i="53" s="1"/>
  <c r="AJ160" i="53"/>
  <c r="AJ161" i="53" s="1"/>
  <c r="AE204" i="53"/>
  <c r="AF200" i="53" s="1"/>
  <c r="AE202" i="53"/>
  <c r="AD216" i="53"/>
  <c r="AD205" i="53"/>
  <c r="AC217" i="53"/>
  <c r="AC206" i="53"/>
  <c r="AD206" i="53" s="1"/>
  <c r="AC207" i="53"/>
  <c r="AB219" i="53"/>
  <c r="AB220" i="53" s="1"/>
  <c r="AG168" i="53"/>
  <c r="AH164" i="53" s="1"/>
  <c r="AG166" i="53"/>
  <c r="AF169" i="53"/>
  <c r="AE171" i="53"/>
  <c r="AE170" i="53"/>
  <c r="AF170" i="53" s="1"/>
  <c r="AF197" i="52"/>
  <c r="AG197" i="52" s="1"/>
  <c r="AE134" i="52"/>
  <c r="AE135" i="52"/>
  <c r="AE215" i="52"/>
  <c r="AE170" i="52"/>
  <c r="AF170" i="52" s="1"/>
  <c r="AE171" i="52"/>
  <c r="AH113" i="52"/>
  <c r="AH185" i="52"/>
  <c r="AH149" i="52"/>
  <c r="AK178" i="52"/>
  <c r="AK106" i="52"/>
  <c r="AK142" i="52"/>
  <c r="AL126" i="52"/>
  <c r="AL127" i="52" s="1"/>
  <c r="AL129" i="52" s="1"/>
  <c r="AL119" i="52"/>
  <c r="AL116" i="52"/>
  <c r="AL123" i="52" s="1"/>
  <c r="AL198" i="52"/>
  <c r="AL199" i="52" s="1"/>
  <c r="AL201" i="52" s="1"/>
  <c r="AL188" i="52"/>
  <c r="AL191" i="52"/>
  <c r="AL162" i="52"/>
  <c r="AL163" i="52" s="1"/>
  <c r="AL165" i="52" s="1"/>
  <c r="AL152" i="52"/>
  <c r="AL155" i="52"/>
  <c r="AM118" i="52"/>
  <c r="AM120" i="52"/>
  <c r="AM115" i="52"/>
  <c r="AM182" i="52"/>
  <c r="AM177" i="52"/>
  <c r="AM190" i="52"/>
  <c r="AM192" i="52"/>
  <c r="AM187" i="52"/>
  <c r="AM210" i="52"/>
  <c r="AM105" i="52"/>
  <c r="AM110" i="52"/>
  <c r="AM104" i="52"/>
  <c r="AM141" i="52"/>
  <c r="AM146" i="52"/>
  <c r="AM156" i="52"/>
  <c r="AM154" i="52"/>
  <c r="AM151" i="52"/>
  <c r="AN114" i="52"/>
  <c r="AN189" i="52"/>
  <c r="AN7" i="52"/>
  <c r="AN174" i="52"/>
  <c r="AN193" i="52"/>
  <c r="AN102" i="52"/>
  <c r="AN186" i="52"/>
  <c r="AN203" i="52"/>
  <c r="AN107" i="52"/>
  <c r="AN143" i="52"/>
  <c r="AN180" i="52"/>
  <c r="AN144" i="52"/>
  <c r="AN167" i="52"/>
  <c r="AN179" i="52"/>
  <c r="AN108" i="52"/>
  <c r="AN131" i="52"/>
  <c r="AN157" i="52"/>
  <c r="AN117" i="52"/>
  <c r="AN121" i="52"/>
  <c r="AN138" i="52"/>
  <c r="AN150" i="52"/>
  <c r="AN153" i="52"/>
  <c r="AO6" i="52"/>
  <c r="AG130" i="52"/>
  <c r="AG132" i="52"/>
  <c r="AH128" i="52" s="1"/>
  <c r="AB218" i="52"/>
  <c r="AC206" i="52"/>
  <c r="AC217" i="52"/>
  <c r="AC207" i="52"/>
  <c r="AE204" i="52"/>
  <c r="AF200" i="52" s="1"/>
  <c r="AE202" i="52"/>
  <c r="AD216" i="52"/>
  <c r="AD205" i="52"/>
  <c r="AG169" i="52"/>
  <c r="AG171" i="52" s="1"/>
  <c r="AG214" i="52"/>
  <c r="AF133" i="52"/>
  <c r="AF214" i="52"/>
  <c r="AL176" i="52"/>
  <c r="AL178" i="52" s="1"/>
  <c r="AL182" i="52"/>
  <c r="AL177" i="52"/>
  <c r="AL110" i="52"/>
  <c r="AL105" i="52"/>
  <c r="AL210" i="52"/>
  <c r="AL104" i="52"/>
  <c r="AL106" i="52" s="1"/>
  <c r="AL109" i="52" s="1"/>
  <c r="AL141" i="52"/>
  <c r="AL146" i="52"/>
  <c r="AL140" i="52"/>
  <c r="AL142" i="52" s="1"/>
  <c r="AL145" i="52" s="1"/>
  <c r="AJ211" i="52"/>
  <c r="AJ112" i="52"/>
  <c r="AJ111" i="52"/>
  <c r="AJ184" i="52"/>
  <c r="AJ183" i="52"/>
  <c r="AJ147" i="52"/>
  <c r="AJ148" i="52"/>
  <c r="AF125" i="52"/>
  <c r="AG125" i="52" s="1"/>
  <c r="AG161" i="52"/>
  <c r="AI214" i="52"/>
  <c r="AM176" i="52"/>
  <c r="AM140" i="52"/>
  <c r="AG134" i="53"/>
  <c r="AG135" i="53"/>
  <c r="AI130" i="53"/>
  <c r="AI132" i="53"/>
  <c r="AJ128" i="53" s="1"/>
  <c r="AH133" i="53"/>
  <c r="AJ166" i="52"/>
  <c r="AJ168" i="52"/>
  <c r="AK164" i="52" s="1"/>
  <c r="AI169" i="52"/>
  <c r="AM6" i="51"/>
  <c r="AL7" i="51"/>
  <c r="AL65" i="51"/>
  <c r="AL68" i="51"/>
  <c r="AL73" i="51"/>
  <c r="AL74" i="51"/>
  <c r="AL103" i="51"/>
  <c r="AL64" i="51"/>
  <c r="AL81" i="51"/>
  <c r="AL82" i="51" s="1"/>
  <c r="AL85" i="51"/>
  <c r="AL86" i="51"/>
  <c r="AL87" i="51"/>
  <c r="AL88" i="51"/>
  <c r="AL89" i="51"/>
  <c r="AL90" i="51"/>
  <c r="AL91" i="51"/>
  <c r="AL92" i="51"/>
  <c r="AL93" i="51"/>
  <c r="AL94" i="51"/>
  <c r="AK66" i="51"/>
  <c r="AK67" i="51"/>
  <c r="AK69" i="51"/>
  <c r="AK79" i="51"/>
  <c r="AK83" i="51"/>
  <c r="AK84" i="51"/>
  <c r="AJ70" i="51"/>
  <c r="AJ72" i="51" s="1"/>
  <c r="AJ71" i="51"/>
  <c r="AJ76" i="51"/>
  <c r="AJ98" i="51"/>
  <c r="AJ99" i="51" s="1"/>
  <c r="AJ101" i="51" s="1"/>
  <c r="AJ95" i="51"/>
  <c r="AI72" i="51"/>
  <c r="AH77" i="51"/>
  <c r="AH78" i="51"/>
  <c r="AG78" i="51"/>
  <c r="AG77" i="51"/>
  <c r="AE97" i="51"/>
  <c r="AF97" i="51" s="1"/>
  <c r="AE105" i="51"/>
  <c r="AH102" i="51"/>
  <c r="AH104" i="51"/>
  <c r="AI100" i="51" s="1"/>
  <c r="AF107" i="51"/>
  <c r="AF108" i="51"/>
  <c r="O34" i="45"/>
  <c r="O36" i="45" s="1"/>
  <c r="AN194" i="53" l="1"/>
  <c r="AN158" i="53"/>
  <c r="AN122" i="53"/>
  <c r="AL195" i="52"/>
  <c r="AL159" i="52"/>
  <c r="AO194" i="52"/>
  <c r="AO158" i="52"/>
  <c r="AO122" i="52"/>
  <c r="P103" i="46"/>
  <c r="P130" i="46"/>
  <c r="P131" i="46"/>
  <c r="P121" i="46"/>
  <c r="Q117" i="46" s="1"/>
  <c r="AL181" i="52"/>
  <c r="AJ125" i="53"/>
  <c r="AK212" i="53"/>
  <c r="AK124" i="53"/>
  <c r="AK125" i="53" s="1"/>
  <c r="AL183" i="53"/>
  <c r="AL184" i="53"/>
  <c r="AL185" i="53"/>
  <c r="AL198" i="53"/>
  <c r="AL199" i="53" s="1"/>
  <c r="AL201" i="53" s="1"/>
  <c r="AL188" i="53"/>
  <c r="AL191" i="53"/>
  <c r="AL111" i="53"/>
  <c r="AL112" i="53"/>
  <c r="AL126" i="53"/>
  <c r="AL127" i="53" s="1"/>
  <c r="AL129" i="53" s="1"/>
  <c r="AL119" i="53"/>
  <c r="AL116" i="53"/>
  <c r="AL123" i="53" s="1"/>
  <c r="AL162" i="53"/>
  <c r="AL163" i="53" s="1"/>
  <c r="AL165" i="53" s="1"/>
  <c r="AL155" i="53"/>
  <c r="AL152" i="53"/>
  <c r="AL159" i="53" s="1"/>
  <c r="AM182" i="53"/>
  <c r="AM177" i="53"/>
  <c r="AM181" i="53" s="1"/>
  <c r="AM141" i="53"/>
  <c r="AM146" i="53"/>
  <c r="AM140" i="53"/>
  <c r="AM142" i="53" s="1"/>
  <c r="AM145" i="53" s="1"/>
  <c r="AM210" i="53"/>
  <c r="AM105" i="53"/>
  <c r="AM109" i="53" s="1"/>
  <c r="AM110" i="53"/>
  <c r="AM187" i="53"/>
  <c r="AM190" i="53"/>
  <c r="AM192" i="53"/>
  <c r="AM120" i="53"/>
  <c r="AM118" i="53"/>
  <c r="AM115" i="53"/>
  <c r="AM156" i="53"/>
  <c r="AM154" i="53"/>
  <c r="AM151" i="53"/>
  <c r="AN203" i="53"/>
  <c r="AN180" i="53"/>
  <c r="AN174" i="53"/>
  <c r="AN175" i="53" s="1"/>
  <c r="AN176" i="53" s="1"/>
  <c r="AN178" i="53" s="1"/>
  <c r="AN167" i="53"/>
  <c r="AN144" i="53"/>
  <c r="AN131" i="53"/>
  <c r="AN179" i="53"/>
  <c r="AN189" i="53"/>
  <c r="AN143" i="53"/>
  <c r="AN102" i="53"/>
  <c r="AN103" i="53" s="1"/>
  <c r="AN104" i="53" s="1"/>
  <c r="AN106" i="53" s="1"/>
  <c r="AN186" i="53"/>
  <c r="AN138" i="53"/>
  <c r="AN139" i="53" s="1"/>
  <c r="AN193" i="53"/>
  <c r="AN7" i="53"/>
  <c r="AN121" i="53"/>
  <c r="AN153" i="53"/>
  <c r="AN107" i="53"/>
  <c r="AN108" i="53"/>
  <c r="AN114" i="53"/>
  <c r="AN117" i="53"/>
  <c r="AN150" i="53"/>
  <c r="AN157" i="53"/>
  <c r="AO6" i="53"/>
  <c r="AI197" i="53"/>
  <c r="AI214" i="53"/>
  <c r="AI215" i="53" s="1"/>
  <c r="AJ196" i="53"/>
  <c r="AJ214" i="53" s="1"/>
  <c r="AJ213" i="53"/>
  <c r="AK160" i="53"/>
  <c r="AK161" i="53" s="1"/>
  <c r="AL142" i="53"/>
  <c r="AL145" i="53" s="1"/>
  <c r="AL211" i="53" s="1"/>
  <c r="AF204" i="53"/>
  <c r="AG200" i="53" s="1"/>
  <c r="AF202" i="53"/>
  <c r="AE216" i="53"/>
  <c r="AE205" i="53"/>
  <c r="AD217" i="53"/>
  <c r="AD207" i="53"/>
  <c r="AC218" i="53"/>
  <c r="AD218" i="53" s="1"/>
  <c r="AC219" i="53"/>
  <c r="AC220" i="53" s="1"/>
  <c r="AH168" i="53"/>
  <c r="AI164" i="53" s="1"/>
  <c r="AH166" i="53"/>
  <c r="AG169" i="53"/>
  <c r="AF171" i="53"/>
  <c r="AF215" i="52"/>
  <c r="AG215" i="52" s="1"/>
  <c r="AH212" i="52"/>
  <c r="AH124" i="52"/>
  <c r="AH196" i="52"/>
  <c r="AH160" i="52"/>
  <c r="AK181" i="52"/>
  <c r="AL112" i="52"/>
  <c r="AL111" i="52"/>
  <c r="AL113" i="52" s="1"/>
  <c r="AK109" i="52"/>
  <c r="AK213" i="52"/>
  <c r="AL147" i="52"/>
  <c r="AL148" i="52"/>
  <c r="AK145" i="52"/>
  <c r="AM126" i="52"/>
  <c r="AM127" i="52" s="1"/>
  <c r="AM129" i="52" s="1"/>
  <c r="AM116" i="52"/>
  <c r="AM119" i="52"/>
  <c r="AM198" i="52"/>
  <c r="AM199" i="52" s="1"/>
  <c r="AM201" i="52" s="1"/>
  <c r="AM191" i="52"/>
  <c r="AM188" i="52"/>
  <c r="AM195" i="52" s="1"/>
  <c r="AM162" i="52"/>
  <c r="AM163" i="52" s="1"/>
  <c r="AM165" i="52" s="1"/>
  <c r="AM152" i="52"/>
  <c r="AM155" i="52"/>
  <c r="AN115" i="52"/>
  <c r="AN120" i="52"/>
  <c r="AN118" i="52"/>
  <c r="AN175" i="52"/>
  <c r="AN103" i="52"/>
  <c r="AN192" i="52"/>
  <c r="AN187" i="52"/>
  <c r="AN190" i="52"/>
  <c r="AN139" i="52"/>
  <c r="AN154" i="52"/>
  <c r="AN156" i="52"/>
  <c r="AN151" i="52"/>
  <c r="AO179" i="52"/>
  <c r="AO143" i="52"/>
  <c r="AO167" i="52"/>
  <c r="AO108" i="52"/>
  <c r="AO189" i="52"/>
  <c r="AO107" i="52"/>
  <c r="AO102" i="52"/>
  <c r="AO174" i="52"/>
  <c r="AO7" i="52"/>
  <c r="AO180" i="52"/>
  <c r="AO114" i="52"/>
  <c r="AO186" i="52"/>
  <c r="AO144" i="52"/>
  <c r="AO193" i="52"/>
  <c r="AO203" i="52"/>
  <c r="AO131" i="52"/>
  <c r="AO157" i="52"/>
  <c r="AO117" i="52"/>
  <c r="AO121" i="52"/>
  <c r="AO138" i="52"/>
  <c r="AO150" i="52"/>
  <c r="AO153" i="52"/>
  <c r="AP6" i="52"/>
  <c r="AG133" i="52"/>
  <c r="AH132" i="52"/>
  <c r="AI128" i="52" s="1"/>
  <c r="AH130" i="52"/>
  <c r="AC219" i="52"/>
  <c r="AC220" i="52" s="1"/>
  <c r="AF204" i="52"/>
  <c r="AG200" i="52" s="1"/>
  <c r="AF202" i="52"/>
  <c r="AE216" i="52"/>
  <c r="AE205" i="52"/>
  <c r="AD217" i="52"/>
  <c r="AD207" i="52"/>
  <c r="AF135" i="52"/>
  <c r="AF134" i="52"/>
  <c r="AG134" i="52" s="1"/>
  <c r="AG170" i="52"/>
  <c r="AC218" i="52"/>
  <c r="AD218" i="52" s="1"/>
  <c r="AJ149" i="52"/>
  <c r="AD206" i="52"/>
  <c r="AM178" i="52"/>
  <c r="AM181" i="52" s="1"/>
  <c r="AM106" i="52"/>
  <c r="AM109" i="52" s="1"/>
  <c r="AM142" i="52"/>
  <c r="AM145" i="52" s="1"/>
  <c r="AJ113" i="52"/>
  <c r="AJ185" i="52"/>
  <c r="AJ196" i="52" s="1"/>
  <c r="AI133" i="53"/>
  <c r="AJ130" i="53"/>
  <c r="AJ132" i="53"/>
  <c r="AK128" i="53" s="1"/>
  <c r="AH135" i="53"/>
  <c r="AK166" i="52"/>
  <c r="AK168" i="52"/>
  <c r="AL164" i="52" s="1"/>
  <c r="AI171" i="52"/>
  <c r="AH134" i="53"/>
  <c r="AH80" i="51"/>
  <c r="AH96" i="51" s="1"/>
  <c r="AH105" i="51" s="1"/>
  <c r="AG80" i="51"/>
  <c r="AG96" i="51" s="1"/>
  <c r="AN6" i="51"/>
  <c r="AM64" i="51"/>
  <c r="AM65" i="51"/>
  <c r="AM68" i="51"/>
  <c r="AM73" i="51"/>
  <c r="AM74" i="51"/>
  <c r="AM7" i="51"/>
  <c r="AM81" i="51"/>
  <c r="AM82" i="51" s="1"/>
  <c r="AM85" i="51"/>
  <c r="AM86" i="51"/>
  <c r="AM87" i="51"/>
  <c r="AM88" i="51"/>
  <c r="AM89" i="51"/>
  <c r="AM90" i="51"/>
  <c r="AM91" i="51"/>
  <c r="AM92" i="51"/>
  <c r="AM93" i="51"/>
  <c r="AM94" i="51"/>
  <c r="AM103" i="51"/>
  <c r="AL67" i="51"/>
  <c r="AL69" i="51"/>
  <c r="AL83" i="51"/>
  <c r="AL84" i="51"/>
  <c r="AK70" i="51"/>
  <c r="AK71" i="51"/>
  <c r="AK76" i="51"/>
  <c r="AK98" i="51"/>
  <c r="AK99" i="51" s="1"/>
  <c r="AK101" i="51" s="1"/>
  <c r="AK95" i="51"/>
  <c r="AJ75" i="51"/>
  <c r="AI75" i="51"/>
  <c r="AE106" i="51"/>
  <c r="AF106" i="51" s="1"/>
  <c r="AE107" i="51"/>
  <c r="AE108" i="51"/>
  <c r="AI102" i="51"/>
  <c r="AI104" i="51"/>
  <c r="AJ100" i="51" s="1"/>
  <c r="AL66" i="51"/>
  <c r="AL79" i="51"/>
  <c r="O42" i="45"/>
  <c r="P34" i="45"/>
  <c r="P36" i="45" s="1"/>
  <c r="AL195" i="53" l="1"/>
  <c r="AO194" i="53"/>
  <c r="AO158" i="53"/>
  <c r="AO122" i="53"/>
  <c r="AM123" i="52"/>
  <c r="AM159" i="52"/>
  <c r="AP194" i="52"/>
  <c r="AP158" i="52"/>
  <c r="AP122" i="52"/>
  <c r="Q120" i="46"/>
  <c r="Q119" i="46"/>
  <c r="AL184" i="52"/>
  <c r="AL183" i="52"/>
  <c r="AL185" i="52" s="1"/>
  <c r="AL196" i="52" s="1"/>
  <c r="AL211" i="52"/>
  <c r="AJ215" i="53"/>
  <c r="AJ197" i="53"/>
  <c r="AM183" i="53"/>
  <c r="AM184" i="53"/>
  <c r="AM185" i="53"/>
  <c r="AM111" i="53"/>
  <c r="AM112" i="53"/>
  <c r="AM211" i="53"/>
  <c r="AM198" i="53"/>
  <c r="AM199" i="53" s="1"/>
  <c r="AM201" i="53" s="1"/>
  <c r="AM188" i="53"/>
  <c r="AM195" i="53" s="1"/>
  <c r="AM191" i="53"/>
  <c r="AM126" i="53"/>
  <c r="AM127" i="53" s="1"/>
  <c r="AM129" i="53" s="1"/>
  <c r="AM119" i="53"/>
  <c r="AM116" i="53"/>
  <c r="AM123" i="53" s="1"/>
  <c r="AM162" i="53"/>
  <c r="AM163" i="53" s="1"/>
  <c r="AM165" i="53" s="1"/>
  <c r="AM155" i="53"/>
  <c r="AM152" i="53"/>
  <c r="AM159" i="53" s="1"/>
  <c r="AN177" i="53"/>
  <c r="AN181" i="53" s="1"/>
  <c r="AN182" i="53"/>
  <c r="AN210" i="53"/>
  <c r="AN105" i="53"/>
  <c r="AN109" i="53" s="1"/>
  <c r="AN110" i="53"/>
  <c r="AN190" i="53"/>
  <c r="AN187" i="53"/>
  <c r="AN192" i="53"/>
  <c r="AN141" i="53"/>
  <c r="AN146" i="53"/>
  <c r="AN140" i="53"/>
  <c r="AN142" i="53" s="1"/>
  <c r="AN145" i="53" s="1"/>
  <c r="AN120" i="53"/>
  <c r="AN118" i="53"/>
  <c r="AN115" i="53"/>
  <c r="AN156" i="53"/>
  <c r="AN154" i="53"/>
  <c r="AN151" i="53"/>
  <c r="AO203" i="53"/>
  <c r="AO174" i="53"/>
  <c r="AO175" i="53" s="1"/>
  <c r="AO176" i="53" s="1"/>
  <c r="AO178" i="53" s="1"/>
  <c r="AO180" i="53"/>
  <c r="AO167" i="53"/>
  <c r="AO144" i="53"/>
  <c r="AO131" i="53"/>
  <c r="AO179" i="53"/>
  <c r="AO143" i="53"/>
  <c r="AO186" i="53"/>
  <c r="AO138" i="53"/>
  <c r="AO139" i="53" s="1"/>
  <c r="AO102" i="53"/>
  <c r="AO103" i="53" s="1"/>
  <c r="AO104" i="53" s="1"/>
  <c r="AO106" i="53" s="1"/>
  <c r="AO189" i="53"/>
  <c r="AO153" i="53"/>
  <c r="AO108" i="53"/>
  <c r="AO150" i="53"/>
  <c r="AO117" i="53"/>
  <c r="AO107" i="53"/>
  <c r="AO7" i="53"/>
  <c r="AO121" i="53"/>
  <c r="AO114" i="53"/>
  <c r="AO193" i="53"/>
  <c r="AP6" i="53"/>
  <c r="AO157" i="53"/>
  <c r="AK196" i="53"/>
  <c r="AK213" i="53"/>
  <c r="AL148" i="53"/>
  <c r="AL147" i="53"/>
  <c r="AL149" i="53" s="1"/>
  <c r="AL160" i="53" s="1"/>
  <c r="AL161" i="53" s="1"/>
  <c r="AM147" i="53"/>
  <c r="AM148" i="53"/>
  <c r="AM149" i="53"/>
  <c r="AL113" i="53"/>
  <c r="AG204" i="53"/>
  <c r="AH200" i="53" s="1"/>
  <c r="AG202" i="53"/>
  <c r="AF216" i="53"/>
  <c r="AF205" i="53"/>
  <c r="AE217" i="53"/>
  <c r="AE206" i="53"/>
  <c r="AF206" i="53" s="1"/>
  <c r="AE207" i="53"/>
  <c r="AD219" i="53"/>
  <c r="AD220" i="53" s="1"/>
  <c r="AI168" i="53"/>
  <c r="AJ164" i="53" s="1"/>
  <c r="AI166" i="53"/>
  <c r="AH169" i="53"/>
  <c r="AG170" i="53"/>
  <c r="AG171" i="53"/>
  <c r="AL213" i="52"/>
  <c r="AE206" i="52"/>
  <c r="AH133" i="52"/>
  <c r="AH125" i="52"/>
  <c r="AI125" i="52" s="1"/>
  <c r="AH214" i="52"/>
  <c r="AH197" i="52"/>
  <c r="AI197" i="52" s="1"/>
  <c r="AJ197" i="52" s="1"/>
  <c r="AH161" i="52"/>
  <c r="AI161" i="52" s="1"/>
  <c r="AH169" i="52"/>
  <c r="AK184" i="52"/>
  <c r="AK183" i="52"/>
  <c r="AL124" i="52"/>
  <c r="AK211" i="52"/>
  <c r="AK112" i="52"/>
  <c r="AK111" i="52"/>
  <c r="AK147" i="52"/>
  <c r="AK148" i="52"/>
  <c r="AN126" i="52"/>
  <c r="AN127" i="52" s="1"/>
  <c r="AN129" i="52" s="1"/>
  <c r="AN119" i="52"/>
  <c r="AN116" i="52"/>
  <c r="AN123" i="52" s="1"/>
  <c r="AN182" i="52"/>
  <c r="AN177" i="52"/>
  <c r="AN176" i="52"/>
  <c r="AN105" i="52"/>
  <c r="AN210" i="52"/>
  <c r="AN110" i="52"/>
  <c r="AN104" i="52"/>
  <c r="AN198" i="52"/>
  <c r="AN199" i="52" s="1"/>
  <c r="AN201" i="52" s="1"/>
  <c r="AN191" i="52"/>
  <c r="AN188" i="52"/>
  <c r="AN195" i="52" s="1"/>
  <c r="AN140" i="52"/>
  <c r="AN141" i="52"/>
  <c r="AN146" i="52"/>
  <c r="AN162" i="52"/>
  <c r="AN163" i="52" s="1"/>
  <c r="AN165" i="52" s="1"/>
  <c r="AN152" i="52"/>
  <c r="AN155" i="52"/>
  <c r="AO120" i="52"/>
  <c r="AO115" i="52"/>
  <c r="AO118" i="52"/>
  <c r="AO192" i="52"/>
  <c r="AO190" i="52"/>
  <c r="AO187" i="52"/>
  <c r="AO156" i="52"/>
  <c r="AO154" i="52"/>
  <c r="AO151" i="52"/>
  <c r="AP102" i="52"/>
  <c r="AP193" i="52"/>
  <c r="AP107" i="52"/>
  <c r="AP143" i="52"/>
  <c r="AP144" i="52"/>
  <c r="AP7" i="52"/>
  <c r="AP186" i="52"/>
  <c r="AP189" i="52"/>
  <c r="AP174" i="52"/>
  <c r="AP108" i="52"/>
  <c r="AP114" i="52"/>
  <c r="AP203" i="52"/>
  <c r="AP180" i="52"/>
  <c r="AP179" i="52"/>
  <c r="AP167" i="52"/>
  <c r="AP157" i="52"/>
  <c r="AP117" i="52"/>
  <c r="AP121" i="52"/>
  <c r="AP131" i="52"/>
  <c r="AP138" i="52"/>
  <c r="AP150" i="52"/>
  <c r="AP153" i="52"/>
  <c r="AQ6" i="52"/>
  <c r="AG135" i="52"/>
  <c r="AI132" i="52"/>
  <c r="AJ128" i="52" s="1"/>
  <c r="AI130" i="52"/>
  <c r="AG204" i="52"/>
  <c r="AH200" i="52" s="1"/>
  <c r="AG202" i="52"/>
  <c r="AF216" i="52"/>
  <c r="AF205" i="52"/>
  <c r="AE217" i="52"/>
  <c r="AE207" i="52"/>
  <c r="AM183" i="52"/>
  <c r="AM184" i="52"/>
  <c r="AM111" i="52"/>
  <c r="AM112" i="52"/>
  <c r="AM211" i="52"/>
  <c r="AM148" i="52"/>
  <c r="AM147" i="52"/>
  <c r="AM149" i="52" s="1"/>
  <c r="AJ212" i="52"/>
  <c r="AJ124" i="52"/>
  <c r="AL149" i="52"/>
  <c r="AO103" i="52"/>
  <c r="AO175" i="52"/>
  <c r="AO139" i="52"/>
  <c r="AD219" i="52"/>
  <c r="AD220" i="52" s="1"/>
  <c r="AJ160" i="52"/>
  <c r="AJ169" i="52" s="1"/>
  <c r="AJ171" i="52" s="1"/>
  <c r="AI135" i="53"/>
  <c r="AJ133" i="53"/>
  <c r="AK130" i="53"/>
  <c r="AK132" i="53"/>
  <c r="AL128" i="53" s="1"/>
  <c r="AL166" i="52"/>
  <c r="AL168" i="52"/>
  <c r="AM164" i="52" s="1"/>
  <c r="AI134" i="53"/>
  <c r="AO6" i="51"/>
  <c r="AN7" i="51"/>
  <c r="AN65" i="51"/>
  <c r="AN68" i="51"/>
  <c r="AN73" i="51"/>
  <c r="AN74" i="51"/>
  <c r="AN79" i="51" s="1"/>
  <c r="AN64" i="51"/>
  <c r="AN81" i="51"/>
  <c r="AN82" i="51" s="1"/>
  <c r="AN85" i="51"/>
  <c r="AN86" i="51"/>
  <c r="AN87" i="51"/>
  <c r="AN88" i="51"/>
  <c r="AN89" i="51"/>
  <c r="AN90" i="51"/>
  <c r="AN91" i="51"/>
  <c r="AN92" i="51"/>
  <c r="AN93" i="51"/>
  <c r="AN94" i="51"/>
  <c r="AN103" i="51"/>
  <c r="AM67" i="51"/>
  <c r="AM69" i="51"/>
  <c r="AM83" i="51"/>
  <c r="AM84" i="51"/>
  <c r="AL70" i="51"/>
  <c r="AL72" i="51" s="1"/>
  <c r="AL71" i="51"/>
  <c r="AL76" i="51"/>
  <c r="AL98" i="51"/>
  <c r="AL99" i="51" s="1"/>
  <c r="AL101" i="51" s="1"/>
  <c r="AL95" i="51"/>
  <c r="AK72" i="51"/>
  <c r="AJ77" i="51"/>
  <c r="AJ78" i="51"/>
  <c r="AI78" i="51"/>
  <c r="AI77" i="51"/>
  <c r="AG97" i="51"/>
  <c r="AH97" i="51" s="1"/>
  <c r="AG105" i="51"/>
  <c r="AJ104" i="51"/>
  <c r="AK100" i="51" s="1"/>
  <c r="AJ102" i="51"/>
  <c r="AH107" i="51"/>
  <c r="AH108" i="51"/>
  <c r="AM66" i="51"/>
  <c r="AM79" i="51"/>
  <c r="P42" i="45"/>
  <c r="Q34" i="45"/>
  <c r="Q36" i="45" s="1"/>
  <c r="AM160" i="53" l="1"/>
  <c r="AP194" i="53"/>
  <c r="AP158" i="53"/>
  <c r="AP122" i="53"/>
  <c r="AN159" i="52"/>
  <c r="AQ194" i="52"/>
  <c r="AQ158" i="52"/>
  <c r="AQ122" i="52"/>
  <c r="Q103" i="46"/>
  <c r="Q130" i="46"/>
  <c r="Q131" i="46"/>
  <c r="Q121" i="46"/>
  <c r="R117" i="46" s="1"/>
  <c r="AM161" i="53"/>
  <c r="AH170" i="53"/>
  <c r="AN183" i="53"/>
  <c r="AN184" i="53"/>
  <c r="AN185" i="53"/>
  <c r="AN111" i="53"/>
  <c r="AN112" i="53"/>
  <c r="AN211" i="53"/>
  <c r="AN198" i="53"/>
  <c r="AN199" i="53" s="1"/>
  <c r="AN201" i="53" s="1"/>
  <c r="AN188" i="53"/>
  <c r="AN195" i="53" s="1"/>
  <c r="AN191" i="53"/>
  <c r="AN147" i="53"/>
  <c r="AN148" i="53"/>
  <c r="AN149" i="53"/>
  <c r="AN126" i="53"/>
  <c r="AN127" i="53" s="1"/>
  <c r="AN129" i="53" s="1"/>
  <c r="AN119" i="53"/>
  <c r="AN116" i="53"/>
  <c r="AN162" i="53"/>
  <c r="AN163" i="53" s="1"/>
  <c r="AN165" i="53" s="1"/>
  <c r="AN155" i="53"/>
  <c r="AN152" i="53"/>
  <c r="AN159" i="53" s="1"/>
  <c r="AO177" i="53"/>
  <c r="AO181" i="53" s="1"/>
  <c r="AO182" i="53"/>
  <c r="AO190" i="53"/>
  <c r="AO187" i="53"/>
  <c r="AO192" i="53"/>
  <c r="AO141" i="53"/>
  <c r="AO146" i="53"/>
  <c r="AO140" i="53"/>
  <c r="AO142" i="53" s="1"/>
  <c r="AO145" i="53" s="1"/>
  <c r="AO210" i="53"/>
  <c r="AO105" i="53"/>
  <c r="AO109" i="53" s="1"/>
  <c r="AO110" i="53"/>
  <c r="AO156" i="53"/>
  <c r="AO154" i="53"/>
  <c r="AO151" i="53"/>
  <c r="AO120" i="53"/>
  <c r="AO118" i="53"/>
  <c r="AO115" i="53"/>
  <c r="AP203" i="53"/>
  <c r="AP174" i="53"/>
  <c r="AP175" i="53" s="1"/>
  <c r="AP176" i="53" s="1"/>
  <c r="AP178" i="53" s="1"/>
  <c r="AP180" i="53"/>
  <c r="AP167" i="53"/>
  <c r="AP144" i="53"/>
  <c r="AP131" i="53"/>
  <c r="AP179" i="53"/>
  <c r="AP138" i="53"/>
  <c r="AP139" i="53" s="1"/>
  <c r="AP143" i="53"/>
  <c r="AP102" i="53"/>
  <c r="AP103" i="53" s="1"/>
  <c r="AP104" i="53" s="1"/>
  <c r="AP106" i="53" s="1"/>
  <c r="AP189" i="53"/>
  <c r="AP186" i="53"/>
  <c r="AP7" i="53"/>
  <c r="AP117" i="53"/>
  <c r="AP153" i="53"/>
  <c r="AP193" i="53"/>
  <c r="AP121" i="53"/>
  <c r="AP114" i="53"/>
  <c r="AP107" i="53"/>
  <c r="AP150" i="53"/>
  <c r="AP108" i="53"/>
  <c r="AP157" i="53"/>
  <c r="AQ6" i="53"/>
  <c r="AK197" i="53"/>
  <c r="AK214" i="53"/>
  <c r="AK215" i="53" s="1"/>
  <c r="AL196" i="53"/>
  <c r="AL213" i="53"/>
  <c r="AL124" i="53"/>
  <c r="AL125" i="53" s="1"/>
  <c r="AL212" i="53"/>
  <c r="AM113" i="53"/>
  <c r="AH204" i="53"/>
  <c r="AI200" i="53" s="1"/>
  <c r="AH202" i="53"/>
  <c r="AG216" i="53"/>
  <c r="AG205" i="53"/>
  <c r="AF217" i="53"/>
  <c r="AF207" i="53"/>
  <c r="AE218" i="53"/>
  <c r="AF218" i="53" s="1"/>
  <c r="AE219" i="53"/>
  <c r="AE220" i="53" s="1"/>
  <c r="AJ166" i="53"/>
  <c r="AJ168" i="53"/>
  <c r="AK164" i="53" s="1"/>
  <c r="AI169" i="53"/>
  <c r="AH171" i="53"/>
  <c r="AM185" i="52"/>
  <c r="AM196" i="52" s="1"/>
  <c r="AJ161" i="52"/>
  <c r="AH134" i="52"/>
  <c r="AH135" i="52"/>
  <c r="AH215" i="52"/>
  <c r="AI215" i="52" s="1"/>
  <c r="AH170" i="52"/>
  <c r="AI170" i="52" s="1"/>
  <c r="AJ170" i="52" s="1"/>
  <c r="AH171" i="52"/>
  <c r="AK185" i="52"/>
  <c r="AK113" i="52"/>
  <c r="AK149" i="52"/>
  <c r="AM213" i="52"/>
  <c r="AN178" i="52"/>
  <c r="AN106" i="52"/>
  <c r="AN142" i="52"/>
  <c r="AO126" i="52"/>
  <c r="AO127" i="52" s="1"/>
  <c r="AO129" i="52" s="1"/>
  <c r="AO119" i="52"/>
  <c r="AO116" i="52"/>
  <c r="AO123" i="52" s="1"/>
  <c r="AO198" i="52"/>
  <c r="AO199" i="52" s="1"/>
  <c r="AO201" i="52" s="1"/>
  <c r="AO188" i="52"/>
  <c r="AO191" i="52"/>
  <c r="AO162" i="52"/>
  <c r="AO163" i="52" s="1"/>
  <c r="AO165" i="52" s="1"/>
  <c r="AO152" i="52"/>
  <c r="AO155" i="52"/>
  <c r="AP187" i="52"/>
  <c r="AP192" i="52"/>
  <c r="AP190" i="52"/>
  <c r="AP118" i="52"/>
  <c r="AP115" i="52"/>
  <c r="AP120" i="52"/>
  <c r="AP156" i="52"/>
  <c r="AP154" i="52"/>
  <c r="AP151" i="52"/>
  <c r="AQ108" i="52"/>
  <c r="AQ180" i="52"/>
  <c r="AQ193" i="52"/>
  <c r="AQ189" i="52"/>
  <c r="AQ167" i="52"/>
  <c r="AQ179" i="52"/>
  <c r="AQ143" i="52"/>
  <c r="AQ203" i="52"/>
  <c r="AQ114" i="52"/>
  <c r="AQ144" i="52"/>
  <c r="AQ102" i="52"/>
  <c r="AQ107" i="52"/>
  <c r="AQ186" i="52"/>
  <c r="AQ174" i="52"/>
  <c r="AQ7" i="52"/>
  <c r="AQ131" i="52"/>
  <c r="AQ157" i="52"/>
  <c r="AQ117" i="52"/>
  <c r="AQ121" i="52"/>
  <c r="AQ138" i="52"/>
  <c r="AQ150" i="52"/>
  <c r="AQ153" i="52"/>
  <c r="AR6" i="52"/>
  <c r="AJ132" i="52"/>
  <c r="AK128" i="52" s="1"/>
  <c r="AJ130" i="52"/>
  <c r="AI133" i="52"/>
  <c r="AH204" i="52"/>
  <c r="AI200" i="52" s="1"/>
  <c r="AH202" i="52"/>
  <c r="AG216" i="52"/>
  <c r="AG205" i="52"/>
  <c r="AF206" i="52"/>
  <c r="AG206" i="52" s="1"/>
  <c r="AF217" i="52"/>
  <c r="AF207" i="52"/>
  <c r="AE218" i="52"/>
  <c r="AF218" i="52" s="1"/>
  <c r="AE219" i="52"/>
  <c r="AE220" i="52" s="1"/>
  <c r="AO104" i="52"/>
  <c r="AO105" i="52"/>
  <c r="AO110" i="52"/>
  <c r="AO210" i="52"/>
  <c r="AO176" i="52"/>
  <c r="AO177" i="52"/>
  <c r="AO182" i="52"/>
  <c r="AO146" i="52"/>
  <c r="AO141" i="52"/>
  <c r="AO140" i="52"/>
  <c r="AJ125" i="52"/>
  <c r="AM113" i="52"/>
  <c r="AM160" i="52"/>
  <c r="AP103" i="52"/>
  <c r="AP175" i="52"/>
  <c r="AP139" i="52"/>
  <c r="AJ214" i="52"/>
  <c r="AL160" i="52"/>
  <c r="AL212" i="52"/>
  <c r="AJ135" i="53"/>
  <c r="AK133" i="53"/>
  <c r="AL130" i="53"/>
  <c r="AL132" i="53"/>
  <c r="AM128" i="53" s="1"/>
  <c r="AM166" i="52"/>
  <c r="AM168" i="52"/>
  <c r="AN164" i="52" s="1"/>
  <c r="AJ134" i="53"/>
  <c r="AK134" i="53" s="1"/>
  <c r="AN66" i="51"/>
  <c r="AI80" i="51"/>
  <c r="AI96" i="51" s="1"/>
  <c r="AJ80" i="51"/>
  <c r="AJ96" i="51" s="1"/>
  <c r="AJ105" i="51" s="1"/>
  <c r="AP6" i="51"/>
  <c r="AO7" i="51"/>
  <c r="AO64" i="51"/>
  <c r="AO65" i="51"/>
  <c r="AO68" i="51"/>
  <c r="AO73" i="51"/>
  <c r="AO74" i="51"/>
  <c r="AO81" i="51"/>
  <c r="AO82" i="51" s="1"/>
  <c r="AO85" i="51"/>
  <c r="AO86" i="51"/>
  <c r="AO87" i="51"/>
  <c r="AO88" i="51"/>
  <c r="AO89" i="51"/>
  <c r="AO90" i="51"/>
  <c r="AO91" i="51"/>
  <c r="AO92" i="51"/>
  <c r="AO93" i="51"/>
  <c r="AO94" i="51"/>
  <c r="AO103" i="51"/>
  <c r="AN67" i="51"/>
  <c r="AN69" i="51"/>
  <c r="AN83" i="51"/>
  <c r="AN84" i="51"/>
  <c r="AM70" i="51"/>
  <c r="AM71" i="51"/>
  <c r="AM76" i="51"/>
  <c r="AM98" i="51"/>
  <c r="AM99" i="51" s="1"/>
  <c r="AM101" i="51" s="1"/>
  <c r="AM95" i="51"/>
  <c r="AL75" i="51"/>
  <c r="AK75" i="51"/>
  <c r="AG106" i="51"/>
  <c r="AH106" i="51" s="1"/>
  <c r="AG108" i="51"/>
  <c r="AG107" i="51"/>
  <c r="AK102" i="51"/>
  <c r="AK104" i="51"/>
  <c r="AL100" i="51" s="1"/>
  <c r="Q42" i="45"/>
  <c r="R34" i="45"/>
  <c r="R36" i="45" s="1"/>
  <c r="AN123" i="53" l="1"/>
  <c r="AQ194" i="53"/>
  <c r="AQ158" i="53"/>
  <c r="AQ122" i="53"/>
  <c r="AO195" i="52"/>
  <c r="AO159" i="52"/>
  <c r="AR194" i="52"/>
  <c r="AR158" i="52"/>
  <c r="AR122" i="52"/>
  <c r="R120" i="46"/>
  <c r="R119" i="46"/>
  <c r="AO183" i="53"/>
  <c r="AO184" i="53"/>
  <c r="AO185" i="53"/>
  <c r="AO198" i="53"/>
  <c r="AO199" i="53" s="1"/>
  <c r="AO201" i="53" s="1"/>
  <c r="AO188" i="53"/>
  <c r="AO191" i="53"/>
  <c r="AO147" i="53"/>
  <c r="AO148" i="53"/>
  <c r="AO149" i="53"/>
  <c r="AO111" i="53"/>
  <c r="AO112" i="53"/>
  <c r="AO211" i="53"/>
  <c r="AO162" i="53"/>
  <c r="AO163" i="53" s="1"/>
  <c r="AO165" i="53" s="1"/>
  <c r="AO155" i="53"/>
  <c r="AO152" i="53"/>
  <c r="AO159" i="53" s="1"/>
  <c r="AO126" i="53"/>
  <c r="AO127" i="53" s="1"/>
  <c r="AO129" i="53" s="1"/>
  <c r="AO119" i="53"/>
  <c r="AO116" i="53"/>
  <c r="AO123" i="53" s="1"/>
  <c r="AP177" i="53"/>
  <c r="AP181" i="53" s="1"/>
  <c r="AP182" i="53"/>
  <c r="AP141" i="53"/>
  <c r="AP146" i="53"/>
  <c r="AP140" i="53"/>
  <c r="AP142" i="53" s="1"/>
  <c r="AP145" i="53" s="1"/>
  <c r="AP210" i="53"/>
  <c r="AP110" i="53"/>
  <c r="AP105" i="53"/>
  <c r="AP109" i="53" s="1"/>
  <c r="AP190" i="53"/>
  <c r="AP187" i="53"/>
  <c r="AP192" i="53"/>
  <c r="AP120" i="53"/>
  <c r="AP118" i="53"/>
  <c r="AP115" i="53"/>
  <c r="AP156" i="53"/>
  <c r="AP154" i="53"/>
  <c r="AP151" i="53"/>
  <c r="AQ203" i="53"/>
  <c r="AQ180" i="53"/>
  <c r="AQ174" i="53"/>
  <c r="AQ175" i="53" s="1"/>
  <c r="AQ176" i="53" s="1"/>
  <c r="AQ178" i="53" s="1"/>
  <c r="AQ167" i="53"/>
  <c r="AQ144" i="53"/>
  <c r="AQ131" i="53"/>
  <c r="AQ179" i="53"/>
  <c r="AQ189" i="53"/>
  <c r="AQ186" i="53"/>
  <c r="AQ138" i="53"/>
  <c r="AQ139" i="53" s="1"/>
  <c r="AQ143" i="53"/>
  <c r="AQ102" i="53"/>
  <c r="AQ103" i="53" s="1"/>
  <c r="AQ104" i="53" s="1"/>
  <c r="AQ106" i="53" s="1"/>
  <c r="AQ153" i="53"/>
  <c r="AQ150" i="53"/>
  <c r="AQ114" i="53"/>
  <c r="AQ107" i="53"/>
  <c r="AQ193" i="53"/>
  <c r="AQ108" i="53"/>
  <c r="AQ121" i="53"/>
  <c r="AQ7" i="53"/>
  <c r="AQ117" i="53"/>
  <c r="AR6" i="53"/>
  <c r="AQ157" i="53"/>
  <c r="AM124" i="53"/>
  <c r="AM125" i="53" s="1"/>
  <c r="AM212" i="53"/>
  <c r="AM196" i="53"/>
  <c r="AM214" i="53" s="1"/>
  <c r="AM213" i="53"/>
  <c r="AL197" i="53"/>
  <c r="AM197" i="53" s="1"/>
  <c r="AL214" i="53"/>
  <c r="AL215" i="53" s="1"/>
  <c r="AN113" i="53"/>
  <c r="AN160" i="53"/>
  <c r="AN161" i="53" s="1"/>
  <c r="AI204" i="53"/>
  <c r="AJ200" i="53" s="1"/>
  <c r="AI202" i="53"/>
  <c r="AH216" i="53"/>
  <c r="AH205" i="53"/>
  <c r="AG217" i="53"/>
  <c r="AG206" i="53"/>
  <c r="AH206" i="53" s="1"/>
  <c r="AG207" i="53"/>
  <c r="AF219" i="53"/>
  <c r="AF220" i="53" s="1"/>
  <c r="AJ169" i="53"/>
  <c r="AK166" i="53"/>
  <c r="AK168" i="53"/>
  <c r="AL164" i="53" s="1"/>
  <c r="AI170" i="53"/>
  <c r="AI171" i="53"/>
  <c r="AM169" i="52"/>
  <c r="AM171" i="52" s="1"/>
  <c r="AJ215" i="52"/>
  <c r="AL214" i="52"/>
  <c r="AL169" i="52"/>
  <c r="AL171" i="52" s="1"/>
  <c r="AK196" i="52"/>
  <c r="AK124" i="52"/>
  <c r="AK212" i="52"/>
  <c r="AK160" i="52"/>
  <c r="AN181" i="52"/>
  <c r="AN109" i="52"/>
  <c r="AN145" i="52"/>
  <c r="AP198" i="52"/>
  <c r="AP199" i="52" s="1"/>
  <c r="AP201" i="52" s="1"/>
  <c r="AP188" i="52"/>
  <c r="AP191" i="52"/>
  <c r="AP126" i="52"/>
  <c r="AP127" i="52" s="1"/>
  <c r="AP129" i="52" s="1"/>
  <c r="AP119" i="52"/>
  <c r="AP116" i="52"/>
  <c r="AP123" i="52" s="1"/>
  <c r="AP162" i="52"/>
  <c r="AP163" i="52" s="1"/>
  <c r="AP165" i="52" s="1"/>
  <c r="AP155" i="52"/>
  <c r="AP152" i="52"/>
  <c r="AP159" i="52" s="1"/>
  <c r="AQ120" i="52"/>
  <c r="AQ118" i="52"/>
  <c r="AQ115" i="52"/>
  <c r="AQ187" i="52"/>
  <c r="AQ192" i="52"/>
  <c r="AQ190" i="52"/>
  <c r="AQ154" i="52"/>
  <c r="AQ156" i="52"/>
  <c r="AQ151" i="52"/>
  <c r="AR179" i="52"/>
  <c r="AR203" i="52"/>
  <c r="AR143" i="52"/>
  <c r="AR7" i="52"/>
  <c r="AR167" i="52"/>
  <c r="AR144" i="52"/>
  <c r="AR108" i="52"/>
  <c r="AR107" i="52"/>
  <c r="AR189" i="52"/>
  <c r="AR102" i="52"/>
  <c r="AR103" i="52" s="1"/>
  <c r="AR104" i="52" s="1"/>
  <c r="AR193" i="52"/>
  <c r="AR180" i="52"/>
  <c r="AR186" i="52"/>
  <c r="AR174" i="52"/>
  <c r="AR175" i="52" s="1"/>
  <c r="AR176" i="52" s="1"/>
  <c r="AR114" i="52"/>
  <c r="AR157" i="52"/>
  <c r="AR117" i="52"/>
  <c r="AR121" i="52"/>
  <c r="AR138" i="52"/>
  <c r="AR150" i="52"/>
  <c r="AR153" i="52"/>
  <c r="AR131" i="52"/>
  <c r="AS6" i="52"/>
  <c r="AK132" i="52"/>
  <c r="AL128" i="52" s="1"/>
  <c r="AK130" i="52"/>
  <c r="AJ133" i="52"/>
  <c r="AI135" i="52"/>
  <c r="AI204" i="52"/>
  <c r="AJ200" i="52" s="1"/>
  <c r="AI202" i="52"/>
  <c r="AH216" i="52"/>
  <c r="AH205" i="52"/>
  <c r="AG217" i="52"/>
  <c r="AG207" i="52"/>
  <c r="AF219" i="52"/>
  <c r="AF220" i="52" s="1"/>
  <c r="AN213" i="52"/>
  <c r="AM124" i="52"/>
  <c r="AM214" i="52" s="1"/>
  <c r="AM212" i="52"/>
  <c r="AP104" i="52"/>
  <c r="AP106" i="52" s="1"/>
  <c r="AP210" i="52"/>
  <c r="AP105" i="52"/>
  <c r="AP110" i="52"/>
  <c r="AP177" i="52"/>
  <c r="AP182" i="52"/>
  <c r="AP176" i="52"/>
  <c r="AP146" i="52"/>
  <c r="AP141" i="52"/>
  <c r="AP140" i="52"/>
  <c r="AI134" i="52"/>
  <c r="AQ103" i="52"/>
  <c r="AQ175" i="52"/>
  <c r="AQ139" i="52"/>
  <c r="AO106" i="52"/>
  <c r="AO109" i="52" s="1"/>
  <c r="AO178" i="52"/>
  <c r="AO181" i="52" s="1"/>
  <c r="AO142" i="52"/>
  <c r="AO145" i="52" s="1"/>
  <c r="AK135" i="53"/>
  <c r="AL133" i="53"/>
  <c r="AM132" i="53"/>
  <c r="AN128" i="53" s="1"/>
  <c r="AM130" i="53"/>
  <c r="AN166" i="52"/>
  <c r="AN168" i="52"/>
  <c r="AO164" i="52" s="1"/>
  <c r="AJ107" i="51"/>
  <c r="AJ108" i="51"/>
  <c r="AQ6" i="51"/>
  <c r="AP65" i="51"/>
  <c r="AP68" i="51"/>
  <c r="AP73" i="51"/>
  <c r="AP74" i="51"/>
  <c r="AP79" i="51" s="1"/>
  <c r="AP7" i="51"/>
  <c r="AP64" i="51"/>
  <c r="AP81" i="51"/>
  <c r="AP82" i="51" s="1"/>
  <c r="AP85" i="51"/>
  <c r="AP86" i="51"/>
  <c r="AP87" i="51"/>
  <c r="AP88" i="51"/>
  <c r="AP89" i="51"/>
  <c r="AP90" i="51"/>
  <c r="AP91" i="51"/>
  <c r="AP92" i="51"/>
  <c r="AP93" i="51"/>
  <c r="AP94" i="51"/>
  <c r="AP103" i="51"/>
  <c r="AO66" i="51"/>
  <c r="AO67" i="51"/>
  <c r="AO69" i="51"/>
  <c r="AO79" i="51"/>
  <c r="AO83" i="51"/>
  <c r="AO84" i="51"/>
  <c r="AN70" i="51"/>
  <c r="AN72" i="51" s="1"/>
  <c r="AN71" i="51"/>
  <c r="AN76" i="51"/>
  <c r="AN98" i="51"/>
  <c r="AN99" i="51" s="1"/>
  <c r="AN101" i="51" s="1"/>
  <c r="AN95" i="51"/>
  <c r="AM72" i="51"/>
  <c r="AL77" i="51"/>
  <c r="AL78" i="51"/>
  <c r="AK78" i="51"/>
  <c r="AK77" i="51"/>
  <c r="AI97" i="51"/>
  <c r="AJ97" i="51" s="1"/>
  <c r="AI105" i="51"/>
  <c r="AL102" i="51"/>
  <c r="AL104" i="51"/>
  <c r="AM100" i="51" s="1"/>
  <c r="R42" i="45"/>
  <c r="S34" i="45"/>
  <c r="S36" i="45" s="1"/>
  <c r="R131" i="46" l="1"/>
  <c r="R121" i="46"/>
  <c r="S117" i="46" s="1"/>
  <c r="AO195" i="53"/>
  <c r="AR194" i="53"/>
  <c r="AR158" i="53"/>
  <c r="AR122" i="53"/>
  <c r="AP195" i="52"/>
  <c r="AS194" i="52"/>
  <c r="AS122" i="52"/>
  <c r="AS158" i="52"/>
  <c r="R103" i="46"/>
  <c r="R130" i="46"/>
  <c r="S120" i="46"/>
  <c r="S119" i="46"/>
  <c r="AP183" i="53"/>
  <c r="AP184" i="53"/>
  <c r="AP185" i="53"/>
  <c r="AP147" i="53"/>
  <c r="AP148" i="53"/>
  <c r="AP149" i="53"/>
  <c r="AP111" i="53"/>
  <c r="AP112" i="53"/>
  <c r="AP211" i="53"/>
  <c r="AP198" i="53"/>
  <c r="AP199" i="53" s="1"/>
  <c r="AP201" i="53" s="1"/>
  <c r="AP188" i="53"/>
  <c r="AP191" i="53"/>
  <c r="AP126" i="53"/>
  <c r="AP127" i="53" s="1"/>
  <c r="AP129" i="53" s="1"/>
  <c r="AP119" i="53"/>
  <c r="AP116" i="53"/>
  <c r="AP123" i="53" s="1"/>
  <c r="AP162" i="53"/>
  <c r="AP163" i="53" s="1"/>
  <c r="AP165" i="53" s="1"/>
  <c r="AP155" i="53"/>
  <c r="AP152" i="53"/>
  <c r="AP159" i="53" s="1"/>
  <c r="AQ177" i="53"/>
  <c r="AQ181" i="53" s="1"/>
  <c r="AQ182" i="53"/>
  <c r="AQ187" i="53"/>
  <c r="AQ192" i="53"/>
  <c r="AQ190" i="53"/>
  <c r="AQ141" i="53"/>
  <c r="AQ146" i="53"/>
  <c r="AQ140" i="53"/>
  <c r="AQ142" i="53" s="1"/>
  <c r="AQ145" i="53" s="1"/>
  <c r="AQ210" i="53"/>
  <c r="AQ105" i="53"/>
  <c r="AQ109" i="53" s="1"/>
  <c r="AQ110" i="53"/>
  <c r="AQ156" i="53"/>
  <c r="AQ154" i="53"/>
  <c r="AQ151" i="53"/>
  <c r="AQ120" i="53"/>
  <c r="AQ118" i="53"/>
  <c r="AQ115" i="53"/>
  <c r="AR203" i="53"/>
  <c r="AR174" i="53"/>
  <c r="AR175" i="53" s="1"/>
  <c r="AR176" i="53" s="1"/>
  <c r="AR178" i="53" s="1"/>
  <c r="AR180" i="53"/>
  <c r="AR167" i="53"/>
  <c r="AR144" i="53"/>
  <c r="AR131" i="53"/>
  <c r="AR179" i="53"/>
  <c r="AR186" i="53"/>
  <c r="AR189" i="53"/>
  <c r="AR138" i="53"/>
  <c r="AR139" i="53" s="1"/>
  <c r="AR102" i="53"/>
  <c r="AR103" i="53" s="1"/>
  <c r="AR104" i="53" s="1"/>
  <c r="AR106" i="53" s="1"/>
  <c r="AR143" i="53"/>
  <c r="AR153" i="53"/>
  <c r="AR121" i="53"/>
  <c r="AR108" i="53"/>
  <c r="AR117" i="53"/>
  <c r="AR193" i="53"/>
  <c r="AR7" i="53"/>
  <c r="AR150" i="53"/>
  <c r="AR107" i="53"/>
  <c r="AR114" i="53"/>
  <c r="AR157" i="53"/>
  <c r="AS6" i="53"/>
  <c r="AN124" i="53"/>
  <c r="AN125" i="53" s="1"/>
  <c r="AN212" i="53"/>
  <c r="AN196" i="53"/>
  <c r="AN213" i="53"/>
  <c r="AM215" i="53"/>
  <c r="AO160" i="53"/>
  <c r="AO161" i="53" s="1"/>
  <c r="AO113" i="53"/>
  <c r="AJ204" i="53"/>
  <c r="AK200" i="53" s="1"/>
  <c r="AJ202" i="53"/>
  <c r="AI216" i="53"/>
  <c r="AI205" i="53"/>
  <c r="AH217" i="53"/>
  <c r="AH207" i="53"/>
  <c r="AG218" i="53"/>
  <c r="AH218" i="53" s="1"/>
  <c r="AG219" i="53"/>
  <c r="AG220" i="53" s="1"/>
  <c r="AJ171" i="53"/>
  <c r="AK169" i="53"/>
  <c r="AL168" i="53"/>
  <c r="AM164" i="53" s="1"/>
  <c r="AL166" i="53"/>
  <c r="AJ170" i="53"/>
  <c r="AO213" i="52"/>
  <c r="AK197" i="52"/>
  <c r="AL197" i="52" s="1"/>
  <c r="AM197" i="52" s="1"/>
  <c r="AK133" i="52"/>
  <c r="AK125" i="52"/>
  <c r="AL125" i="52" s="1"/>
  <c r="AM125" i="52" s="1"/>
  <c r="AK214" i="52"/>
  <c r="AK169" i="52"/>
  <c r="AK161" i="52"/>
  <c r="AL161" i="52" s="1"/>
  <c r="AM161" i="52" s="1"/>
  <c r="AN183" i="52"/>
  <c r="AN184" i="52"/>
  <c r="AN111" i="52"/>
  <c r="AN112" i="52"/>
  <c r="AN113" i="52"/>
  <c r="AN211" i="52"/>
  <c r="AN147" i="52"/>
  <c r="AN148" i="52"/>
  <c r="AQ126" i="52"/>
  <c r="AQ127" i="52" s="1"/>
  <c r="AQ129" i="52" s="1"/>
  <c r="AQ119" i="52"/>
  <c r="AQ116" i="52"/>
  <c r="AQ123" i="52" s="1"/>
  <c r="AQ198" i="52"/>
  <c r="AQ199" i="52" s="1"/>
  <c r="AQ201" i="52" s="1"/>
  <c r="AQ191" i="52"/>
  <c r="AQ188" i="52"/>
  <c r="AQ195" i="52" s="1"/>
  <c r="AQ162" i="52"/>
  <c r="AQ163" i="52" s="1"/>
  <c r="AQ165" i="52" s="1"/>
  <c r="AQ155" i="52"/>
  <c r="AQ152" i="52"/>
  <c r="AQ159" i="52" s="1"/>
  <c r="AR110" i="52"/>
  <c r="AR105" i="52"/>
  <c r="AR192" i="52"/>
  <c r="AR187" i="52"/>
  <c r="AR190" i="52"/>
  <c r="AR182" i="52"/>
  <c r="AR177" i="52"/>
  <c r="AR115" i="52"/>
  <c r="AR120" i="52"/>
  <c r="AR118" i="52"/>
  <c r="AR156" i="52"/>
  <c r="AR151" i="52"/>
  <c r="AR154" i="52"/>
  <c r="AS186" i="52"/>
  <c r="AS180" i="52"/>
  <c r="AS174" i="52"/>
  <c r="AS203" i="52"/>
  <c r="AS102" i="52"/>
  <c r="AS193" i="52"/>
  <c r="AS189" i="52"/>
  <c r="AS107" i="52"/>
  <c r="AS108" i="52"/>
  <c r="AS144" i="52"/>
  <c r="AS167" i="52"/>
  <c r="AS7" i="52"/>
  <c r="AS114" i="52"/>
  <c r="AS179" i="52"/>
  <c r="AS143" i="52"/>
  <c r="AS157" i="52"/>
  <c r="AS117" i="52"/>
  <c r="AS121" i="52"/>
  <c r="AS131" i="52"/>
  <c r="AS138" i="52"/>
  <c r="AS139" i="52" s="1"/>
  <c r="AS140" i="52" s="1"/>
  <c r="AS150" i="52"/>
  <c r="AS153" i="52"/>
  <c r="AT6" i="52"/>
  <c r="AL132" i="52"/>
  <c r="AM128" i="52" s="1"/>
  <c r="AL130" i="52"/>
  <c r="AJ135" i="52"/>
  <c r="AJ204" i="52"/>
  <c r="AK200" i="52" s="1"/>
  <c r="AJ202" i="52"/>
  <c r="AI216" i="52"/>
  <c r="AI205" i="52"/>
  <c r="AH206" i="52"/>
  <c r="AH217" i="52"/>
  <c r="AH207" i="52"/>
  <c r="AG218" i="52"/>
  <c r="AH218" i="52" s="1"/>
  <c r="AG219" i="52"/>
  <c r="AG220" i="52" s="1"/>
  <c r="AQ110" i="52"/>
  <c r="AQ105" i="52"/>
  <c r="AQ210" i="52"/>
  <c r="AQ104" i="52"/>
  <c r="AQ177" i="52"/>
  <c r="AQ182" i="52"/>
  <c r="AQ176" i="52"/>
  <c r="AQ178" i="52" s="1"/>
  <c r="AQ146" i="52"/>
  <c r="AQ141" i="52"/>
  <c r="AQ140" i="52"/>
  <c r="AQ142" i="52" s="1"/>
  <c r="AO111" i="52"/>
  <c r="AO112" i="52"/>
  <c r="AO211" i="52"/>
  <c r="AO183" i="52"/>
  <c r="AO184" i="52"/>
  <c r="AO147" i="52"/>
  <c r="AO148" i="52"/>
  <c r="AP109" i="52"/>
  <c r="AJ134" i="52"/>
  <c r="AR139" i="52"/>
  <c r="AP178" i="52"/>
  <c r="AP181" i="52" s="1"/>
  <c r="AP142" i="52"/>
  <c r="AP145" i="52" s="1"/>
  <c r="AL134" i="53"/>
  <c r="AL135" i="53"/>
  <c r="AN130" i="53"/>
  <c r="AN132" i="53"/>
  <c r="AO128" i="53" s="1"/>
  <c r="AM133" i="53"/>
  <c r="AO166" i="52"/>
  <c r="AO168" i="52"/>
  <c r="AP164" i="52" s="1"/>
  <c r="AK80" i="51"/>
  <c r="AK96" i="51" s="1"/>
  <c r="AP66" i="51"/>
  <c r="AL80" i="51"/>
  <c r="AL96" i="51" s="1"/>
  <c r="AL105" i="51" s="1"/>
  <c r="AR6" i="51"/>
  <c r="AQ7" i="51"/>
  <c r="AQ64" i="51"/>
  <c r="AQ65" i="51"/>
  <c r="AQ68" i="51"/>
  <c r="AQ73" i="51"/>
  <c r="AQ74" i="51"/>
  <c r="AQ81" i="51"/>
  <c r="AQ82" i="51" s="1"/>
  <c r="AQ85" i="51"/>
  <c r="AQ86" i="51"/>
  <c r="AQ87" i="51"/>
  <c r="AQ88" i="51"/>
  <c r="AQ89" i="51"/>
  <c r="AQ90" i="51"/>
  <c r="AQ91" i="51"/>
  <c r="AQ92" i="51"/>
  <c r="AQ93" i="51"/>
  <c r="AQ94" i="51"/>
  <c r="AQ103" i="51"/>
  <c r="AP67" i="51"/>
  <c r="AP69" i="51"/>
  <c r="AP83" i="51"/>
  <c r="AP84" i="51"/>
  <c r="AO70" i="51"/>
  <c r="AO71" i="51"/>
  <c r="AO76" i="51"/>
  <c r="AO98" i="51"/>
  <c r="AO99" i="51" s="1"/>
  <c r="AO101" i="51" s="1"/>
  <c r="AO95" i="51"/>
  <c r="AN75" i="51"/>
  <c r="AM75" i="51"/>
  <c r="AI106" i="51"/>
  <c r="AJ106" i="51" s="1"/>
  <c r="AI107" i="51"/>
  <c r="AI108" i="51"/>
  <c r="AM102" i="51"/>
  <c r="AM104" i="51"/>
  <c r="AN100" i="51" s="1"/>
  <c r="S42" i="45"/>
  <c r="T34" i="45"/>
  <c r="T36" i="45" s="1"/>
  <c r="AP195" i="53" l="1"/>
  <c r="AS194" i="53"/>
  <c r="AS122" i="53"/>
  <c r="AS158" i="53"/>
  <c r="AT194" i="52"/>
  <c r="AT122" i="52"/>
  <c r="AT158" i="52"/>
  <c r="S103" i="46"/>
  <c r="S130" i="46"/>
  <c r="S131" i="46"/>
  <c r="S121" i="46"/>
  <c r="T117" i="46" s="1"/>
  <c r="AK170" i="53"/>
  <c r="AO113" i="52"/>
  <c r="AK134" i="52"/>
  <c r="AR140" i="52"/>
  <c r="AR210" i="52"/>
  <c r="AQ183" i="53"/>
  <c r="AQ184" i="53"/>
  <c r="AQ185" i="53" s="1"/>
  <c r="AQ198" i="53"/>
  <c r="AQ199" i="53" s="1"/>
  <c r="AQ201" i="53" s="1"/>
  <c r="AQ188" i="53"/>
  <c r="AQ191" i="53"/>
  <c r="AQ147" i="53"/>
  <c r="AQ148" i="53"/>
  <c r="AQ149" i="53"/>
  <c r="AQ111" i="53"/>
  <c r="AQ112" i="53"/>
  <c r="AQ211" i="53"/>
  <c r="AQ162" i="53"/>
  <c r="AQ163" i="53" s="1"/>
  <c r="AQ165" i="53" s="1"/>
  <c r="AQ155" i="53"/>
  <c r="AQ152" i="53"/>
  <c r="AQ159" i="53" s="1"/>
  <c r="AQ126" i="53"/>
  <c r="AQ127" i="53" s="1"/>
  <c r="AQ129" i="53" s="1"/>
  <c r="AQ119" i="53"/>
  <c r="AQ116" i="53"/>
  <c r="AQ123" i="53" s="1"/>
  <c r="AR177" i="53"/>
  <c r="AR181" i="53" s="1"/>
  <c r="AR182" i="53"/>
  <c r="AR190" i="53"/>
  <c r="AR192" i="53"/>
  <c r="AR187" i="53"/>
  <c r="AR141" i="53"/>
  <c r="AR146" i="53"/>
  <c r="AR140" i="53"/>
  <c r="AR142" i="53" s="1"/>
  <c r="AR210" i="53"/>
  <c r="AR105" i="53"/>
  <c r="AR109" i="53" s="1"/>
  <c r="AR110" i="53"/>
  <c r="AR156" i="53"/>
  <c r="AR154" i="53"/>
  <c r="AR151" i="53"/>
  <c r="AR120" i="53"/>
  <c r="AR118" i="53"/>
  <c r="AR115" i="53"/>
  <c r="AS203" i="53"/>
  <c r="AS180" i="53"/>
  <c r="AS174" i="53"/>
  <c r="AS175" i="53" s="1"/>
  <c r="AS176" i="53" s="1"/>
  <c r="AS178" i="53" s="1"/>
  <c r="AS167" i="53"/>
  <c r="AS144" i="53"/>
  <c r="AS131" i="53"/>
  <c r="AS179" i="53"/>
  <c r="AS143" i="53"/>
  <c r="AS102" i="53"/>
  <c r="AS103" i="53" s="1"/>
  <c r="AS104" i="53" s="1"/>
  <c r="AS106" i="53" s="1"/>
  <c r="AS189" i="53"/>
  <c r="AS186" i="53"/>
  <c r="AS150" i="53"/>
  <c r="AS107" i="53"/>
  <c r="AS108" i="53"/>
  <c r="AS193" i="53"/>
  <c r="AS114" i="53"/>
  <c r="AS121" i="53"/>
  <c r="AS153" i="53"/>
  <c r="AS117" i="53"/>
  <c r="AS7" i="53"/>
  <c r="AS138" i="53"/>
  <c r="AS139" i="53" s="1"/>
  <c r="AS140" i="53" s="1"/>
  <c r="AS157" i="53"/>
  <c r="AT6" i="53"/>
  <c r="AN197" i="53"/>
  <c r="AN214" i="53"/>
  <c r="AN215" i="53" s="1"/>
  <c r="AO196" i="53"/>
  <c r="AO213" i="53"/>
  <c r="AO124" i="53"/>
  <c r="AO125" i="53" s="1"/>
  <c r="AO212" i="53"/>
  <c r="AP160" i="53"/>
  <c r="AP161" i="53" s="1"/>
  <c r="AP113" i="53"/>
  <c r="AK202" i="53"/>
  <c r="AK204" i="53"/>
  <c r="AL200" i="53" s="1"/>
  <c r="AJ216" i="53"/>
  <c r="AJ205" i="53"/>
  <c r="AI217" i="53"/>
  <c r="AI206" i="53"/>
  <c r="AJ206" i="53" s="1"/>
  <c r="AI207" i="53"/>
  <c r="AH219" i="53"/>
  <c r="AH220" i="53" s="1"/>
  <c r="AK171" i="53"/>
  <c r="AM168" i="53"/>
  <c r="AN164" i="53" s="1"/>
  <c r="AM166" i="53"/>
  <c r="AL169" i="53"/>
  <c r="AP213" i="52"/>
  <c r="AI206" i="52"/>
  <c r="AK135" i="52"/>
  <c r="AK215" i="52"/>
  <c r="AL215" i="52" s="1"/>
  <c r="AM215" i="52" s="1"/>
  <c r="AK170" i="52"/>
  <c r="AL170" i="52" s="1"/>
  <c r="AM170" i="52" s="1"/>
  <c r="AK171" i="52"/>
  <c r="AN185" i="52"/>
  <c r="AN124" i="52"/>
  <c r="AN149" i="52"/>
  <c r="AN212" i="52" s="1"/>
  <c r="AR198" i="52"/>
  <c r="AR199" i="52" s="1"/>
  <c r="AR201" i="52" s="1"/>
  <c r="AR191" i="52"/>
  <c r="AR188" i="52"/>
  <c r="AR195" i="52" s="1"/>
  <c r="AR126" i="52"/>
  <c r="AR127" i="52" s="1"/>
  <c r="AR129" i="52" s="1"/>
  <c r="AR119" i="52"/>
  <c r="AR116" i="52"/>
  <c r="AR162" i="52"/>
  <c r="AR163" i="52" s="1"/>
  <c r="AR165" i="52" s="1"/>
  <c r="AR155" i="52"/>
  <c r="AR152" i="52"/>
  <c r="AR159" i="52" s="1"/>
  <c r="AS192" i="52"/>
  <c r="AS187" i="52"/>
  <c r="AS190" i="52"/>
  <c r="AS175" i="52"/>
  <c r="AS103" i="52"/>
  <c r="AS115" i="52"/>
  <c r="AS118" i="52"/>
  <c r="AS120" i="52"/>
  <c r="AS146" i="52"/>
  <c r="AS141" i="52"/>
  <c r="AS151" i="52"/>
  <c r="AS154" i="52"/>
  <c r="AS156" i="52"/>
  <c r="AT186" i="52"/>
  <c r="AT102" i="52"/>
  <c r="AT143" i="52"/>
  <c r="AT193" i="52"/>
  <c r="AT107" i="52"/>
  <c r="AT180" i="52"/>
  <c r="AT189" i="52"/>
  <c r="AT7" i="52"/>
  <c r="AT114" i="52"/>
  <c r="AT167" i="52"/>
  <c r="AT179" i="52"/>
  <c r="AT144" i="52"/>
  <c r="AT203" i="52"/>
  <c r="AT108" i="52"/>
  <c r="AT174" i="52"/>
  <c r="AT157" i="52"/>
  <c r="AT117" i="52"/>
  <c r="AT121" i="52"/>
  <c r="AT138" i="52"/>
  <c r="AT150" i="52"/>
  <c r="AT153" i="52"/>
  <c r="AT131" i="52"/>
  <c r="AU6" i="52"/>
  <c r="AM132" i="52"/>
  <c r="AN128" i="52" s="1"/>
  <c r="AM130" i="52"/>
  <c r="AL133" i="52"/>
  <c r="AK204" i="52"/>
  <c r="AL200" i="52" s="1"/>
  <c r="AK202" i="52"/>
  <c r="AJ216" i="52"/>
  <c r="AJ205" i="52"/>
  <c r="AI217" i="52"/>
  <c r="AI207" i="52"/>
  <c r="AH219" i="52"/>
  <c r="AH220" i="52" s="1"/>
  <c r="AQ106" i="52"/>
  <c r="AR106" i="52"/>
  <c r="AR109" i="52" s="1"/>
  <c r="AP211" i="52"/>
  <c r="AP112" i="52"/>
  <c r="AP111" i="52"/>
  <c r="AR146" i="52"/>
  <c r="AR141" i="52"/>
  <c r="AP184" i="52"/>
  <c r="AP183" i="52"/>
  <c r="AQ181" i="52"/>
  <c r="AP147" i="52"/>
  <c r="AP148" i="52"/>
  <c r="AQ145" i="52"/>
  <c r="AO185" i="52"/>
  <c r="AO196" i="52" s="1"/>
  <c r="AO149" i="52"/>
  <c r="AO160" i="52" s="1"/>
  <c r="AO169" i="52" s="1"/>
  <c r="AO171" i="52" s="1"/>
  <c r="AR178" i="52"/>
  <c r="AR181" i="52" s="1"/>
  <c r="AN133" i="53"/>
  <c r="AO130" i="53"/>
  <c r="AO132" i="53"/>
  <c r="AP128" i="53" s="1"/>
  <c r="AM135" i="53"/>
  <c r="AP166" i="52"/>
  <c r="AP168" i="52"/>
  <c r="AQ164" i="52" s="1"/>
  <c r="AM134" i="53"/>
  <c r="AL107" i="51"/>
  <c r="AL108" i="51"/>
  <c r="AS6" i="51"/>
  <c r="AR64" i="51"/>
  <c r="AR65" i="51"/>
  <c r="AR68" i="51"/>
  <c r="AR73" i="51"/>
  <c r="AR74" i="51"/>
  <c r="AR7" i="51"/>
  <c r="AR81" i="51"/>
  <c r="AR82" i="51" s="1"/>
  <c r="AR85" i="51"/>
  <c r="AR86" i="51"/>
  <c r="AR87" i="51"/>
  <c r="AR88" i="51"/>
  <c r="AR89" i="51"/>
  <c r="AR90" i="51"/>
  <c r="AR91" i="51"/>
  <c r="AR92" i="51"/>
  <c r="AR93" i="51"/>
  <c r="AR94" i="51"/>
  <c r="AR103" i="51"/>
  <c r="AQ66" i="51"/>
  <c r="AQ67" i="51"/>
  <c r="AQ69" i="51"/>
  <c r="AQ79" i="51"/>
  <c r="AQ83" i="51"/>
  <c r="AQ84" i="51"/>
  <c r="AP70" i="51"/>
  <c r="AP72" i="51" s="1"/>
  <c r="AP71" i="51"/>
  <c r="AP76" i="51"/>
  <c r="AP98" i="51"/>
  <c r="AP99" i="51" s="1"/>
  <c r="AP101" i="51" s="1"/>
  <c r="AP95" i="51"/>
  <c r="AO72" i="51"/>
  <c r="AN77" i="51"/>
  <c r="AN78" i="51"/>
  <c r="AM78" i="51"/>
  <c r="AM77" i="51"/>
  <c r="AM80" i="51" s="1"/>
  <c r="AK97" i="51"/>
  <c r="AL97" i="51" s="1"/>
  <c r="AK105" i="51"/>
  <c r="AN102" i="51"/>
  <c r="AN104" i="51"/>
  <c r="AO100" i="51" s="1"/>
  <c r="T42" i="45"/>
  <c r="U34" i="45"/>
  <c r="U36" i="45" s="1"/>
  <c r="AQ195" i="53" l="1"/>
  <c r="AT194" i="53"/>
  <c r="AT122" i="53"/>
  <c r="AT158" i="53"/>
  <c r="AR123" i="52"/>
  <c r="AU194" i="52"/>
  <c r="AU122" i="52"/>
  <c r="AU158" i="52"/>
  <c r="T119" i="46"/>
  <c r="T120" i="46"/>
  <c r="T121" i="46" s="1"/>
  <c r="U117" i="46" s="1"/>
  <c r="AR142" i="52"/>
  <c r="AS142" i="52"/>
  <c r="AS145" i="52" s="1"/>
  <c r="AO212" i="52"/>
  <c r="AO124" i="52"/>
  <c r="AO214" i="52" s="1"/>
  <c r="AS142" i="53"/>
  <c r="AR145" i="53"/>
  <c r="AR211" i="53" s="1"/>
  <c r="AO197" i="53"/>
  <c r="AR183" i="53"/>
  <c r="AR184" i="53"/>
  <c r="AR185" i="53"/>
  <c r="AR198" i="53"/>
  <c r="AR199" i="53" s="1"/>
  <c r="AR201" i="53" s="1"/>
  <c r="AR188" i="53"/>
  <c r="AR195" i="53" s="1"/>
  <c r="AR191" i="53"/>
  <c r="AR147" i="53"/>
  <c r="AR148" i="53"/>
  <c r="AR149" i="53"/>
  <c r="AR112" i="53"/>
  <c r="AR111" i="53"/>
  <c r="AR113" i="53" s="1"/>
  <c r="AR162" i="53"/>
  <c r="AR163" i="53" s="1"/>
  <c r="AR165" i="53" s="1"/>
  <c r="AR155" i="53"/>
  <c r="AR152" i="53"/>
  <c r="AR159" i="53" s="1"/>
  <c r="AR126" i="53"/>
  <c r="AR127" i="53" s="1"/>
  <c r="AR129" i="53" s="1"/>
  <c r="AR119" i="53"/>
  <c r="AR116" i="53"/>
  <c r="AR123" i="53" s="1"/>
  <c r="AS177" i="53"/>
  <c r="AS181" i="53" s="1"/>
  <c r="AS182" i="53"/>
  <c r="AS210" i="53"/>
  <c r="AS105" i="53"/>
  <c r="AS109" i="53" s="1"/>
  <c r="AS110" i="53"/>
  <c r="AS187" i="53"/>
  <c r="AS192" i="53"/>
  <c r="AS190" i="53"/>
  <c r="AS156" i="53"/>
  <c r="AS154" i="53"/>
  <c r="AS151" i="53"/>
  <c r="AS120" i="53"/>
  <c r="AS118" i="53"/>
  <c r="AS115" i="53"/>
  <c r="AS141" i="53"/>
  <c r="AS145" i="53" s="1"/>
  <c r="AS146" i="53"/>
  <c r="AT203" i="53"/>
  <c r="AT180" i="53"/>
  <c r="AT167" i="53"/>
  <c r="AT174" i="53"/>
  <c r="AT175" i="53" s="1"/>
  <c r="AT176" i="53" s="1"/>
  <c r="AT178" i="53" s="1"/>
  <c r="AT144" i="53"/>
  <c r="AT131" i="53"/>
  <c r="AT179" i="53"/>
  <c r="AT143" i="53"/>
  <c r="AT102" i="53"/>
  <c r="AT103" i="53" s="1"/>
  <c r="AT104" i="53" s="1"/>
  <c r="AT106" i="53" s="1"/>
  <c r="AT189" i="53"/>
  <c r="AT186" i="53"/>
  <c r="AT150" i="53"/>
  <c r="AT114" i="53"/>
  <c r="AT7" i="53"/>
  <c r="AT117" i="53"/>
  <c r="AT107" i="53"/>
  <c r="AT121" i="53"/>
  <c r="AT108" i="53"/>
  <c r="AT153" i="53"/>
  <c r="AT193" i="53"/>
  <c r="AT157" i="53"/>
  <c r="AU6" i="53"/>
  <c r="AT138" i="53"/>
  <c r="AT139" i="53" s="1"/>
  <c r="AT140" i="53" s="1"/>
  <c r="AT142" i="53" s="1"/>
  <c r="AP124" i="53"/>
  <c r="AP125" i="53" s="1"/>
  <c r="AP212" i="53"/>
  <c r="AP196" i="53"/>
  <c r="AP213" i="53"/>
  <c r="AO214" i="53"/>
  <c r="AO215" i="53" s="1"/>
  <c r="AQ160" i="53"/>
  <c r="AQ161" i="53" s="1"/>
  <c r="AQ113" i="53"/>
  <c r="AK216" i="53"/>
  <c r="AK205" i="53"/>
  <c r="AL204" i="53"/>
  <c r="AM200" i="53" s="1"/>
  <c r="AL202" i="53"/>
  <c r="AJ217" i="53"/>
  <c r="AJ207" i="53"/>
  <c r="AI218" i="53"/>
  <c r="AJ218" i="53" s="1"/>
  <c r="AI219" i="53"/>
  <c r="AI220" i="53" s="1"/>
  <c r="AN168" i="53"/>
  <c r="AO164" i="53" s="1"/>
  <c r="AN166" i="53"/>
  <c r="AM169" i="53"/>
  <c r="AL170" i="53"/>
  <c r="AL171" i="53"/>
  <c r="AN196" i="52"/>
  <c r="AN125" i="52"/>
  <c r="AN160" i="52"/>
  <c r="AN214" i="52" s="1"/>
  <c r="AS198" i="52"/>
  <c r="AS199" i="52" s="1"/>
  <c r="AS201" i="52" s="1"/>
  <c r="AS191" i="52"/>
  <c r="AS188" i="52"/>
  <c r="AS195" i="52" s="1"/>
  <c r="AS177" i="52"/>
  <c r="AS182" i="52"/>
  <c r="AS176" i="52"/>
  <c r="AS110" i="52"/>
  <c r="AS210" i="52"/>
  <c r="AS105" i="52"/>
  <c r="AS104" i="52"/>
  <c r="AS126" i="52"/>
  <c r="AS127" i="52" s="1"/>
  <c r="AS129" i="52" s="1"/>
  <c r="AS116" i="52"/>
  <c r="AS119" i="52"/>
  <c r="AS162" i="52"/>
  <c r="AS163" i="52" s="1"/>
  <c r="AS165" i="52" s="1"/>
  <c r="AS155" i="52"/>
  <c r="AS152" i="52"/>
  <c r="AS159" i="52" s="1"/>
  <c r="AT190" i="52"/>
  <c r="AT192" i="52"/>
  <c r="AT187" i="52"/>
  <c r="AT120" i="52"/>
  <c r="AT118" i="52"/>
  <c r="AT115" i="52"/>
  <c r="AT139" i="52"/>
  <c r="AT156" i="52"/>
  <c r="AT154" i="52"/>
  <c r="AT151" i="52"/>
  <c r="AU179" i="52"/>
  <c r="AU174" i="52"/>
  <c r="AU186" i="52"/>
  <c r="AU203" i="52"/>
  <c r="AU144" i="52"/>
  <c r="AU114" i="52"/>
  <c r="AU167" i="52"/>
  <c r="AU189" i="52"/>
  <c r="AU107" i="52"/>
  <c r="AU7" i="52"/>
  <c r="AU193" i="52"/>
  <c r="AU180" i="52"/>
  <c r="AU143" i="52"/>
  <c r="AU102" i="52"/>
  <c r="AU103" i="52" s="1"/>
  <c r="AU108" i="52"/>
  <c r="AU131" i="52"/>
  <c r="AU157" i="52"/>
  <c r="AU117" i="52"/>
  <c r="AU121" i="52"/>
  <c r="AU138" i="52"/>
  <c r="AU150" i="52"/>
  <c r="AU153" i="52"/>
  <c r="AV6" i="52"/>
  <c r="AN132" i="52"/>
  <c r="AO128" i="52" s="1"/>
  <c r="AN130" i="52"/>
  <c r="AM133" i="52"/>
  <c r="AL135" i="52"/>
  <c r="AL134" i="52"/>
  <c r="AL202" i="52"/>
  <c r="AL204" i="52"/>
  <c r="AM200" i="52" s="1"/>
  <c r="AK216" i="52"/>
  <c r="AK205" i="52"/>
  <c r="AJ206" i="52"/>
  <c r="AK206" i="52" s="1"/>
  <c r="AJ217" i="52"/>
  <c r="AJ207" i="52"/>
  <c r="AI218" i="52"/>
  <c r="AJ218" i="52" s="1"/>
  <c r="AI219" i="52"/>
  <c r="AI220" i="52" s="1"/>
  <c r="AQ109" i="52"/>
  <c r="AR112" i="52"/>
  <c r="AR111" i="52"/>
  <c r="AR113" i="52" s="1"/>
  <c r="AR145" i="52"/>
  <c r="AR211" i="52" s="1"/>
  <c r="AQ183" i="52"/>
  <c r="AQ184" i="52"/>
  <c r="AQ148" i="52"/>
  <c r="AQ147" i="52"/>
  <c r="AQ213" i="52"/>
  <c r="AR183" i="52"/>
  <c r="AR184" i="52"/>
  <c r="AP149" i="52"/>
  <c r="AT103" i="52"/>
  <c r="AT175" i="52"/>
  <c r="AP113" i="52"/>
  <c r="AP185" i="52"/>
  <c r="AP196" i="52" s="1"/>
  <c r="AN135" i="53"/>
  <c r="AO133" i="53"/>
  <c r="AP132" i="53"/>
  <c r="AQ128" i="53" s="1"/>
  <c r="AP130" i="53"/>
  <c r="AQ166" i="52"/>
  <c r="AQ168" i="52"/>
  <c r="AR164" i="52" s="1"/>
  <c r="AN134" i="53"/>
  <c r="AN80" i="51"/>
  <c r="AN96" i="51" s="1"/>
  <c r="AN105" i="51" s="1"/>
  <c r="AT6" i="51"/>
  <c r="AS7" i="51"/>
  <c r="AS65" i="51"/>
  <c r="AS68" i="51"/>
  <c r="AS74" i="51"/>
  <c r="AS64" i="51"/>
  <c r="AS81" i="51"/>
  <c r="AS82" i="51" s="1"/>
  <c r="AS85" i="51"/>
  <c r="AS86" i="51"/>
  <c r="AS87" i="51"/>
  <c r="AS88" i="51"/>
  <c r="AS89" i="51"/>
  <c r="AS90" i="51"/>
  <c r="AS91" i="51"/>
  <c r="AS92" i="51"/>
  <c r="AS93" i="51"/>
  <c r="AS94" i="51"/>
  <c r="AS103" i="51"/>
  <c r="AR67" i="51"/>
  <c r="AR69" i="51"/>
  <c r="AR83" i="51"/>
  <c r="AR84" i="51"/>
  <c r="AQ70" i="51"/>
  <c r="AQ71" i="51"/>
  <c r="AQ76" i="51"/>
  <c r="AQ98" i="51"/>
  <c r="AQ99" i="51" s="1"/>
  <c r="AQ101" i="51" s="1"/>
  <c r="AQ95" i="51"/>
  <c r="AP75" i="51"/>
  <c r="AO75" i="51"/>
  <c r="AM96" i="51"/>
  <c r="AK106" i="51"/>
  <c r="AL106" i="51" s="1"/>
  <c r="AK107" i="51"/>
  <c r="AK108" i="51"/>
  <c r="AO102" i="51"/>
  <c r="AO104" i="51"/>
  <c r="AP100" i="51" s="1"/>
  <c r="AR66" i="51"/>
  <c r="AR79" i="51"/>
  <c r="U42" i="45"/>
  <c r="V34" i="45"/>
  <c r="V36" i="45" s="1"/>
  <c r="AU194" i="53" l="1"/>
  <c r="AU122" i="53"/>
  <c r="AU158" i="53"/>
  <c r="AS123" i="52"/>
  <c r="AM134" i="52"/>
  <c r="AV194" i="52"/>
  <c r="AV122" i="52"/>
  <c r="AV158" i="52"/>
  <c r="T130" i="46"/>
  <c r="T103" i="46"/>
  <c r="T131" i="46"/>
  <c r="U119" i="46"/>
  <c r="U120" i="46"/>
  <c r="AO125" i="52"/>
  <c r="AQ185" i="52"/>
  <c r="AQ196" i="52" s="1"/>
  <c r="AR212" i="53"/>
  <c r="AR124" i="53"/>
  <c r="AS183" i="53"/>
  <c r="AS184" i="53"/>
  <c r="AS185" i="53"/>
  <c r="AS112" i="53"/>
  <c r="AS111" i="53"/>
  <c r="AS113" i="53" s="1"/>
  <c r="AS211" i="53"/>
  <c r="AS198" i="53"/>
  <c r="AS199" i="53" s="1"/>
  <c r="AS201" i="53" s="1"/>
  <c r="AS188" i="53"/>
  <c r="AS195" i="53" s="1"/>
  <c r="AS191" i="53"/>
  <c r="AS162" i="53"/>
  <c r="AS163" i="53" s="1"/>
  <c r="AS165" i="53" s="1"/>
  <c r="AS155" i="53"/>
  <c r="AS152" i="53"/>
  <c r="AS159" i="53" s="1"/>
  <c r="AS126" i="53"/>
  <c r="AS127" i="53" s="1"/>
  <c r="AS129" i="53" s="1"/>
  <c r="AS119" i="53"/>
  <c r="AS116" i="53"/>
  <c r="AS123" i="53" s="1"/>
  <c r="AS147" i="53"/>
  <c r="AS148" i="53"/>
  <c r="AS149" i="53"/>
  <c r="AT182" i="53"/>
  <c r="AT177" i="53"/>
  <c r="AT181" i="53" s="1"/>
  <c r="AT210" i="53"/>
  <c r="AT110" i="53"/>
  <c r="AT105" i="53"/>
  <c r="AT109" i="53" s="1"/>
  <c r="AT187" i="53"/>
  <c r="AT190" i="53"/>
  <c r="AT192" i="53"/>
  <c r="AT156" i="53"/>
  <c r="AT154" i="53"/>
  <c r="AT151" i="53"/>
  <c r="AT120" i="53"/>
  <c r="AT118" i="53"/>
  <c r="AT115" i="53"/>
  <c r="AU203" i="53"/>
  <c r="AU180" i="53"/>
  <c r="AU174" i="53"/>
  <c r="AU175" i="53" s="1"/>
  <c r="AU176" i="53" s="1"/>
  <c r="AU178" i="53" s="1"/>
  <c r="AU167" i="53"/>
  <c r="AU144" i="53"/>
  <c r="AU131" i="53"/>
  <c r="AU179" i="53"/>
  <c r="AU186" i="53"/>
  <c r="AU143" i="53"/>
  <c r="AU102" i="53"/>
  <c r="AU103" i="53" s="1"/>
  <c r="AU104" i="53" s="1"/>
  <c r="AU106" i="53" s="1"/>
  <c r="AU189" i="53"/>
  <c r="AU117" i="53"/>
  <c r="AU7" i="53"/>
  <c r="AU107" i="53"/>
  <c r="AU114" i="53"/>
  <c r="AU121" i="53"/>
  <c r="AU108" i="53"/>
  <c r="AU150" i="53"/>
  <c r="AU153" i="53"/>
  <c r="AU193" i="53"/>
  <c r="AU138" i="53"/>
  <c r="AU139" i="53" s="1"/>
  <c r="AU140" i="53" s="1"/>
  <c r="AU142" i="53" s="1"/>
  <c r="AV6" i="53"/>
  <c r="AU157" i="53"/>
  <c r="AT141" i="53"/>
  <c r="AT145" i="53" s="1"/>
  <c r="AT146" i="53"/>
  <c r="AP197" i="53"/>
  <c r="AP214" i="53"/>
  <c r="AP215" i="53" s="1"/>
  <c r="AQ196" i="53"/>
  <c r="AQ213" i="53"/>
  <c r="AQ124" i="53"/>
  <c r="AQ125" i="53" s="1"/>
  <c r="AR125" i="53" s="1"/>
  <c r="AQ212" i="53"/>
  <c r="AR160" i="53"/>
  <c r="AR161" i="53" s="1"/>
  <c r="AK206" i="53"/>
  <c r="AK217" i="53"/>
  <c r="AK207" i="53"/>
  <c r="AM204" i="53"/>
  <c r="AN200" i="53" s="1"/>
  <c r="AM202" i="53"/>
  <c r="AL216" i="53"/>
  <c r="AL205" i="53"/>
  <c r="AJ219" i="53"/>
  <c r="AJ220" i="53" s="1"/>
  <c r="AO168" i="53"/>
  <c r="AP164" i="53" s="1"/>
  <c r="AO166" i="53"/>
  <c r="AN169" i="53"/>
  <c r="AM171" i="53"/>
  <c r="AM170" i="53"/>
  <c r="AN170" i="53" s="1"/>
  <c r="AO134" i="53"/>
  <c r="AR185" i="52"/>
  <c r="AR196" i="52" s="1"/>
  <c r="AN197" i="52"/>
  <c r="AO197" i="52" s="1"/>
  <c r="AP197" i="52" s="1"/>
  <c r="AN215" i="52"/>
  <c r="AO215" i="52" s="1"/>
  <c r="AN169" i="52"/>
  <c r="AN161" i="52"/>
  <c r="AO161" i="52" s="1"/>
  <c r="AR213" i="52"/>
  <c r="AS178" i="52"/>
  <c r="AS106" i="52"/>
  <c r="AT198" i="52"/>
  <c r="AT199" i="52" s="1"/>
  <c r="AT201" i="52" s="1"/>
  <c r="AT191" i="52"/>
  <c r="AT188" i="52"/>
  <c r="AT195" i="52" s="1"/>
  <c r="AT126" i="52"/>
  <c r="AT127" i="52" s="1"/>
  <c r="AT129" i="52" s="1"/>
  <c r="AT119" i="52"/>
  <c r="AT116" i="52"/>
  <c r="AT123" i="52" s="1"/>
  <c r="AT140" i="52"/>
  <c r="AT146" i="52"/>
  <c r="AT141" i="52"/>
  <c r="AT162" i="52"/>
  <c r="AT163" i="52" s="1"/>
  <c r="AT165" i="52" s="1"/>
  <c r="AT155" i="52"/>
  <c r="AT152" i="52"/>
  <c r="AT159" i="52" s="1"/>
  <c r="AU190" i="52"/>
  <c r="AU192" i="52"/>
  <c r="AU187" i="52"/>
  <c r="AU115" i="52"/>
  <c r="AU118" i="52"/>
  <c r="AU120" i="52"/>
  <c r="AU105" i="52"/>
  <c r="AU110" i="52"/>
  <c r="AU151" i="52"/>
  <c r="AU154" i="52"/>
  <c r="AU156" i="52"/>
  <c r="AV203" i="52"/>
  <c r="AV102" i="52"/>
  <c r="AV174" i="52"/>
  <c r="AV175" i="52" s="1"/>
  <c r="AV179" i="52"/>
  <c r="AV143" i="52"/>
  <c r="AV167" i="52"/>
  <c r="AV144" i="52"/>
  <c r="AV186" i="52"/>
  <c r="AV114" i="52"/>
  <c r="AV108" i="52"/>
  <c r="AV193" i="52"/>
  <c r="AV189" i="52"/>
  <c r="AV180" i="52"/>
  <c r="AV107" i="52"/>
  <c r="AV7" i="52"/>
  <c r="AV157" i="52"/>
  <c r="AV117" i="52"/>
  <c r="AV121" i="52"/>
  <c r="AV131" i="52"/>
  <c r="AV138" i="52"/>
  <c r="AV139" i="52" s="1"/>
  <c r="AV150" i="52"/>
  <c r="AV153" i="52"/>
  <c r="AW6" i="52"/>
  <c r="AO132" i="52"/>
  <c r="AP128" i="52" s="1"/>
  <c r="AO130" i="52"/>
  <c r="AN133" i="52"/>
  <c r="AM135" i="52"/>
  <c r="AL216" i="52"/>
  <c r="AL205" i="52"/>
  <c r="AM204" i="52"/>
  <c r="AN200" i="52" s="1"/>
  <c r="AM202" i="52"/>
  <c r="AK217" i="52"/>
  <c r="AK207" i="52"/>
  <c r="AJ219" i="52"/>
  <c r="AJ220" i="52" s="1"/>
  <c r="AQ111" i="52"/>
  <c r="AQ112" i="52"/>
  <c r="AQ211" i="52"/>
  <c r="AR124" i="52"/>
  <c r="AR148" i="52"/>
  <c r="AR147" i="52"/>
  <c r="AR149" i="52" s="1"/>
  <c r="AQ149" i="52"/>
  <c r="AQ160" i="52" s="1"/>
  <c r="AS147" i="52"/>
  <c r="AS148" i="52"/>
  <c r="AT104" i="52"/>
  <c r="AT110" i="52"/>
  <c r="AT210" i="52"/>
  <c r="AT105" i="52"/>
  <c r="AT177" i="52"/>
  <c r="AT182" i="52"/>
  <c r="AT176" i="52"/>
  <c r="AP124" i="52"/>
  <c r="AP212" i="52"/>
  <c r="AU175" i="52"/>
  <c r="AU104" i="52"/>
  <c r="AU139" i="52"/>
  <c r="AP160" i="52"/>
  <c r="AP169" i="52" s="1"/>
  <c r="AP171" i="52" s="1"/>
  <c r="AO135" i="53"/>
  <c r="AQ130" i="53"/>
  <c r="AQ132" i="53"/>
  <c r="AR128" i="53" s="1"/>
  <c r="AP133" i="53"/>
  <c r="AR166" i="52"/>
  <c r="AR168" i="52"/>
  <c r="AS164" i="52" s="1"/>
  <c r="AS66" i="51"/>
  <c r="AU6" i="51"/>
  <c r="AT64" i="51"/>
  <c r="AT65" i="51"/>
  <c r="AT68" i="51"/>
  <c r="AT74" i="51"/>
  <c r="AT79" i="51" s="1"/>
  <c r="AT7" i="51"/>
  <c r="AT81" i="51"/>
  <c r="AT82" i="51" s="1"/>
  <c r="AT85" i="51"/>
  <c r="AT86" i="51"/>
  <c r="AT87" i="51"/>
  <c r="AT88" i="51"/>
  <c r="AT89" i="51"/>
  <c r="AT90" i="51"/>
  <c r="AT91" i="51"/>
  <c r="AT92" i="51"/>
  <c r="AT93" i="51"/>
  <c r="AT94" i="51"/>
  <c r="AT103" i="51"/>
  <c r="AS67" i="51"/>
  <c r="AS69" i="51"/>
  <c r="AS83" i="51"/>
  <c r="AS84" i="51"/>
  <c r="AR70" i="51"/>
  <c r="AR71" i="51"/>
  <c r="AR76" i="51"/>
  <c r="AR98" i="51"/>
  <c r="AR99" i="51" s="1"/>
  <c r="AR101" i="51" s="1"/>
  <c r="AR95" i="51"/>
  <c r="AR72" i="51"/>
  <c r="AQ72" i="51"/>
  <c r="AP77" i="51"/>
  <c r="AP78" i="51"/>
  <c r="AO78" i="51"/>
  <c r="AO77" i="51"/>
  <c r="AO80" i="51" s="1"/>
  <c r="AM97" i="51"/>
  <c r="AN97" i="51" s="1"/>
  <c r="AM105" i="51"/>
  <c r="AP102" i="51"/>
  <c r="AP104" i="51"/>
  <c r="AQ100" i="51" s="1"/>
  <c r="AN107" i="51"/>
  <c r="AN108" i="51"/>
  <c r="AS79" i="51"/>
  <c r="V42" i="45"/>
  <c r="W34" i="45"/>
  <c r="W36" i="45" s="1"/>
  <c r="AS160" i="53" l="1"/>
  <c r="AV194" i="53"/>
  <c r="AV122" i="53"/>
  <c r="AV158" i="53"/>
  <c r="AU210" i="52"/>
  <c r="AW194" i="52"/>
  <c r="AW122" i="52"/>
  <c r="AW158" i="52"/>
  <c r="U103" i="46"/>
  <c r="U130" i="46"/>
  <c r="U131" i="46"/>
  <c r="U121" i="46"/>
  <c r="V117" i="46" s="1"/>
  <c r="AQ197" i="52"/>
  <c r="AR197" i="52" s="1"/>
  <c r="AQ197" i="53"/>
  <c r="AS212" i="53"/>
  <c r="AS124" i="53"/>
  <c r="AS125" i="53" s="1"/>
  <c r="AT183" i="53"/>
  <c r="AT184" i="53"/>
  <c r="AT185" i="53"/>
  <c r="AT112" i="53"/>
  <c r="AT111" i="53"/>
  <c r="AT113" i="53" s="1"/>
  <c r="AT211" i="53"/>
  <c r="AT198" i="53"/>
  <c r="AT199" i="53" s="1"/>
  <c r="AT201" i="53" s="1"/>
  <c r="AT188" i="53"/>
  <c r="AT195" i="53" s="1"/>
  <c r="AT191" i="53"/>
  <c r="AT162" i="53"/>
  <c r="AT163" i="53" s="1"/>
  <c r="AT165" i="53" s="1"/>
  <c r="AT155" i="53"/>
  <c r="AT152" i="53"/>
  <c r="AT126" i="53"/>
  <c r="AT127" i="53" s="1"/>
  <c r="AT129" i="53" s="1"/>
  <c r="AT119" i="53"/>
  <c r="AT116" i="53"/>
  <c r="AT123" i="53" s="1"/>
  <c r="AU177" i="53"/>
  <c r="AU181" i="53" s="1"/>
  <c r="AU182" i="53"/>
  <c r="AU192" i="53"/>
  <c r="AU190" i="53"/>
  <c r="AU187" i="53"/>
  <c r="AU210" i="53"/>
  <c r="AU105" i="53"/>
  <c r="AU109" i="53" s="1"/>
  <c r="AU110" i="53"/>
  <c r="AU120" i="53"/>
  <c r="AU118" i="53"/>
  <c r="AU115" i="53"/>
  <c r="AU156" i="53"/>
  <c r="AU154" i="53"/>
  <c r="AU151" i="53"/>
  <c r="AU141" i="53"/>
  <c r="AU145" i="53" s="1"/>
  <c r="AU146" i="53"/>
  <c r="AV203" i="53"/>
  <c r="AV174" i="53"/>
  <c r="AV175" i="53" s="1"/>
  <c r="AV176" i="53" s="1"/>
  <c r="AV178" i="53" s="1"/>
  <c r="AV180" i="53"/>
  <c r="AV167" i="53"/>
  <c r="AV144" i="53"/>
  <c r="AV131" i="53"/>
  <c r="AV179" i="53"/>
  <c r="AV143" i="53"/>
  <c r="AV102" i="53"/>
  <c r="AV103" i="53" s="1"/>
  <c r="AV104" i="53" s="1"/>
  <c r="AV106" i="53" s="1"/>
  <c r="AV186" i="53"/>
  <c r="AV189" i="53"/>
  <c r="AV117" i="53"/>
  <c r="AV108" i="53"/>
  <c r="AV114" i="53"/>
  <c r="AV150" i="53"/>
  <c r="AV153" i="53"/>
  <c r="AV121" i="53"/>
  <c r="AV7" i="53"/>
  <c r="AV193" i="53"/>
  <c r="AV107" i="53"/>
  <c r="AV138" i="53"/>
  <c r="AV139" i="53" s="1"/>
  <c r="AV140" i="53" s="1"/>
  <c r="AV142" i="53" s="1"/>
  <c r="AV157" i="53"/>
  <c r="AW6" i="53"/>
  <c r="AT147" i="53"/>
  <c r="AT148" i="53"/>
  <c r="AT149" i="53" s="1"/>
  <c r="AR196" i="53"/>
  <c r="AR213" i="53"/>
  <c r="AQ214" i="53"/>
  <c r="AQ215" i="53" s="1"/>
  <c r="AS161" i="53"/>
  <c r="AK218" i="53"/>
  <c r="AK219" i="53"/>
  <c r="AK220" i="53" s="1"/>
  <c r="AN204" i="53"/>
  <c r="AO200" i="53" s="1"/>
  <c r="AN202" i="53"/>
  <c r="AM216" i="53"/>
  <c r="AM205" i="53"/>
  <c r="AL217" i="53"/>
  <c r="AL207" i="53"/>
  <c r="AP166" i="53"/>
  <c r="AP168" i="53"/>
  <c r="AQ164" i="53" s="1"/>
  <c r="AO169" i="53"/>
  <c r="AN171" i="53"/>
  <c r="AL206" i="53"/>
  <c r="AP161" i="52"/>
  <c r="AQ161" i="52" s="1"/>
  <c r="AN170" i="52"/>
  <c r="AO170" i="52" s="1"/>
  <c r="AP170" i="52" s="1"/>
  <c r="AN171" i="52"/>
  <c r="AS181" i="52"/>
  <c r="AS109" i="52"/>
  <c r="AT142" i="52"/>
  <c r="AU198" i="52"/>
  <c r="AU199" i="52" s="1"/>
  <c r="AU201" i="52" s="1"/>
  <c r="AU191" i="52"/>
  <c r="AU188" i="52"/>
  <c r="AU195" i="52" s="1"/>
  <c r="AU126" i="52"/>
  <c r="AU127" i="52" s="1"/>
  <c r="AU129" i="52" s="1"/>
  <c r="AU119" i="52"/>
  <c r="AU116" i="52"/>
  <c r="AU123" i="52" s="1"/>
  <c r="AU162" i="52"/>
  <c r="AU163" i="52" s="1"/>
  <c r="AU165" i="52" s="1"/>
  <c r="AU155" i="52"/>
  <c r="AU152" i="52"/>
  <c r="AU159" i="52" s="1"/>
  <c r="AV103" i="52"/>
  <c r="AV182" i="52"/>
  <c r="AV177" i="52"/>
  <c r="AV176" i="52"/>
  <c r="AV192" i="52"/>
  <c r="AV190" i="52"/>
  <c r="AV187" i="52"/>
  <c r="AV118" i="52"/>
  <c r="AV120" i="52"/>
  <c r="AV115" i="52"/>
  <c r="AV146" i="52"/>
  <c r="AV141" i="52"/>
  <c r="AV151" i="52"/>
  <c r="AV154" i="52"/>
  <c r="AV156" i="52"/>
  <c r="AW203" i="52"/>
  <c r="AW186" i="52"/>
  <c r="AW193" i="52"/>
  <c r="AW180" i="52"/>
  <c r="AW167" i="52"/>
  <c r="AW189" i="52"/>
  <c r="AW114" i="52"/>
  <c r="AW144" i="52"/>
  <c r="AW7" i="52"/>
  <c r="AW143" i="52"/>
  <c r="AW179" i="52"/>
  <c r="AW102" i="52"/>
  <c r="AW174" i="52"/>
  <c r="AW108" i="52"/>
  <c r="AW107" i="52"/>
  <c r="AW157" i="52"/>
  <c r="AW117" i="52"/>
  <c r="AW121" i="52"/>
  <c r="AW138" i="52"/>
  <c r="AW150" i="52"/>
  <c r="AW153" i="52"/>
  <c r="AW131" i="52"/>
  <c r="AX6" i="52"/>
  <c r="AP132" i="52"/>
  <c r="AQ128" i="52" s="1"/>
  <c r="AP130" i="52"/>
  <c r="AO133" i="52"/>
  <c r="AN134" i="52"/>
  <c r="AO134" i="52" s="1"/>
  <c r="AN135" i="52"/>
  <c r="AL206" i="52"/>
  <c r="AL217" i="52"/>
  <c r="AL207" i="52"/>
  <c r="AN204" i="52"/>
  <c r="AO200" i="52" s="1"/>
  <c r="AN202" i="52"/>
  <c r="AM216" i="52"/>
  <c r="AM205" i="52"/>
  <c r="AK218" i="52"/>
  <c r="AL218" i="52" s="1"/>
  <c r="AK219" i="52"/>
  <c r="AK220" i="52" s="1"/>
  <c r="AQ113" i="52"/>
  <c r="AP125" i="52"/>
  <c r="AP214" i="52"/>
  <c r="AU176" i="52"/>
  <c r="AU178" i="52" s="1"/>
  <c r="AU177" i="52"/>
  <c r="AU182" i="52"/>
  <c r="AU141" i="52"/>
  <c r="AU146" i="52"/>
  <c r="AU140" i="52"/>
  <c r="AU142" i="52" s="1"/>
  <c r="AU145" i="52" s="1"/>
  <c r="AU106" i="52"/>
  <c r="AU109" i="52" s="1"/>
  <c r="AV140" i="52"/>
  <c r="AR160" i="52"/>
  <c r="AR212" i="52"/>
  <c r="AQ169" i="52"/>
  <c r="AQ171" i="52" s="1"/>
  <c r="AS149" i="52"/>
  <c r="AS160" i="52" s="1"/>
  <c r="AT106" i="52"/>
  <c r="AT109" i="52" s="1"/>
  <c r="AT178" i="52"/>
  <c r="AT181" i="52" s="1"/>
  <c r="AS213" i="52"/>
  <c r="AQ133" i="53"/>
  <c r="AR132" i="53"/>
  <c r="AS128" i="53" s="1"/>
  <c r="AR130" i="53"/>
  <c r="AP134" i="53"/>
  <c r="AP135" i="53"/>
  <c r="AS166" i="52"/>
  <c r="AS168" i="52"/>
  <c r="AT164" i="52" s="1"/>
  <c r="AP80" i="51"/>
  <c r="AP96" i="51" s="1"/>
  <c r="AP105" i="51" s="1"/>
  <c r="AV6" i="51"/>
  <c r="AU65" i="51"/>
  <c r="AU68" i="51"/>
  <c r="AU73" i="51"/>
  <c r="AU74" i="51"/>
  <c r="AU7" i="51"/>
  <c r="AU64" i="51"/>
  <c r="AU81" i="51"/>
  <c r="AU82" i="51" s="1"/>
  <c r="AU85" i="51"/>
  <c r="AU86" i="51"/>
  <c r="AU87" i="51"/>
  <c r="AU88" i="51"/>
  <c r="AU89" i="51"/>
  <c r="AU90" i="51"/>
  <c r="AU91" i="51"/>
  <c r="AU92" i="51"/>
  <c r="AU93" i="51"/>
  <c r="AU94" i="51"/>
  <c r="AU103" i="51"/>
  <c r="AT66" i="51"/>
  <c r="AT67" i="51"/>
  <c r="AT69" i="51"/>
  <c r="AT70" i="51" s="1"/>
  <c r="AT83" i="51"/>
  <c r="AT84" i="51"/>
  <c r="AS70" i="51"/>
  <c r="AS71" i="51"/>
  <c r="AS76" i="51"/>
  <c r="AS98" i="51"/>
  <c r="AS99" i="51" s="1"/>
  <c r="AS101" i="51" s="1"/>
  <c r="AS95" i="51"/>
  <c r="AR75" i="51"/>
  <c r="AQ75" i="51"/>
  <c r="AO96" i="51"/>
  <c r="AM106" i="51"/>
  <c r="AN106" i="51" s="1"/>
  <c r="AM107" i="51"/>
  <c r="AM108" i="51"/>
  <c r="AQ102" i="51"/>
  <c r="AQ104" i="51"/>
  <c r="AR100" i="51" s="1"/>
  <c r="W42" i="45"/>
  <c r="X34" i="45"/>
  <c r="X36" i="45" s="1"/>
  <c r="AT159" i="53" l="1"/>
  <c r="AT160" i="53" s="1"/>
  <c r="AW194" i="53"/>
  <c r="AW122" i="53"/>
  <c r="AW158" i="53"/>
  <c r="AX194" i="52"/>
  <c r="AX122" i="52"/>
  <c r="AX158" i="52"/>
  <c r="V119" i="46"/>
  <c r="V120" i="46"/>
  <c r="AQ134" i="53"/>
  <c r="AV178" i="52"/>
  <c r="AV181" i="52" s="1"/>
  <c r="AM206" i="53"/>
  <c r="AT161" i="53"/>
  <c r="AT212" i="53"/>
  <c r="AT124" i="53"/>
  <c r="AT125" i="53" s="1"/>
  <c r="AU183" i="53"/>
  <c r="AU184" i="53"/>
  <c r="AU185" i="53"/>
  <c r="AU198" i="53"/>
  <c r="AU199" i="53" s="1"/>
  <c r="AU201" i="53" s="1"/>
  <c r="AU188" i="53"/>
  <c r="AU195" i="53" s="1"/>
  <c r="AU191" i="53"/>
  <c r="AU111" i="53"/>
  <c r="AU112" i="53"/>
  <c r="AU113" i="53"/>
  <c r="AU211" i="53"/>
  <c r="AU126" i="53"/>
  <c r="AU127" i="53" s="1"/>
  <c r="AU129" i="53" s="1"/>
  <c r="AU119" i="53"/>
  <c r="AU116" i="53"/>
  <c r="AU123" i="53" s="1"/>
  <c r="AU162" i="53"/>
  <c r="AU163" i="53" s="1"/>
  <c r="AU165" i="53" s="1"/>
  <c r="AU155" i="53"/>
  <c r="AU152" i="53"/>
  <c r="AU159" i="53" s="1"/>
  <c r="AU147" i="53"/>
  <c r="AU148" i="53"/>
  <c r="AU149" i="53"/>
  <c r="AV182" i="53"/>
  <c r="AV177" i="53"/>
  <c r="AV181" i="53" s="1"/>
  <c r="AV210" i="53"/>
  <c r="AV110" i="53"/>
  <c r="AV105" i="53"/>
  <c r="AV109" i="53" s="1"/>
  <c r="AV187" i="53"/>
  <c r="AV192" i="53"/>
  <c r="AV190" i="53"/>
  <c r="AV120" i="53"/>
  <c r="AV118" i="53"/>
  <c r="AV115" i="53"/>
  <c r="AV156" i="53"/>
  <c r="AV154" i="53"/>
  <c r="AV151" i="53"/>
  <c r="AV141" i="53"/>
  <c r="AV145" i="53" s="1"/>
  <c r="AV146" i="53"/>
  <c r="AW203" i="53"/>
  <c r="AW180" i="53"/>
  <c r="AW174" i="53"/>
  <c r="AW175" i="53" s="1"/>
  <c r="AW176" i="53" s="1"/>
  <c r="AW178" i="53" s="1"/>
  <c r="AW167" i="53"/>
  <c r="AW144" i="53"/>
  <c r="AW179" i="53"/>
  <c r="AW131" i="53"/>
  <c r="AW189" i="53"/>
  <c r="AW143" i="53"/>
  <c r="AW186" i="53"/>
  <c r="AW107" i="53"/>
  <c r="AW193" i="53"/>
  <c r="AW150" i="53"/>
  <c r="AW153" i="53"/>
  <c r="AW102" i="53"/>
  <c r="AW103" i="53" s="1"/>
  <c r="AW104" i="53" s="1"/>
  <c r="AW106" i="53" s="1"/>
  <c r="AW117" i="53"/>
  <c r="AW7" i="53"/>
  <c r="AW114" i="53"/>
  <c r="AW121" i="53"/>
  <c r="AW108" i="53"/>
  <c r="AW157" i="53"/>
  <c r="AX6" i="53"/>
  <c r="AW138" i="53"/>
  <c r="AW139" i="53" s="1"/>
  <c r="AW140" i="53" s="1"/>
  <c r="AW142" i="53" s="1"/>
  <c r="AR197" i="53"/>
  <c r="AR214" i="53"/>
  <c r="AR215" i="53" s="1"/>
  <c r="AS196" i="53"/>
  <c r="AS214" i="53" s="1"/>
  <c r="AS213" i="53"/>
  <c r="AL218" i="53"/>
  <c r="AO204" i="53"/>
  <c r="AP200" i="53" s="1"/>
  <c r="AO202" i="53"/>
  <c r="AN216" i="53"/>
  <c r="AN205" i="53"/>
  <c r="AM217" i="53"/>
  <c r="AM207" i="53"/>
  <c r="AL219" i="53"/>
  <c r="AL220" i="53" s="1"/>
  <c r="AP169" i="53"/>
  <c r="AQ168" i="53"/>
  <c r="AR164" i="53" s="1"/>
  <c r="AQ166" i="53"/>
  <c r="AO170" i="53"/>
  <c r="AO171" i="53"/>
  <c r="AU181" i="52"/>
  <c r="AV142" i="52"/>
  <c r="AV145" i="52" s="1"/>
  <c r="AR214" i="52"/>
  <c r="AR169" i="52"/>
  <c r="AR171" i="52" s="1"/>
  <c r="AQ170" i="52"/>
  <c r="AR170" i="52" s="1"/>
  <c r="AR161" i="52"/>
  <c r="AS161" i="52" s="1"/>
  <c r="AS183" i="52"/>
  <c r="AS184" i="52"/>
  <c r="AS211" i="52"/>
  <c r="AS112" i="52"/>
  <c r="AS111" i="52"/>
  <c r="AU148" i="52"/>
  <c r="AU147" i="52"/>
  <c r="AU149" i="52" s="1"/>
  <c r="AT145" i="52"/>
  <c r="AT211" i="52" s="1"/>
  <c r="AV104" i="52"/>
  <c r="AV210" i="52"/>
  <c r="AV105" i="52"/>
  <c r="AV110" i="52"/>
  <c r="AV198" i="52"/>
  <c r="AV199" i="52" s="1"/>
  <c r="AV201" i="52" s="1"/>
  <c r="AV188" i="52"/>
  <c r="AV191" i="52"/>
  <c r="AV126" i="52"/>
  <c r="AV127" i="52" s="1"/>
  <c r="AV129" i="52" s="1"/>
  <c r="AV116" i="52"/>
  <c r="AV119" i="52"/>
  <c r="AV162" i="52"/>
  <c r="AV163" i="52" s="1"/>
  <c r="AV165" i="52" s="1"/>
  <c r="AV155" i="52"/>
  <c r="AV152" i="52"/>
  <c r="AV159" i="52" s="1"/>
  <c r="AW190" i="52"/>
  <c r="AW192" i="52"/>
  <c r="AW187" i="52"/>
  <c r="AW118" i="52"/>
  <c r="AW120" i="52"/>
  <c r="AW115" i="52"/>
  <c r="AW175" i="52"/>
  <c r="AW139" i="52"/>
  <c r="AW151" i="52"/>
  <c r="AW154" i="52"/>
  <c r="AW156" i="52"/>
  <c r="AX186" i="52"/>
  <c r="AX180" i="52"/>
  <c r="AX144" i="52"/>
  <c r="AX102" i="52"/>
  <c r="AX143" i="52"/>
  <c r="AX7" i="52"/>
  <c r="AX107" i="52"/>
  <c r="AX179" i="52"/>
  <c r="AX108" i="52"/>
  <c r="AX174" i="52"/>
  <c r="AX175" i="52" s="1"/>
  <c r="AX176" i="52" s="1"/>
  <c r="AX189" i="52"/>
  <c r="AX114" i="52"/>
  <c r="AX167" i="52"/>
  <c r="AX203" i="52"/>
  <c r="AX193" i="52"/>
  <c r="AX131" i="52"/>
  <c r="AX157" i="52"/>
  <c r="AX117" i="52"/>
  <c r="AX121" i="52"/>
  <c r="AX138" i="52"/>
  <c r="AX139" i="52" s="1"/>
  <c r="AX140" i="52" s="1"/>
  <c r="AX150" i="52"/>
  <c r="AX153" i="52"/>
  <c r="AY6" i="52"/>
  <c r="AQ132" i="52"/>
  <c r="AR128" i="52" s="1"/>
  <c r="AQ130" i="52"/>
  <c r="AP133" i="52"/>
  <c r="AO135" i="52"/>
  <c r="AL219" i="52"/>
  <c r="AL220" i="52" s="1"/>
  <c r="AO204" i="52"/>
  <c r="AP200" i="52" s="1"/>
  <c r="AO202" i="52"/>
  <c r="AN216" i="52"/>
  <c r="AN205" i="52"/>
  <c r="AM217" i="52"/>
  <c r="AM207" i="52"/>
  <c r="AQ212" i="52"/>
  <c r="AQ124" i="52"/>
  <c r="AP215" i="52"/>
  <c r="AU183" i="52"/>
  <c r="AU184" i="52"/>
  <c r="AU111" i="52"/>
  <c r="AU112" i="52"/>
  <c r="AU211" i="52"/>
  <c r="AT111" i="52"/>
  <c r="AT112" i="52"/>
  <c r="AT113" i="52" s="1"/>
  <c r="AT183" i="52"/>
  <c r="AT184" i="52"/>
  <c r="AM206" i="52"/>
  <c r="AT213" i="52"/>
  <c r="AW103" i="52"/>
  <c r="AQ135" i="53"/>
  <c r="AS130" i="53"/>
  <c r="AS132" i="53"/>
  <c r="AT128" i="53" s="1"/>
  <c r="AR133" i="53"/>
  <c r="AT166" i="52"/>
  <c r="AT168" i="52"/>
  <c r="AU164" i="52" s="1"/>
  <c r="AS169" i="52"/>
  <c r="AU66" i="51"/>
  <c r="AS72" i="51"/>
  <c r="AT72" i="51"/>
  <c r="AW6" i="51"/>
  <c r="AV7" i="51"/>
  <c r="AV64" i="51"/>
  <c r="AV65" i="51"/>
  <c r="AV68" i="51"/>
  <c r="AV70" i="51"/>
  <c r="AV72" i="51"/>
  <c r="AV74" i="51"/>
  <c r="AV81" i="51"/>
  <c r="AV82" i="51" s="1"/>
  <c r="AV85" i="51"/>
  <c r="AV86" i="51"/>
  <c r="AV87" i="51"/>
  <c r="AV88" i="51"/>
  <c r="AV89" i="51"/>
  <c r="AV90" i="51"/>
  <c r="AV91" i="51"/>
  <c r="AV92" i="51"/>
  <c r="AV93" i="51"/>
  <c r="AV94" i="51"/>
  <c r="AV103" i="51"/>
  <c r="AU67" i="51"/>
  <c r="AU69" i="51"/>
  <c r="AU79" i="51"/>
  <c r="AU83" i="51"/>
  <c r="AU84" i="51"/>
  <c r="AT71" i="51"/>
  <c r="AT76" i="51"/>
  <c r="AT98" i="51"/>
  <c r="AT99" i="51" s="1"/>
  <c r="AT101" i="51" s="1"/>
  <c r="AT95" i="51"/>
  <c r="AR77" i="51"/>
  <c r="AR78" i="51"/>
  <c r="AR80" i="51"/>
  <c r="AR96" i="51" s="1"/>
  <c r="AQ78" i="51"/>
  <c r="AQ77" i="51"/>
  <c r="AO97" i="51"/>
  <c r="AP97" i="51" s="1"/>
  <c r="AO105" i="51"/>
  <c r="AR102" i="51"/>
  <c r="AR104" i="51"/>
  <c r="AS100" i="51" s="1"/>
  <c r="AP108" i="51"/>
  <c r="AP107" i="51"/>
  <c r="X42" i="45"/>
  <c r="Y34" i="45"/>
  <c r="Y36" i="45" s="1"/>
  <c r="AX194" i="53" l="1"/>
  <c r="AX122" i="53"/>
  <c r="AX158" i="53"/>
  <c r="AV195" i="52"/>
  <c r="AV123" i="52"/>
  <c r="AY194" i="52"/>
  <c r="AY122" i="52"/>
  <c r="AY158" i="52"/>
  <c r="V103" i="46"/>
  <c r="V130" i="46"/>
  <c r="V131" i="46"/>
  <c r="V121" i="46"/>
  <c r="W117" i="46" s="1"/>
  <c r="AS197" i="53"/>
  <c r="AU212" i="53"/>
  <c r="AU124" i="53"/>
  <c r="AU125" i="53" s="1"/>
  <c r="AV183" i="53"/>
  <c r="AV184" i="53"/>
  <c r="AV112" i="53"/>
  <c r="AV111" i="53"/>
  <c r="AV113" i="53" s="1"/>
  <c r="AV211" i="53"/>
  <c r="AV198" i="53"/>
  <c r="AV199" i="53" s="1"/>
  <c r="AV201" i="53" s="1"/>
  <c r="AV188" i="53"/>
  <c r="AV195" i="53" s="1"/>
  <c r="AV191" i="53"/>
  <c r="AV126" i="53"/>
  <c r="AV127" i="53" s="1"/>
  <c r="AV129" i="53" s="1"/>
  <c r="AV119" i="53"/>
  <c r="AV116" i="53"/>
  <c r="AV123" i="53" s="1"/>
  <c r="AV162" i="53"/>
  <c r="AV163" i="53" s="1"/>
  <c r="AV165" i="53" s="1"/>
  <c r="AV155" i="53"/>
  <c r="AV152" i="53"/>
  <c r="AV159" i="53" s="1"/>
  <c r="AV147" i="53"/>
  <c r="AV148" i="53"/>
  <c r="AV149" i="53"/>
  <c r="AW182" i="53"/>
  <c r="AW177" i="53"/>
  <c r="AW181" i="53" s="1"/>
  <c r="AW190" i="53"/>
  <c r="AW187" i="53"/>
  <c r="AW192" i="53"/>
  <c r="AW151" i="53"/>
  <c r="AW154" i="53"/>
  <c r="AW156" i="53"/>
  <c r="AW210" i="53"/>
  <c r="AW110" i="53"/>
  <c r="AW105" i="53"/>
  <c r="AW109" i="53" s="1"/>
  <c r="AW120" i="53"/>
  <c r="AW118" i="53"/>
  <c r="AW115" i="53"/>
  <c r="AX203" i="53"/>
  <c r="AX174" i="53"/>
  <c r="AX175" i="53" s="1"/>
  <c r="AX176" i="53" s="1"/>
  <c r="AX178" i="53" s="1"/>
  <c r="AX180" i="53"/>
  <c r="AX167" i="53"/>
  <c r="AX144" i="53"/>
  <c r="AX179" i="53"/>
  <c r="AX131" i="53"/>
  <c r="AX143" i="53"/>
  <c r="AX186" i="53"/>
  <c r="AX189" i="53"/>
  <c r="AX108" i="53"/>
  <c r="AX102" i="53"/>
  <c r="AX103" i="53" s="1"/>
  <c r="AX104" i="53" s="1"/>
  <c r="AX106" i="53" s="1"/>
  <c r="AX193" i="53"/>
  <c r="AX153" i="53"/>
  <c r="AX150" i="53"/>
  <c r="AX107" i="53"/>
  <c r="AX117" i="53"/>
  <c r="AX7" i="53"/>
  <c r="AX114" i="53"/>
  <c r="AX121" i="53"/>
  <c r="AX157" i="53"/>
  <c r="AY6" i="53"/>
  <c r="AX138" i="53"/>
  <c r="AX139" i="53" s="1"/>
  <c r="AX140" i="53" s="1"/>
  <c r="AX142" i="53" s="1"/>
  <c r="AW141" i="53"/>
  <c r="AW145" i="53" s="1"/>
  <c r="AW146" i="53"/>
  <c r="AT196" i="53"/>
  <c r="AT213" i="53"/>
  <c r="AS215" i="53"/>
  <c r="AP170" i="53"/>
  <c r="AU160" i="53"/>
  <c r="AU161" i="53" s="1"/>
  <c r="AP204" i="53"/>
  <c r="AQ200" i="53" s="1"/>
  <c r="AP202" i="53"/>
  <c r="AO216" i="53"/>
  <c r="AO205" i="53"/>
  <c r="AN206" i="53"/>
  <c r="AN217" i="53"/>
  <c r="AN207" i="53"/>
  <c r="AM218" i="53"/>
  <c r="AM219" i="53"/>
  <c r="AM220" i="53" s="1"/>
  <c r="AP171" i="53"/>
  <c r="AR166" i="53"/>
  <c r="AR168" i="53"/>
  <c r="AS164" i="53" s="1"/>
  <c r="AQ169" i="53"/>
  <c r="AS185" i="52"/>
  <c r="AS113" i="52"/>
  <c r="AT147" i="52"/>
  <c r="AT148" i="52"/>
  <c r="AU213" i="52"/>
  <c r="AV106" i="52"/>
  <c r="AW198" i="52"/>
  <c r="AW199" i="52" s="1"/>
  <c r="AW201" i="52" s="1"/>
  <c r="AW191" i="52"/>
  <c r="AW188" i="52"/>
  <c r="AW195" i="52" s="1"/>
  <c r="AW126" i="52"/>
  <c r="AW127" i="52" s="1"/>
  <c r="AW129" i="52" s="1"/>
  <c r="AW116" i="52"/>
  <c r="AW119" i="52"/>
  <c r="AW176" i="52"/>
  <c r="AW177" i="52"/>
  <c r="AW182" i="52"/>
  <c r="AW140" i="52"/>
  <c r="AW146" i="52"/>
  <c r="AW141" i="52"/>
  <c r="AW162" i="52"/>
  <c r="AW163" i="52" s="1"/>
  <c r="AW165" i="52" s="1"/>
  <c r="AW155" i="52"/>
  <c r="AW152" i="52"/>
  <c r="AW159" i="52" s="1"/>
  <c r="AX192" i="52"/>
  <c r="AX190" i="52"/>
  <c r="AX187" i="52"/>
  <c r="AX182" i="52"/>
  <c r="AX177" i="52"/>
  <c r="AX118" i="52"/>
  <c r="AX120" i="52"/>
  <c r="AX115" i="52"/>
  <c r="AX141" i="52"/>
  <c r="AX146" i="52"/>
  <c r="AX151" i="52"/>
  <c r="AX154" i="52"/>
  <c r="AX156" i="52"/>
  <c r="AY108" i="52"/>
  <c r="AY189" i="52"/>
  <c r="AY203" i="52"/>
  <c r="AY179" i="52"/>
  <c r="AY167" i="52"/>
  <c r="AY107" i="52"/>
  <c r="AY7" i="52"/>
  <c r="AY193" i="52"/>
  <c r="AY143" i="52"/>
  <c r="AY114" i="52"/>
  <c r="AY144" i="52"/>
  <c r="AY186" i="52"/>
  <c r="AY180" i="52"/>
  <c r="AY102" i="52"/>
  <c r="AY174" i="52"/>
  <c r="AY157" i="52"/>
  <c r="AY117" i="52"/>
  <c r="AY121" i="52"/>
  <c r="AY131" i="52"/>
  <c r="AY138" i="52"/>
  <c r="AY150" i="52"/>
  <c r="AY153" i="52"/>
  <c r="AZ6" i="52"/>
  <c r="AR132" i="52"/>
  <c r="AS128" i="52" s="1"/>
  <c r="AR130" i="52"/>
  <c r="AP134" i="52"/>
  <c r="AP135" i="52"/>
  <c r="AP204" i="52"/>
  <c r="AQ200" i="52" s="1"/>
  <c r="AP202" i="52"/>
  <c r="AO216" i="52"/>
  <c r="AO205" i="52"/>
  <c r="AN217" i="52"/>
  <c r="AN207" i="52"/>
  <c r="AM218" i="52"/>
  <c r="AN218" i="52" s="1"/>
  <c r="AM219" i="52"/>
  <c r="AM220" i="52" s="1"/>
  <c r="AQ133" i="52"/>
  <c r="AQ125" i="52"/>
  <c r="AR125" i="52" s="1"/>
  <c r="AQ214" i="52"/>
  <c r="AT124" i="52"/>
  <c r="AV148" i="52"/>
  <c r="AV147" i="52"/>
  <c r="AV149" i="52" s="1"/>
  <c r="AV183" i="52"/>
  <c r="AV184" i="52"/>
  <c r="AW104" i="52"/>
  <c r="AW106" i="52" s="1"/>
  <c r="AW110" i="52"/>
  <c r="AW105" i="52"/>
  <c r="AW210" i="52"/>
  <c r="AN206" i="52"/>
  <c r="AU185" i="52"/>
  <c r="AU196" i="52" s="1"/>
  <c r="AU113" i="52"/>
  <c r="AT185" i="52"/>
  <c r="AT196" i="52" s="1"/>
  <c r="AU160" i="52"/>
  <c r="AX103" i="52"/>
  <c r="AS133" i="53"/>
  <c r="AT130" i="53"/>
  <c r="AT132" i="53"/>
  <c r="AU128" i="53" s="1"/>
  <c r="AR134" i="53"/>
  <c r="AS134" i="53" s="1"/>
  <c r="AR135" i="53"/>
  <c r="AU166" i="52"/>
  <c r="AU168" i="52"/>
  <c r="AV164" i="52" s="1"/>
  <c r="AS170" i="52"/>
  <c r="AS171" i="52"/>
  <c r="AV73" i="51"/>
  <c r="AU70" i="51"/>
  <c r="AU72" i="51" s="1"/>
  <c r="AQ80" i="51"/>
  <c r="AQ96" i="51" s="1"/>
  <c r="AR105" i="51"/>
  <c r="AX6" i="51"/>
  <c r="AW65" i="51"/>
  <c r="AW68" i="51"/>
  <c r="AW70" i="51"/>
  <c r="AW72" i="51"/>
  <c r="AW73" i="51"/>
  <c r="AW74" i="51"/>
  <c r="AW79" i="51" s="1"/>
  <c r="AW7" i="51"/>
  <c r="AW64" i="51"/>
  <c r="AW81" i="51"/>
  <c r="AW82" i="51" s="1"/>
  <c r="AW85" i="51"/>
  <c r="AW86" i="51"/>
  <c r="AW87" i="51"/>
  <c r="AW88" i="51"/>
  <c r="AW89" i="51"/>
  <c r="AW90" i="51"/>
  <c r="AW91" i="51"/>
  <c r="AW92" i="51"/>
  <c r="AW93" i="51"/>
  <c r="AW94" i="51"/>
  <c r="AV66" i="51"/>
  <c r="AV67" i="51"/>
  <c r="AV69" i="51"/>
  <c r="AV83" i="51"/>
  <c r="AV84" i="51"/>
  <c r="AU71" i="51"/>
  <c r="AU76" i="51"/>
  <c r="AU98" i="51"/>
  <c r="AU99" i="51" s="1"/>
  <c r="AU101" i="51" s="1"/>
  <c r="AU95" i="51"/>
  <c r="AO106" i="51"/>
  <c r="AP106" i="51" s="1"/>
  <c r="AO107" i="51"/>
  <c r="AO108" i="51"/>
  <c r="AS102" i="51"/>
  <c r="AS104" i="51"/>
  <c r="AT100" i="51" s="1"/>
  <c r="AV79" i="51"/>
  <c r="Y42" i="45"/>
  <c r="Z34" i="45"/>
  <c r="Z36" i="45" s="1"/>
  <c r="AN218" i="53" l="1"/>
  <c r="AY194" i="53"/>
  <c r="AY122" i="53"/>
  <c r="AY158" i="53"/>
  <c r="AW123" i="52"/>
  <c r="AZ194" i="52"/>
  <c r="AZ122" i="52"/>
  <c r="AZ158" i="52"/>
  <c r="W119" i="46"/>
  <c r="W120" i="46"/>
  <c r="W121" i="46" s="1"/>
  <c r="X117" i="46" s="1"/>
  <c r="AO206" i="53"/>
  <c r="AW109" i="52"/>
  <c r="AV185" i="53"/>
  <c r="AV160" i="53"/>
  <c r="AV161" i="53" s="1"/>
  <c r="AV212" i="53"/>
  <c r="AV124" i="53"/>
  <c r="AV125" i="53" s="1"/>
  <c r="AW183" i="53"/>
  <c r="AW185" i="53" s="1"/>
  <c r="AW184" i="53"/>
  <c r="AW198" i="53"/>
  <c r="AW199" i="53" s="1"/>
  <c r="AW201" i="53" s="1"/>
  <c r="AW188" i="53"/>
  <c r="AW191" i="53"/>
  <c r="AW162" i="53"/>
  <c r="AW163" i="53" s="1"/>
  <c r="AW165" i="53" s="1"/>
  <c r="AW152" i="53"/>
  <c r="AW155" i="53"/>
  <c r="AW112" i="53"/>
  <c r="AW111" i="53"/>
  <c r="AW113" i="53" s="1"/>
  <c r="AW211" i="53"/>
  <c r="AW126" i="53"/>
  <c r="AW127" i="53" s="1"/>
  <c r="AW129" i="53" s="1"/>
  <c r="AW119" i="53"/>
  <c r="AW116" i="53"/>
  <c r="AX177" i="53"/>
  <c r="AX181" i="53" s="1"/>
  <c r="AX182" i="53"/>
  <c r="AX187" i="53"/>
  <c r="AX190" i="53"/>
  <c r="AX192" i="53"/>
  <c r="AX210" i="53"/>
  <c r="AX110" i="53"/>
  <c r="AX105" i="53"/>
  <c r="AX109" i="53" s="1"/>
  <c r="AX156" i="53"/>
  <c r="AX154" i="53"/>
  <c r="AX151" i="53"/>
  <c r="AX120" i="53"/>
  <c r="AX118" i="53"/>
  <c r="AX115" i="53"/>
  <c r="AY203" i="53"/>
  <c r="AY180" i="53"/>
  <c r="AY174" i="53"/>
  <c r="AY175" i="53" s="1"/>
  <c r="AY176" i="53" s="1"/>
  <c r="AY178" i="53" s="1"/>
  <c r="AY167" i="53"/>
  <c r="AY138" i="53"/>
  <c r="AY139" i="53" s="1"/>
  <c r="AY140" i="53" s="1"/>
  <c r="AY142" i="53" s="1"/>
  <c r="AY144" i="53"/>
  <c r="AY131" i="53"/>
  <c r="AY179" i="53"/>
  <c r="AY143" i="53"/>
  <c r="AY189" i="53"/>
  <c r="AY186" i="53"/>
  <c r="AY108" i="53"/>
  <c r="AY102" i="53"/>
  <c r="AY103" i="53" s="1"/>
  <c r="AY104" i="53" s="1"/>
  <c r="AY106" i="53" s="1"/>
  <c r="AY193" i="53"/>
  <c r="AY153" i="53"/>
  <c r="AY150" i="53"/>
  <c r="AY107" i="53"/>
  <c r="AY7" i="53"/>
  <c r="AY121" i="53"/>
  <c r="AY117" i="53"/>
  <c r="AY114" i="53"/>
  <c r="AY157" i="53"/>
  <c r="AZ6" i="53"/>
  <c r="AX141" i="53"/>
  <c r="AX145" i="53" s="1"/>
  <c r="AX146" i="53"/>
  <c r="AW147" i="53"/>
  <c r="AW148" i="53"/>
  <c r="AT197" i="53"/>
  <c r="AT214" i="53"/>
  <c r="AT215" i="53" s="1"/>
  <c r="AU196" i="53"/>
  <c r="AU214" i="53" s="1"/>
  <c r="AU213" i="53"/>
  <c r="AQ204" i="53"/>
  <c r="AR200" i="53" s="1"/>
  <c r="AQ202" i="53"/>
  <c r="AP216" i="53"/>
  <c r="AP205" i="53"/>
  <c r="AO217" i="53"/>
  <c r="AO207" i="53"/>
  <c r="AN219" i="53"/>
  <c r="AN220" i="53" s="1"/>
  <c r="AR169" i="53"/>
  <c r="AS168" i="53"/>
  <c r="AT164" i="53" s="1"/>
  <c r="AS166" i="53"/>
  <c r="AQ170" i="53"/>
  <c r="AR170" i="53" s="1"/>
  <c r="AQ171" i="53"/>
  <c r="AV185" i="52"/>
  <c r="AV160" i="52"/>
  <c r="AV196" i="52"/>
  <c r="AS196" i="52"/>
  <c r="AS124" i="52"/>
  <c r="AS212" i="52"/>
  <c r="AT149" i="52"/>
  <c r="AV109" i="52"/>
  <c r="AX178" i="52"/>
  <c r="AX181" i="52" s="1"/>
  <c r="AW178" i="52"/>
  <c r="AX142" i="52"/>
  <c r="AX145" i="52" s="1"/>
  <c r="AW142" i="52"/>
  <c r="AX198" i="52"/>
  <c r="AX199" i="52" s="1"/>
  <c r="AX201" i="52" s="1"/>
  <c r="AX191" i="52"/>
  <c r="AX188" i="52"/>
  <c r="AX195" i="52" s="1"/>
  <c r="AX126" i="52"/>
  <c r="AX127" i="52" s="1"/>
  <c r="AX129" i="52" s="1"/>
  <c r="AX119" i="52"/>
  <c r="AX116" i="52"/>
  <c r="AX123" i="52" s="1"/>
  <c r="AX162" i="52"/>
  <c r="AX163" i="52" s="1"/>
  <c r="AX165" i="52" s="1"/>
  <c r="AX155" i="52"/>
  <c r="AX152" i="52"/>
  <c r="AX159" i="52" s="1"/>
  <c r="AY118" i="52"/>
  <c r="AY115" i="52"/>
  <c r="AY120" i="52"/>
  <c r="AY192" i="52"/>
  <c r="AY187" i="52"/>
  <c r="AY190" i="52"/>
  <c r="AY175" i="52"/>
  <c r="AY139" i="52"/>
  <c r="AY154" i="52"/>
  <c r="AY151" i="52"/>
  <c r="AY156" i="52"/>
  <c r="AZ180" i="52"/>
  <c r="AZ102" i="52"/>
  <c r="AZ103" i="52" s="1"/>
  <c r="AZ144" i="52"/>
  <c r="AZ114" i="52"/>
  <c r="AZ193" i="52"/>
  <c r="AZ107" i="52"/>
  <c r="AZ167" i="52"/>
  <c r="AZ143" i="52"/>
  <c r="AZ179" i="52"/>
  <c r="AZ186" i="52"/>
  <c r="AZ7" i="52"/>
  <c r="AZ203" i="52"/>
  <c r="AZ108" i="52"/>
  <c r="AZ189" i="52"/>
  <c r="AZ174" i="52"/>
  <c r="AZ131" i="52"/>
  <c r="AZ157" i="52"/>
  <c r="AZ117" i="52"/>
  <c r="AZ121" i="52"/>
  <c r="AZ138" i="52"/>
  <c r="AZ150" i="52"/>
  <c r="AZ153" i="52"/>
  <c r="BA6" i="52"/>
  <c r="AS132" i="52"/>
  <c r="AT128" i="52" s="1"/>
  <c r="AS130" i="52"/>
  <c r="AR133" i="52"/>
  <c r="AQ204" i="52"/>
  <c r="AR200" i="52" s="1"/>
  <c r="AQ202" i="52"/>
  <c r="AP216" i="52"/>
  <c r="AP205" i="52"/>
  <c r="AO217" i="52"/>
  <c r="AO207" i="52"/>
  <c r="AN219" i="52"/>
  <c r="AN220" i="52" s="1"/>
  <c r="AQ135" i="52"/>
  <c r="AQ215" i="52"/>
  <c r="AR215" i="52" s="1"/>
  <c r="AU212" i="52"/>
  <c r="AU124" i="52"/>
  <c r="AU214" i="52" s="1"/>
  <c r="AV213" i="52"/>
  <c r="AX104" i="52"/>
  <c r="AX105" i="52"/>
  <c r="AX210" i="52"/>
  <c r="AX110" i="52"/>
  <c r="AQ134" i="52"/>
  <c r="AO206" i="52"/>
  <c r="AY103" i="52"/>
  <c r="AS135" i="53"/>
  <c r="AT133" i="53"/>
  <c r="AU130" i="53"/>
  <c r="AU132" i="53"/>
  <c r="AV128" i="53" s="1"/>
  <c r="AV166" i="52"/>
  <c r="AV168" i="52"/>
  <c r="AW164" i="52" s="1"/>
  <c r="AU169" i="52"/>
  <c r="AW66" i="51"/>
  <c r="AU75" i="51"/>
  <c r="AR108" i="51"/>
  <c r="AR107" i="51"/>
  <c r="AY6" i="51"/>
  <c r="AX64" i="51"/>
  <c r="AX65" i="51"/>
  <c r="AX68" i="51"/>
  <c r="AX70" i="51"/>
  <c r="AX72" i="51"/>
  <c r="AX73" i="51"/>
  <c r="AX74" i="51"/>
  <c r="AX7" i="51"/>
  <c r="AX81" i="51"/>
  <c r="AX82" i="51" s="1"/>
  <c r="AX85" i="51"/>
  <c r="AX86" i="51"/>
  <c r="AX87" i="51"/>
  <c r="AX88" i="51"/>
  <c r="AX89" i="51"/>
  <c r="AX90" i="51"/>
  <c r="AX91" i="51"/>
  <c r="AX92" i="51"/>
  <c r="AX93" i="51"/>
  <c r="AX94" i="51"/>
  <c r="AX103" i="51"/>
  <c r="AW67" i="51"/>
  <c r="AW69" i="51"/>
  <c r="AW83" i="51"/>
  <c r="AW84" i="51"/>
  <c r="AV71" i="51"/>
  <c r="AV76" i="51"/>
  <c r="AV98" i="51"/>
  <c r="AV99" i="51" s="1"/>
  <c r="AV101" i="51" s="1"/>
  <c r="AV95" i="51"/>
  <c r="AQ97" i="51"/>
  <c r="AR97" i="51" s="1"/>
  <c r="AQ105" i="51"/>
  <c r="AT102" i="51"/>
  <c r="AT104" i="51"/>
  <c r="AU100" i="51" s="1"/>
  <c r="Z42" i="45"/>
  <c r="AA36" i="45"/>
  <c r="AD16" i="54" s="1"/>
  <c r="AW149" i="53" l="1"/>
  <c r="AW195" i="53"/>
  <c r="AW159" i="53"/>
  <c r="AW123" i="53"/>
  <c r="AZ194" i="53"/>
  <c r="AZ122" i="53"/>
  <c r="AZ158" i="53"/>
  <c r="BA194" i="52"/>
  <c r="BA122" i="52"/>
  <c r="BA158" i="52"/>
  <c r="W122" i="46"/>
  <c r="W103" i="46"/>
  <c r="W130" i="46"/>
  <c r="X119" i="46"/>
  <c r="X120" i="46"/>
  <c r="W131" i="46"/>
  <c r="AD39" i="54"/>
  <c r="O89" i="54" s="1"/>
  <c r="O73" i="54"/>
  <c r="AR134" i="52"/>
  <c r="AW112" i="52"/>
  <c r="AW111" i="52"/>
  <c r="AW113" i="52" s="1"/>
  <c r="AW124" i="52" s="1"/>
  <c r="AU197" i="53"/>
  <c r="AW212" i="53"/>
  <c r="AW124" i="53"/>
  <c r="AW125" i="53" s="1"/>
  <c r="AX183" i="53"/>
  <c r="AX184" i="53"/>
  <c r="AX185" i="53"/>
  <c r="AX198" i="53"/>
  <c r="AX199" i="53" s="1"/>
  <c r="AX201" i="53" s="1"/>
  <c r="AX188" i="53"/>
  <c r="AX195" i="53" s="1"/>
  <c r="AX191" i="53"/>
  <c r="AX112" i="53"/>
  <c r="AX111" i="53"/>
  <c r="AX113" i="53" s="1"/>
  <c r="AX211" i="53"/>
  <c r="AX162" i="53"/>
  <c r="AX163" i="53" s="1"/>
  <c r="AX165" i="53" s="1"/>
  <c r="AX152" i="53"/>
  <c r="AX159" i="53" s="1"/>
  <c r="AX155" i="53"/>
  <c r="AX126" i="53"/>
  <c r="AX127" i="53" s="1"/>
  <c r="AX129" i="53" s="1"/>
  <c r="AX119" i="53"/>
  <c r="AX116" i="53"/>
  <c r="AX123" i="53" s="1"/>
  <c r="AY182" i="53"/>
  <c r="AY177" i="53"/>
  <c r="AY181" i="53" s="1"/>
  <c r="AY210" i="53"/>
  <c r="AY141" i="53"/>
  <c r="AY145" i="53" s="1"/>
  <c r="AY146" i="53"/>
  <c r="AY190" i="53"/>
  <c r="AY187" i="53"/>
  <c r="AY192" i="53"/>
  <c r="AY110" i="53"/>
  <c r="AY105" i="53"/>
  <c r="AY109" i="53" s="1"/>
  <c r="AY154" i="53"/>
  <c r="AY156" i="53"/>
  <c r="AY151" i="53"/>
  <c r="AY120" i="53"/>
  <c r="AY118" i="53"/>
  <c r="AY115" i="53"/>
  <c r="AZ203" i="53"/>
  <c r="AZ180" i="53"/>
  <c r="AZ174" i="53"/>
  <c r="AZ175" i="53" s="1"/>
  <c r="AZ176" i="53" s="1"/>
  <c r="AZ178" i="53" s="1"/>
  <c r="AZ167" i="53"/>
  <c r="AZ138" i="53"/>
  <c r="AZ139" i="53" s="1"/>
  <c r="AZ140" i="53" s="1"/>
  <c r="AZ142" i="53" s="1"/>
  <c r="AZ144" i="53"/>
  <c r="AZ131" i="53"/>
  <c r="AZ179" i="53"/>
  <c r="AZ186" i="53"/>
  <c r="AZ143" i="53"/>
  <c r="AZ189" i="53"/>
  <c r="AZ108" i="53"/>
  <c r="AZ107" i="53"/>
  <c r="AZ102" i="53"/>
  <c r="AZ103" i="53" s="1"/>
  <c r="AZ104" i="53" s="1"/>
  <c r="AZ106" i="53" s="1"/>
  <c r="AZ193" i="53"/>
  <c r="AZ150" i="53"/>
  <c r="AZ153" i="53"/>
  <c r="AZ117" i="53"/>
  <c r="AZ114" i="53"/>
  <c r="AZ7" i="53"/>
  <c r="AZ121" i="53"/>
  <c r="BA6" i="53"/>
  <c r="AZ157" i="53"/>
  <c r="AX147" i="53"/>
  <c r="AX148" i="53"/>
  <c r="AX149" i="53" s="1"/>
  <c r="AV196" i="53"/>
  <c r="AV213" i="53"/>
  <c r="AW160" i="53"/>
  <c r="AW161" i="53" s="1"/>
  <c r="AU215" i="53"/>
  <c r="AR204" i="53"/>
  <c r="AS200" i="53" s="1"/>
  <c r="AR202" i="53"/>
  <c r="AQ216" i="53"/>
  <c r="AQ205" i="53"/>
  <c r="AP206" i="53"/>
  <c r="AQ206" i="53" s="1"/>
  <c r="AP217" i="53"/>
  <c r="AP207" i="53"/>
  <c r="AO218" i="53"/>
  <c r="AP218" i="53" s="1"/>
  <c r="AO219" i="53"/>
  <c r="AO220" i="53" s="1"/>
  <c r="AR171" i="53"/>
  <c r="AT166" i="53"/>
  <c r="AT168" i="53"/>
  <c r="AU164" i="53" s="1"/>
  <c r="AS169" i="53"/>
  <c r="AW213" i="52"/>
  <c r="AS197" i="52"/>
  <c r="AT197" i="52" s="1"/>
  <c r="AU197" i="52" s="1"/>
  <c r="AV197" i="52" s="1"/>
  <c r="AS125" i="52"/>
  <c r="AT125" i="52" s="1"/>
  <c r="AU125" i="52" s="1"/>
  <c r="AS133" i="52"/>
  <c r="AS214" i="52"/>
  <c r="AT212" i="52"/>
  <c r="AT160" i="52"/>
  <c r="AV111" i="52"/>
  <c r="AV112" i="52"/>
  <c r="AV211" i="52"/>
  <c r="AX184" i="52"/>
  <c r="AX183" i="52"/>
  <c r="AX185" i="52" s="1"/>
  <c r="AX196" i="52" s="1"/>
  <c r="AW181" i="52"/>
  <c r="AX147" i="52"/>
  <c r="AX148" i="52"/>
  <c r="AW145" i="52"/>
  <c r="AY126" i="52"/>
  <c r="AY127" i="52" s="1"/>
  <c r="AY129" i="52" s="1"/>
  <c r="AY116" i="52"/>
  <c r="AY119" i="52"/>
  <c r="AY198" i="52"/>
  <c r="AY199" i="52" s="1"/>
  <c r="AY201" i="52" s="1"/>
  <c r="AY191" i="52"/>
  <c r="AY188" i="52"/>
  <c r="AY195" i="52" s="1"/>
  <c r="AY177" i="52"/>
  <c r="AY182" i="52"/>
  <c r="AY176" i="52"/>
  <c r="AY140" i="52"/>
  <c r="AY146" i="52"/>
  <c r="AY141" i="52"/>
  <c r="AY162" i="52"/>
  <c r="AY163" i="52" s="1"/>
  <c r="AY165" i="52" s="1"/>
  <c r="AY155" i="52"/>
  <c r="AY152" i="52"/>
  <c r="AY159" i="52" s="1"/>
  <c r="AZ110" i="52"/>
  <c r="AZ105" i="52"/>
  <c r="AZ104" i="52"/>
  <c r="AZ120" i="52"/>
  <c r="AZ115" i="52"/>
  <c r="AZ118" i="52"/>
  <c r="AZ190" i="52"/>
  <c r="AZ192" i="52"/>
  <c r="AZ187" i="52"/>
  <c r="AZ156" i="52"/>
  <c r="AZ154" i="52"/>
  <c r="AZ151" i="52"/>
  <c r="BA167" i="52"/>
  <c r="BA174" i="52"/>
  <c r="BA175" i="52" s="1"/>
  <c r="BA193" i="52"/>
  <c r="BA114" i="52"/>
  <c r="BA203" i="52"/>
  <c r="BA107" i="52"/>
  <c r="BA144" i="52"/>
  <c r="BA189" i="52"/>
  <c r="BA180" i="52"/>
  <c r="BA143" i="52"/>
  <c r="BA108" i="52"/>
  <c r="BA179" i="52"/>
  <c r="BA7" i="52"/>
  <c r="BA102" i="52"/>
  <c r="BA186" i="52"/>
  <c r="BA157" i="52"/>
  <c r="BA117" i="52"/>
  <c r="BA121" i="52"/>
  <c r="BA131" i="52"/>
  <c r="BA138" i="52"/>
  <c r="BA150" i="52"/>
  <c r="BA153" i="52"/>
  <c r="BB6" i="52"/>
  <c r="AT132" i="52"/>
  <c r="AU128" i="52" s="1"/>
  <c r="AT130" i="52"/>
  <c r="AR135" i="52"/>
  <c r="AR204" i="52"/>
  <c r="AS200" i="52" s="1"/>
  <c r="AR202" i="52"/>
  <c r="AQ216" i="52"/>
  <c r="AQ205" i="52"/>
  <c r="AP217" i="52"/>
  <c r="AP207" i="52"/>
  <c r="AO218" i="52"/>
  <c r="AO219" i="52"/>
  <c r="AO220" i="52" s="1"/>
  <c r="AX106" i="52"/>
  <c r="AY104" i="52"/>
  <c r="AY210" i="52"/>
  <c r="AY110" i="52"/>
  <c r="AY105" i="52"/>
  <c r="AP206" i="52"/>
  <c r="AX213" i="52"/>
  <c r="AZ175" i="52"/>
  <c r="AZ139" i="52"/>
  <c r="AZ210" i="52" s="1"/>
  <c r="AT134" i="53"/>
  <c r="AT135" i="53"/>
  <c r="AU133" i="53"/>
  <c r="AV132" i="53"/>
  <c r="AW128" i="53" s="1"/>
  <c r="AV130" i="53"/>
  <c r="AW166" i="52"/>
  <c r="AW168" i="52"/>
  <c r="AX164" i="52" s="1"/>
  <c r="AU171" i="52"/>
  <c r="AV169" i="52"/>
  <c r="AV171" i="52" s="1"/>
  <c r="AU77" i="51"/>
  <c r="AU78" i="51"/>
  <c r="AZ6" i="51"/>
  <c r="AY7" i="51"/>
  <c r="AY65" i="51"/>
  <c r="AY68" i="51"/>
  <c r="AY70" i="51"/>
  <c r="AY72" i="51"/>
  <c r="AY73" i="51"/>
  <c r="AY74" i="51"/>
  <c r="AY79" i="51" s="1"/>
  <c r="AY64" i="51"/>
  <c r="AY81" i="51"/>
  <c r="AY82" i="51" s="1"/>
  <c r="AY85" i="51"/>
  <c r="AY86" i="51"/>
  <c r="AY87" i="51"/>
  <c r="AY88" i="51"/>
  <c r="AY89" i="51"/>
  <c r="AY90" i="51"/>
  <c r="AY91" i="51"/>
  <c r="AY92" i="51"/>
  <c r="AY93" i="51"/>
  <c r="AY94" i="51"/>
  <c r="AY103" i="51"/>
  <c r="AX66" i="51"/>
  <c r="AX67" i="51"/>
  <c r="AX69" i="51"/>
  <c r="AX79" i="51"/>
  <c r="AX83" i="51"/>
  <c r="AX84" i="51"/>
  <c r="AW71" i="51"/>
  <c r="AW75" i="51" s="1"/>
  <c r="AW76" i="51"/>
  <c r="AW98" i="51"/>
  <c r="AW99" i="51" s="1"/>
  <c r="AW101" i="51" s="1"/>
  <c r="AW95" i="51"/>
  <c r="AV75" i="51"/>
  <c r="AQ106" i="51"/>
  <c r="AR106" i="51" s="1"/>
  <c r="AQ107" i="51"/>
  <c r="AQ108" i="51"/>
  <c r="AU102" i="51"/>
  <c r="AU104" i="51"/>
  <c r="AV100" i="51" s="1"/>
  <c r="AA42" i="45"/>
  <c r="E51" i="45" s="1"/>
  <c r="AP218" i="52" l="1"/>
  <c r="BA194" i="53"/>
  <c r="BA122" i="53"/>
  <c r="BA158" i="53"/>
  <c r="AY123" i="52"/>
  <c r="BB194" i="52"/>
  <c r="BB122" i="52"/>
  <c r="BB158" i="52"/>
  <c r="AU80" i="51"/>
  <c r="AU96" i="51" s="1"/>
  <c r="X103" i="46"/>
  <c r="X130" i="46"/>
  <c r="X122" i="46"/>
  <c r="X131" i="46"/>
  <c r="X121" i="46"/>
  <c r="Y117" i="46" s="1"/>
  <c r="AX212" i="53"/>
  <c r="AX124" i="53"/>
  <c r="AX125" i="53" s="1"/>
  <c r="AY183" i="53"/>
  <c r="AY184" i="53"/>
  <c r="AY185" i="53"/>
  <c r="AY147" i="53"/>
  <c r="AY149" i="53" s="1"/>
  <c r="AY148" i="53"/>
  <c r="AY198" i="53"/>
  <c r="AY199" i="53" s="1"/>
  <c r="AY201" i="53" s="1"/>
  <c r="AY188" i="53"/>
  <c r="AY195" i="53" s="1"/>
  <c r="AY191" i="53"/>
  <c r="AY112" i="53"/>
  <c r="AY111" i="53"/>
  <c r="AY113" i="53" s="1"/>
  <c r="AY211" i="53"/>
  <c r="AY162" i="53"/>
  <c r="AY163" i="53" s="1"/>
  <c r="AY165" i="53" s="1"/>
  <c r="AY152" i="53"/>
  <c r="AY159" i="53" s="1"/>
  <c r="AY155" i="53"/>
  <c r="AY126" i="53"/>
  <c r="AY127" i="53" s="1"/>
  <c r="AY129" i="53" s="1"/>
  <c r="AY119" i="53"/>
  <c r="AY116" i="53"/>
  <c r="AY123" i="53" s="1"/>
  <c r="AZ177" i="53"/>
  <c r="AZ181" i="53" s="1"/>
  <c r="AZ182" i="53"/>
  <c r="AZ146" i="53"/>
  <c r="AZ141" i="53"/>
  <c r="AZ145" i="53" s="1"/>
  <c r="AZ187" i="53"/>
  <c r="AZ190" i="53"/>
  <c r="AZ192" i="53"/>
  <c r="AZ210" i="53"/>
  <c r="AZ110" i="53"/>
  <c r="AZ105" i="53"/>
  <c r="AZ109" i="53" s="1"/>
  <c r="AZ156" i="53"/>
  <c r="AZ151" i="53"/>
  <c r="AZ154" i="53"/>
  <c r="AZ120" i="53"/>
  <c r="AZ118" i="53"/>
  <c r="AZ115" i="53"/>
  <c r="BA203" i="53"/>
  <c r="BA180" i="53"/>
  <c r="BA174" i="53"/>
  <c r="BA175" i="53" s="1"/>
  <c r="BA176" i="53" s="1"/>
  <c r="BA178" i="53" s="1"/>
  <c r="BA167" i="53"/>
  <c r="BA138" i="53"/>
  <c r="BA139" i="53" s="1"/>
  <c r="BA140" i="53" s="1"/>
  <c r="BA142" i="53" s="1"/>
  <c r="BA144" i="53"/>
  <c r="BA131" i="53"/>
  <c r="BA179" i="53"/>
  <c r="BA186" i="53"/>
  <c r="BA108" i="53"/>
  <c r="BA143" i="53"/>
  <c r="BA189" i="53"/>
  <c r="BA107" i="53"/>
  <c r="BA102" i="53"/>
  <c r="BA103" i="53" s="1"/>
  <c r="BA104" i="53" s="1"/>
  <c r="BA106" i="53" s="1"/>
  <c r="BA193" i="53"/>
  <c r="BA153" i="53"/>
  <c r="BA150" i="53"/>
  <c r="BA121" i="53"/>
  <c r="BA7" i="53"/>
  <c r="BA114" i="53"/>
  <c r="BA117" i="53"/>
  <c r="BB6" i="53"/>
  <c r="BA157" i="53"/>
  <c r="AV197" i="53"/>
  <c r="AV214" i="53"/>
  <c r="AV215" i="53" s="1"/>
  <c r="AW196" i="53"/>
  <c r="AW214" i="53" s="1"/>
  <c r="AW213" i="53"/>
  <c r="AX160" i="53"/>
  <c r="AX161" i="53" s="1"/>
  <c r="AS204" i="53"/>
  <c r="AT200" i="53" s="1"/>
  <c r="AS202" i="53"/>
  <c r="AR216" i="53"/>
  <c r="AR205" i="53"/>
  <c r="AQ217" i="53"/>
  <c r="AQ207" i="53"/>
  <c r="AP219" i="53"/>
  <c r="AP220" i="53" s="1"/>
  <c r="AT169" i="53"/>
  <c r="AU168" i="53"/>
  <c r="AV164" i="53" s="1"/>
  <c r="AU166" i="53"/>
  <c r="AS170" i="53"/>
  <c r="AT170" i="53" s="1"/>
  <c r="AS171" i="53"/>
  <c r="AQ206" i="52"/>
  <c r="AX149" i="52"/>
  <c r="AX160" i="52" s="1"/>
  <c r="AS134" i="52"/>
  <c r="AS135" i="52"/>
  <c r="AS215" i="52"/>
  <c r="AT169" i="52"/>
  <c r="AT214" i="52"/>
  <c r="AT161" i="52"/>
  <c r="AU161" i="52" s="1"/>
  <c r="AV161" i="52" s="1"/>
  <c r="AV113" i="52"/>
  <c r="AW184" i="52"/>
  <c r="AW183" i="52"/>
  <c r="AW211" i="52"/>
  <c r="AW147" i="52"/>
  <c r="AW148" i="52"/>
  <c r="AY178" i="52"/>
  <c r="AY142" i="52"/>
  <c r="AZ126" i="52"/>
  <c r="AZ127" i="52" s="1"/>
  <c r="AZ129" i="52" s="1"/>
  <c r="AZ119" i="52"/>
  <c r="AZ116" i="52"/>
  <c r="AZ123" i="52" s="1"/>
  <c r="AZ198" i="52"/>
  <c r="AZ199" i="52" s="1"/>
  <c r="AZ201" i="52" s="1"/>
  <c r="AZ191" i="52"/>
  <c r="AZ188" i="52"/>
  <c r="AZ195" i="52" s="1"/>
  <c r="AZ162" i="52"/>
  <c r="AZ163" i="52" s="1"/>
  <c r="AZ165" i="52" s="1"/>
  <c r="AZ155" i="52"/>
  <c r="AZ152" i="52"/>
  <c r="AZ159" i="52" s="1"/>
  <c r="BA182" i="52"/>
  <c r="BA177" i="52"/>
  <c r="BA176" i="52"/>
  <c r="BA115" i="52"/>
  <c r="BA120" i="52"/>
  <c r="BA118" i="52"/>
  <c r="BA103" i="52"/>
  <c r="BA190" i="52"/>
  <c r="BA192" i="52"/>
  <c r="BA187" i="52"/>
  <c r="BA156" i="52"/>
  <c r="BA151" i="52"/>
  <c r="BA154" i="52"/>
  <c r="BB102" i="52"/>
  <c r="BB203" i="52"/>
  <c r="BB107" i="52"/>
  <c r="BB186" i="52"/>
  <c r="BB193" i="52"/>
  <c r="BB108" i="52"/>
  <c r="BB143" i="52"/>
  <c r="BB7" i="52"/>
  <c r="BB174" i="52"/>
  <c r="BB144" i="52"/>
  <c r="BB179" i="52"/>
  <c r="BB180" i="52"/>
  <c r="BB167" i="52"/>
  <c r="BB114" i="52"/>
  <c r="BB189" i="52"/>
  <c r="BB157" i="52"/>
  <c r="BB117" i="52"/>
  <c r="BB121" i="52"/>
  <c r="BB138" i="52"/>
  <c r="BB139" i="52" s="1"/>
  <c r="BB140" i="52" s="1"/>
  <c r="BB150" i="52"/>
  <c r="BB153" i="52"/>
  <c r="BB131" i="52"/>
  <c r="BC6" i="52"/>
  <c r="AU132" i="52"/>
  <c r="AV128" i="52" s="1"/>
  <c r="AU130" i="52"/>
  <c r="AT133" i="52"/>
  <c r="AS204" i="52"/>
  <c r="AT200" i="52" s="1"/>
  <c r="AS202" i="52"/>
  <c r="AR216" i="52"/>
  <c r="AR205" i="52"/>
  <c r="AQ217" i="52"/>
  <c r="AQ207" i="52"/>
  <c r="AP219" i="52"/>
  <c r="AP220" i="52" s="1"/>
  <c r="AX109" i="52"/>
  <c r="AZ176" i="52"/>
  <c r="AZ182" i="52"/>
  <c r="AZ177" i="52"/>
  <c r="AZ146" i="52"/>
  <c r="AZ141" i="52"/>
  <c r="AZ140" i="52"/>
  <c r="BA139" i="52"/>
  <c r="AZ106" i="52"/>
  <c r="AZ109" i="52" s="1"/>
  <c r="AY106" i="52"/>
  <c r="AU135" i="53"/>
  <c r="AW132" i="53"/>
  <c r="AX128" i="53" s="1"/>
  <c r="AW130" i="53"/>
  <c r="AV133" i="53"/>
  <c r="AX166" i="52"/>
  <c r="AX168" i="52"/>
  <c r="AY164" i="52" s="1"/>
  <c r="AU134" i="53"/>
  <c r="AY66" i="51"/>
  <c r="BA6" i="51"/>
  <c r="AZ64" i="51"/>
  <c r="AZ65" i="51"/>
  <c r="AZ68" i="51"/>
  <c r="AZ70" i="51"/>
  <c r="AZ72" i="51"/>
  <c r="AZ73" i="51"/>
  <c r="AZ7" i="51"/>
  <c r="AZ81" i="51"/>
  <c r="AZ82" i="51" s="1"/>
  <c r="AZ85" i="51"/>
  <c r="AZ86" i="51"/>
  <c r="AZ87" i="51"/>
  <c r="AZ88" i="51"/>
  <c r="AZ89" i="51"/>
  <c r="AZ90" i="51"/>
  <c r="AZ91" i="51"/>
  <c r="AZ92" i="51"/>
  <c r="AZ93" i="51"/>
  <c r="AZ94" i="51"/>
  <c r="AY67" i="51"/>
  <c r="AY69" i="51"/>
  <c r="AY83" i="51"/>
  <c r="AY84" i="51"/>
  <c r="AX71" i="51"/>
  <c r="AX76" i="51"/>
  <c r="AX98" i="51"/>
  <c r="AX99" i="51" s="1"/>
  <c r="AX101" i="51" s="1"/>
  <c r="AX95" i="51"/>
  <c r="AW77" i="51"/>
  <c r="AW78" i="51"/>
  <c r="AW80" i="51" s="1"/>
  <c r="AW96" i="51" s="1"/>
  <c r="AV77" i="51"/>
  <c r="AV78" i="51"/>
  <c r="AU105" i="51"/>
  <c r="AV102" i="51"/>
  <c r="AV104" i="51"/>
  <c r="AW100" i="51" s="1"/>
  <c r="AW103" i="51" s="1"/>
  <c r="BB194" i="53" l="1"/>
  <c r="BB122" i="53"/>
  <c r="BB158" i="53"/>
  <c r="BC194" i="52"/>
  <c r="BC122" i="52"/>
  <c r="BC158" i="52"/>
  <c r="Y120" i="46"/>
  <c r="Y121" i="46" s="1"/>
  <c r="Z117" i="46" s="1"/>
  <c r="Y119" i="46"/>
  <c r="AY213" i="52"/>
  <c r="AW215" i="53"/>
  <c r="AW197" i="53"/>
  <c r="AY212" i="53"/>
  <c r="AZ183" i="53"/>
  <c r="AZ184" i="53"/>
  <c r="AZ185" i="53"/>
  <c r="AZ147" i="53"/>
  <c r="AZ148" i="53"/>
  <c r="AZ149" i="53"/>
  <c r="AZ198" i="53"/>
  <c r="AZ199" i="53" s="1"/>
  <c r="AZ201" i="53" s="1"/>
  <c r="AZ188" i="53"/>
  <c r="AZ195" i="53" s="1"/>
  <c r="AZ191" i="53"/>
  <c r="AZ111" i="53"/>
  <c r="AZ112" i="53"/>
  <c r="AZ113" i="53"/>
  <c r="AZ211" i="53"/>
  <c r="AZ162" i="53"/>
  <c r="AZ163" i="53" s="1"/>
  <c r="AZ165" i="53" s="1"/>
  <c r="AZ152" i="53"/>
  <c r="AZ159" i="53" s="1"/>
  <c r="AZ155" i="53"/>
  <c r="AZ126" i="53"/>
  <c r="AZ127" i="53" s="1"/>
  <c r="AZ129" i="53" s="1"/>
  <c r="AZ119" i="53"/>
  <c r="AZ116" i="53"/>
  <c r="AZ123" i="53" s="1"/>
  <c r="BA182" i="53"/>
  <c r="BA177" i="53"/>
  <c r="BA181" i="53" s="1"/>
  <c r="BA146" i="53"/>
  <c r="BA141" i="53"/>
  <c r="BA145" i="53" s="1"/>
  <c r="BA187" i="53"/>
  <c r="BA192" i="53"/>
  <c r="BA190" i="53"/>
  <c r="BA210" i="53"/>
  <c r="BA105" i="53"/>
  <c r="BA109" i="53" s="1"/>
  <c r="BA110" i="53"/>
  <c r="BA154" i="53"/>
  <c r="BA156" i="53"/>
  <c r="BA151" i="53"/>
  <c r="BA120" i="53"/>
  <c r="BA118" i="53"/>
  <c r="BA115" i="53"/>
  <c r="BB203" i="53"/>
  <c r="BB174" i="53"/>
  <c r="BB175" i="53" s="1"/>
  <c r="BB176" i="53" s="1"/>
  <c r="BB178" i="53" s="1"/>
  <c r="BB180" i="53"/>
  <c r="BB167" i="53"/>
  <c r="BB138" i="53"/>
  <c r="BB139" i="53" s="1"/>
  <c r="BB140" i="53" s="1"/>
  <c r="BB142" i="53" s="1"/>
  <c r="BB144" i="53"/>
  <c r="BB131" i="53"/>
  <c r="BB179" i="53"/>
  <c r="BB189" i="53"/>
  <c r="BB108" i="53"/>
  <c r="BB186" i="53"/>
  <c r="BB143" i="53"/>
  <c r="BB107" i="53"/>
  <c r="BB102" i="53"/>
  <c r="BB103" i="53" s="1"/>
  <c r="BB104" i="53" s="1"/>
  <c r="BB106" i="53" s="1"/>
  <c r="BB193" i="53"/>
  <c r="BB153" i="53"/>
  <c r="BB150" i="53"/>
  <c r="BB7" i="53"/>
  <c r="BB114" i="53"/>
  <c r="BB117" i="53"/>
  <c r="BB121" i="53"/>
  <c r="BC6" i="53"/>
  <c r="BB157" i="53"/>
  <c r="AX196" i="53"/>
  <c r="AX213" i="53"/>
  <c r="AY196" i="53"/>
  <c r="AY160" i="53"/>
  <c r="AY161" i="53" s="1"/>
  <c r="AT204" i="53"/>
  <c r="AU200" i="53" s="1"/>
  <c r="AT202" i="53"/>
  <c r="AS216" i="53"/>
  <c r="AS205" i="53"/>
  <c r="AR217" i="53"/>
  <c r="AR206" i="53"/>
  <c r="AS206" i="53" s="1"/>
  <c r="AR207" i="53"/>
  <c r="AQ218" i="53"/>
  <c r="AR218" i="53" s="1"/>
  <c r="AQ219" i="53"/>
  <c r="AQ220" i="53" s="1"/>
  <c r="AT171" i="53"/>
  <c r="AV168" i="53"/>
  <c r="AW164" i="53" s="1"/>
  <c r="AV166" i="53"/>
  <c r="AU169" i="53"/>
  <c r="AT170" i="52"/>
  <c r="AU170" i="52" s="1"/>
  <c r="AV170" i="52" s="1"/>
  <c r="AT171" i="52"/>
  <c r="AV212" i="52"/>
  <c r="AV124" i="52"/>
  <c r="AW185" i="52"/>
  <c r="AW149" i="52"/>
  <c r="AY181" i="52"/>
  <c r="AY145" i="52"/>
  <c r="BA126" i="52"/>
  <c r="BA127" i="52" s="1"/>
  <c r="BA129" i="52" s="1"/>
  <c r="BA119" i="52"/>
  <c r="BA116" i="52"/>
  <c r="BA123" i="52" s="1"/>
  <c r="BA104" i="52"/>
  <c r="BA210" i="52"/>
  <c r="BA105" i="52"/>
  <c r="BA110" i="52"/>
  <c r="BA198" i="52"/>
  <c r="BA199" i="52" s="1"/>
  <c r="BA201" i="52" s="1"/>
  <c r="BA188" i="52"/>
  <c r="BA191" i="52"/>
  <c r="BA162" i="52"/>
  <c r="BA163" i="52" s="1"/>
  <c r="BA165" i="52" s="1"/>
  <c r="BA155" i="52"/>
  <c r="BA152" i="52"/>
  <c r="BA159" i="52" s="1"/>
  <c r="BB187" i="52"/>
  <c r="BB190" i="52"/>
  <c r="BB192" i="52"/>
  <c r="BB175" i="52"/>
  <c r="BB115" i="52"/>
  <c r="BB120" i="52"/>
  <c r="BB118" i="52"/>
  <c r="BB146" i="52"/>
  <c r="BB141" i="52"/>
  <c r="BB156" i="52"/>
  <c r="BB151" i="52"/>
  <c r="BB154" i="52"/>
  <c r="BC179" i="52"/>
  <c r="BC143" i="52"/>
  <c r="BC144" i="52"/>
  <c r="BC108" i="52"/>
  <c r="BC186" i="52"/>
  <c r="BC102" i="52"/>
  <c r="BC103" i="52" s="1"/>
  <c r="BC7" i="52"/>
  <c r="BC189" i="52"/>
  <c r="BC174" i="52"/>
  <c r="BC193" i="52"/>
  <c r="BC203" i="52"/>
  <c r="BC107" i="52"/>
  <c r="BC167" i="52"/>
  <c r="BC114" i="52"/>
  <c r="BC180" i="52"/>
  <c r="BC131" i="52"/>
  <c r="BC157" i="52"/>
  <c r="BC117" i="52"/>
  <c r="BC121" i="52"/>
  <c r="BC138" i="52"/>
  <c r="BC150" i="52"/>
  <c r="BC153" i="52"/>
  <c r="BD6" i="52"/>
  <c r="AV132" i="52"/>
  <c r="AW128" i="52" s="1"/>
  <c r="AV130" i="52"/>
  <c r="AU133" i="52"/>
  <c r="AT135" i="52"/>
  <c r="AT204" i="52"/>
  <c r="AU200" i="52" s="1"/>
  <c r="AT202" i="52"/>
  <c r="AS205" i="52"/>
  <c r="AS216" i="52"/>
  <c r="AR206" i="52"/>
  <c r="AS206" i="52" s="1"/>
  <c r="AR217" i="52"/>
  <c r="AR207" i="52"/>
  <c r="AQ218" i="52"/>
  <c r="AR218" i="52" s="1"/>
  <c r="AQ219" i="52"/>
  <c r="AQ220" i="52" s="1"/>
  <c r="AX111" i="52"/>
  <c r="AX112" i="52"/>
  <c r="AX211" i="52"/>
  <c r="BA141" i="52"/>
  <c r="BA146" i="52"/>
  <c r="BA140" i="52"/>
  <c r="AZ111" i="52"/>
  <c r="AZ112" i="52"/>
  <c r="AT134" i="52"/>
  <c r="AT215" i="52"/>
  <c r="AU215" i="52" s="1"/>
  <c r="BB103" i="52"/>
  <c r="BA178" i="52"/>
  <c r="BA181" i="52" s="1"/>
  <c r="AZ178" i="52"/>
  <c r="AZ181" i="52" s="1"/>
  <c r="AZ142" i="52"/>
  <c r="AZ145" i="52" s="1"/>
  <c r="AZ211" i="52" s="1"/>
  <c r="AY109" i="52"/>
  <c r="AX132" i="53"/>
  <c r="AY128" i="53" s="1"/>
  <c r="AX130" i="53"/>
  <c r="AW133" i="53"/>
  <c r="AV135" i="53"/>
  <c r="AY166" i="52"/>
  <c r="AY168" i="52"/>
  <c r="AZ164" i="52" s="1"/>
  <c r="AV134" i="53"/>
  <c r="AX169" i="52"/>
  <c r="AX171" i="52" s="1"/>
  <c r="AV80" i="51"/>
  <c r="AV96" i="51" s="1"/>
  <c r="AV105" i="51" s="1"/>
  <c r="BB6" i="51"/>
  <c r="BA7" i="51"/>
  <c r="BA65" i="51"/>
  <c r="BA68" i="51"/>
  <c r="BA70" i="51"/>
  <c r="BA72" i="51"/>
  <c r="BA73" i="51"/>
  <c r="BA74" i="51"/>
  <c r="BA79" i="51" s="1"/>
  <c r="BA64" i="51"/>
  <c r="BA81" i="51"/>
  <c r="BA82" i="51" s="1"/>
  <c r="BA85" i="51"/>
  <c r="BA86" i="51"/>
  <c r="BA87" i="51"/>
  <c r="BA88" i="51"/>
  <c r="BA89" i="51"/>
  <c r="BA90" i="51"/>
  <c r="BA91" i="51"/>
  <c r="BA92" i="51"/>
  <c r="BA93" i="51"/>
  <c r="BA94" i="51"/>
  <c r="AZ66" i="51"/>
  <c r="AZ67" i="51"/>
  <c r="AZ69" i="51"/>
  <c r="AZ83" i="51"/>
  <c r="AZ84" i="51"/>
  <c r="AY71" i="51"/>
  <c r="AY75" i="51" s="1"/>
  <c r="AY76" i="51"/>
  <c r="AY98" i="51"/>
  <c r="AY99" i="51" s="1"/>
  <c r="AY101" i="51" s="1"/>
  <c r="AY95" i="51"/>
  <c r="AX75" i="51"/>
  <c r="AU108" i="51"/>
  <c r="AU107" i="51"/>
  <c r="AW104" i="51"/>
  <c r="AX100" i="51" s="1"/>
  <c r="AW102" i="51"/>
  <c r="BC194" i="53" l="1"/>
  <c r="BC122" i="53"/>
  <c r="BC158" i="53"/>
  <c r="BA195" i="52"/>
  <c r="AU134" i="52"/>
  <c r="BD194" i="52"/>
  <c r="BD122" i="52"/>
  <c r="BD158" i="52"/>
  <c r="Y131" i="46"/>
  <c r="Y130" i="46"/>
  <c r="Y122" i="46"/>
  <c r="Y103" i="46"/>
  <c r="Z119" i="46"/>
  <c r="E119" i="46" s="1"/>
  <c r="Z120" i="46"/>
  <c r="AZ212" i="53"/>
  <c r="AZ124" i="53"/>
  <c r="BA183" i="53"/>
  <c r="BA184" i="53"/>
  <c r="BA185" i="53"/>
  <c r="BA147" i="53"/>
  <c r="BA148" i="53"/>
  <c r="BA149" i="53"/>
  <c r="BA198" i="53"/>
  <c r="BA199" i="53" s="1"/>
  <c r="BA201" i="53" s="1"/>
  <c r="BA188" i="53"/>
  <c r="BA195" i="53" s="1"/>
  <c r="BA191" i="53"/>
  <c r="BA111" i="53"/>
  <c r="BA112" i="53"/>
  <c r="BA113" i="53"/>
  <c r="BA211" i="53"/>
  <c r="BA162" i="53"/>
  <c r="BA163" i="53" s="1"/>
  <c r="BA165" i="53" s="1"/>
  <c r="BA152" i="53"/>
  <c r="BA159" i="53" s="1"/>
  <c r="BA155" i="53"/>
  <c r="BA126" i="53"/>
  <c r="BA127" i="53" s="1"/>
  <c r="BA129" i="53" s="1"/>
  <c r="BA119" i="53"/>
  <c r="BA116" i="53"/>
  <c r="BA123" i="53" s="1"/>
  <c r="BB177" i="53"/>
  <c r="BB181" i="53" s="1"/>
  <c r="BB182" i="53"/>
  <c r="BB146" i="53"/>
  <c r="BB141" i="53"/>
  <c r="BB145" i="53" s="1"/>
  <c r="BB190" i="53"/>
  <c r="BB187" i="53"/>
  <c r="BB192" i="53"/>
  <c r="BB210" i="53"/>
  <c r="BB110" i="53"/>
  <c r="BB105" i="53"/>
  <c r="BB109" i="53" s="1"/>
  <c r="BB151" i="53"/>
  <c r="BB154" i="53"/>
  <c r="BB156" i="53"/>
  <c r="BB120" i="53"/>
  <c r="BB118" i="53"/>
  <c r="BB115" i="53"/>
  <c r="BC203" i="53"/>
  <c r="BC180" i="53"/>
  <c r="BC174" i="53"/>
  <c r="BC175" i="53" s="1"/>
  <c r="BC176" i="53" s="1"/>
  <c r="BC178" i="53" s="1"/>
  <c r="BC167" i="53"/>
  <c r="BC138" i="53"/>
  <c r="BC139" i="53" s="1"/>
  <c r="BC140" i="53" s="1"/>
  <c r="BC142" i="53" s="1"/>
  <c r="BC144" i="53"/>
  <c r="BC131" i="53"/>
  <c r="BC179" i="53"/>
  <c r="BC186" i="53"/>
  <c r="BC143" i="53"/>
  <c r="BC108" i="53"/>
  <c r="BC189" i="53"/>
  <c r="BC107" i="53"/>
  <c r="BC102" i="53"/>
  <c r="BC103" i="53" s="1"/>
  <c r="BC104" i="53" s="1"/>
  <c r="BC106" i="53" s="1"/>
  <c r="BC193" i="53"/>
  <c r="BC150" i="53"/>
  <c r="BC153" i="53"/>
  <c r="BC117" i="53"/>
  <c r="BC121" i="53"/>
  <c r="BC114" i="53"/>
  <c r="BC7" i="53"/>
  <c r="BD6" i="53"/>
  <c r="BC157" i="53"/>
  <c r="AX197" i="53"/>
  <c r="AY197" i="53" s="1"/>
  <c r="AX214" i="53"/>
  <c r="AX215" i="53" s="1"/>
  <c r="AZ160" i="53"/>
  <c r="AZ161" i="53" s="1"/>
  <c r="AY213" i="53"/>
  <c r="AY124" i="53"/>
  <c r="AU204" i="53"/>
  <c r="AV200" i="53" s="1"/>
  <c r="AU202" i="53"/>
  <c r="AT216" i="53"/>
  <c r="AT205" i="53"/>
  <c r="AS217" i="53"/>
  <c r="AS207" i="53"/>
  <c r="AR219" i="53"/>
  <c r="AR220" i="53" s="1"/>
  <c r="AW166" i="53"/>
  <c r="AW168" i="53"/>
  <c r="AX164" i="53" s="1"/>
  <c r="AV169" i="53"/>
  <c r="AU170" i="53"/>
  <c r="AV170" i="53" s="1"/>
  <c r="AU171" i="53"/>
  <c r="AV133" i="52"/>
  <c r="AV125" i="52"/>
  <c r="AW125" i="52" s="1"/>
  <c r="AV214" i="52"/>
  <c r="AW196" i="52"/>
  <c r="AW212" i="52"/>
  <c r="AW160" i="52"/>
  <c r="AY184" i="52"/>
  <c r="AY183" i="52"/>
  <c r="AY148" i="52"/>
  <c r="AY147" i="52"/>
  <c r="AZ213" i="52"/>
  <c r="BA106" i="52"/>
  <c r="BB198" i="52"/>
  <c r="BB199" i="52" s="1"/>
  <c r="BB201" i="52" s="1"/>
  <c r="BB188" i="52"/>
  <c r="BB191" i="52"/>
  <c r="BB182" i="52"/>
  <c r="BB177" i="52"/>
  <c r="BB176" i="52"/>
  <c r="BB126" i="52"/>
  <c r="BB127" i="52" s="1"/>
  <c r="BB129" i="52" s="1"/>
  <c r="BB116" i="52"/>
  <c r="BB119" i="52"/>
  <c r="BB162" i="52"/>
  <c r="BB163" i="52" s="1"/>
  <c r="BB165" i="52" s="1"/>
  <c r="BB152" i="52"/>
  <c r="BB155" i="52"/>
  <c r="BC192" i="52"/>
  <c r="BC190" i="52"/>
  <c r="BC187" i="52"/>
  <c r="BC110" i="52"/>
  <c r="BC105" i="52"/>
  <c r="BC104" i="52"/>
  <c r="BC120" i="52"/>
  <c r="BC118" i="52"/>
  <c r="BC115" i="52"/>
  <c r="BC139" i="52"/>
  <c r="BC156" i="52"/>
  <c r="BC151" i="52"/>
  <c r="BC154" i="52"/>
  <c r="BD114" i="52"/>
  <c r="BD107" i="52"/>
  <c r="BD174" i="52"/>
  <c r="BD186" i="52"/>
  <c r="BD143" i="52"/>
  <c r="BD203" i="52"/>
  <c r="BD189" i="52"/>
  <c r="BD102" i="52"/>
  <c r="BD108" i="52"/>
  <c r="BD144" i="52"/>
  <c r="BD7" i="52"/>
  <c r="BD167" i="52"/>
  <c r="BD180" i="52"/>
  <c r="BD193" i="52"/>
  <c r="BD179" i="52"/>
  <c r="BD157" i="52"/>
  <c r="BD117" i="52"/>
  <c r="BD121" i="52"/>
  <c r="BD131" i="52"/>
  <c r="BD138" i="52"/>
  <c r="BD139" i="52" s="1"/>
  <c r="BD140" i="52" s="1"/>
  <c r="BD150" i="52"/>
  <c r="BD153" i="52"/>
  <c r="BE6" i="52"/>
  <c r="AW132" i="52"/>
  <c r="AX128" i="52" s="1"/>
  <c r="AW130" i="52"/>
  <c r="AU135" i="52"/>
  <c r="AU204" i="52"/>
  <c r="AV200" i="52" s="1"/>
  <c r="AU202" i="52"/>
  <c r="AT216" i="52"/>
  <c r="AT205" i="52"/>
  <c r="AS217" i="52"/>
  <c r="AS207" i="52"/>
  <c r="AR219" i="52"/>
  <c r="AR220" i="52" s="1"/>
  <c r="AX113" i="52"/>
  <c r="BB104" i="52"/>
  <c r="BB110" i="52"/>
  <c r="BB210" i="52"/>
  <c r="BB105" i="52"/>
  <c r="BA183" i="52"/>
  <c r="BA184" i="52"/>
  <c r="AZ183" i="52"/>
  <c r="AZ184" i="52"/>
  <c r="AZ148" i="52"/>
  <c r="AZ147" i="52"/>
  <c r="AZ149" i="52" s="1"/>
  <c r="AZ160" i="52" s="1"/>
  <c r="AY211" i="52"/>
  <c r="AY112" i="52"/>
  <c r="AY111" i="52"/>
  <c r="AZ113" i="52"/>
  <c r="BC175" i="52"/>
  <c r="BA142" i="52"/>
  <c r="BB142" i="52"/>
  <c r="BB145" i="52" s="1"/>
  <c r="AY130" i="53"/>
  <c r="AY132" i="53"/>
  <c r="AZ128" i="53" s="1"/>
  <c r="AX133" i="53"/>
  <c r="AW135" i="53"/>
  <c r="AZ166" i="52"/>
  <c r="AZ168" i="52"/>
  <c r="BA164" i="52" s="1"/>
  <c r="AW134" i="53"/>
  <c r="AX134" i="53" s="1"/>
  <c r="BA66" i="51"/>
  <c r="AV107" i="51"/>
  <c r="AV108" i="51"/>
  <c r="BC6" i="51"/>
  <c r="BB7" i="51"/>
  <c r="BB64" i="51"/>
  <c r="BB65" i="51"/>
  <c r="BB68" i="51"/>
  <c r="BB70" i="51"/>
  <c r="BB72" i="51"/>
  <c r="BB73" i="51"/>
  <c r="BB74" i="51"/>
  <c r="BB81" i="51"/>
  <c r="BB82" i="51" s="1"/>
  <c r="BB85" i="51"/>
  <c r="BB86" i="51"/>
  <c r="BB87" i="51"/>
  <c r="BB88" i="51"/>
  <c r="BB89" i="51"/>
  <c r="BB90" i="51"/>
  <c r="BB91" i="51"/>
  <c r="BB92" i="51"/>
  <c r="BB93" i="51"/>
  <c r="BB94" i="51"/>
  <c r="BB103" i="51"/>
  <c r="BA67" i="51"/>
  <c r="BA69" i="51"/>
  <c r="BA83" i="51"/>
  <c r="BA84" i="51"/>
  <c r="AZ71" i="51"/>
  <c r="AZ76" i="51"/>
  <c r="AZ98" i="51"/>
  <c r="AZ99" i="51" s="1"/>
  <c r="AZ101" i="51" s="1"/>
  <c r="AZ95" i="51"/>
  <c r="AY77" i="51"/>
  <c r="AY78" i="51"/>
  <c r="AX77" i="51"/>
  <c r="AX78" i="51"/>
  <c r="AX102" i="51"/>
  <c r="AX104" i="51"/>
  <c r="AY100" i="51" s="1"/>
  <c r="AW105" i="51"/>
  <c r="BD194" i="53" l="1"/>
  <c r="BD122" i="53"/>
  <c r="BD158" i="53"/>
  <c r="BB195" i="52"/>
  <c r="BB123" i="52"/>
  <c r="BB159" i="52"/>
  <c r="BE194" i="52"/>
  <c r="BE158" i="52"/>
  <c r="BE122" i="52"/>
  <c r="Z103" i="46"/>
  <c r="Z130" i="46"/>
  <c r="Z122" i="46"/>
  <c r="Z131" i="46"/>
  <c r="E120" i="46"/>
  <c r="Z121" i="46"/>
  <c r="E169" i="46" s="1"/>
  <c r="BA212" i="53"/>
  <c r="BA124" i="53"/>
  <c r="BB183" i="53"/>
  <c r="BB184" i="53"/>
  <c r="BB185" i="53"/>
  <c r="BB147" i="53"/>
  <c r="BB148" i="53"/>
  <c r="BB198" i="53"/>
  <c r="BB199" i="53" s="1"/>
  <c r="BB201" i="53" s="1"/>
  <c r="BB188" i="53"/>
  <c r="BB191" i="53"/>
  <c r="BB111" i="53"/>
  <c r="BB112" i="53"/>
  <c r="BB211" i="53"/>
  <c r="BB162" i="53"/>
  <c r="BB163" i="53" s="1"/>
  <c r="BB165" i="53" s="1"/>
  <c r="BB152" i="53"/>
  <c r="BB159" i="53" s="1"/>
  <c r="BB155" i="53"/>
  <c r="BB126" i="53"/>
  <c r="BB127" i="53" s="1"/>
  <c r="BB129" i="53" s="1"/>
  <c r="BB119" i="53"/>
  <c r="BB116" i="53"/>
  <c r="BB123" i="53" s="1"/>
  <c r="BC177" i="53"/>
  <c r="BC181" i="53" s="1"/>
  <c r="BC182" i="53"/>
  <c r="BC146" i="53"/>
  <c r="BC141" i="53"/>
  <c r="BC145" i="53" s="1"/>
  <c r="BC192" i="53"/>
  <c r="BC187" i="53"/>
  <c r="BC190" i="53"/>
  <c r="BC210" i="53"/>
  <c r="BC110" i="53"/>
  <c r="BC105" i="53"/>
  <c r="BC109" i="53" s="1"/>
  <c r="BC154" i="53"/>
  <c r="BC156" i="53"/>
  <c r="BC151" i="53"/>
  <c r="BC120" i="53"/>
  <c r="BC118" i="53"/>
  <c r="BC115" i="53"/>
  <c r="BD203" i="53"/>
  <c r="BD180" i="53"/>
  <c r="BD174" i="53"/>
  <c r="BD175" i="53" s="1"/>
  <c r="BD176" i="53" s="1"/>
  <c r="BD178" i="53" s="1"/>
  <c r="BD167" i="53"/>
  <c r="BD138" i="53"/>
  <c r="BD139" i="53" s="1"/>
  <c r="BD140" i="53" s="1"/>
  <c r="BD142" i="53" s="1"/>
  <c r="BD144" i="53"/>
  <c r="BD131" i="53"/>
  <c r="BD179" i="53"/>
  <c r="BD186" i="53"/>
  <c r="BD108" i="53"/>
  <c r="BD143" i="53"/>
  <c r="BD189" i="53"/>
  <c r="BD107" i="53"/>
  <c r="BD102" i="53"/>
  <c r="BD103" i="53" s="1"/>
  <c r="BD104" i="53" s="1"/>
  <c r="BD106" i="53" s="1"/>
  <c r="BD193" i="53"/>
  <c r="BD153" i="53"/>
  <c r="BD150" i="53"/>
  <c r="BD121" i="53"/>
  <c r="BD114" i="53"/>
  <c r="BD7" i="53"/>
  <c r="BD117" i="53"/>
  <c r="BE6" i="53"/>
  <c r="BD157" i="53"/>
  <c r="AZ196" i="53"/>
  <c r="AZ213" i="53"/>
  <c r="AY214" i="53"/>
  <c r="AY215" i="53" s="1"/>
  <c r="AY125" i="53"/>
  <c r="AZ125" i="53" s="1"/>
  <c r="BA160" i="53"/>
  <c r="BA161" i="53" s="1"/>
  <c r="AV204" i="53"/>
  <c r="AW200" i="53" s="1"/>
  <c r="AV202" i="53"/>
  <c r="AU216" i="53"/>
  <c r="AU205" i="53"/>
  <c r="AT217" i="53"/>
  <c r="AT206" i="53"/>
  <c r="AU206" i="53" s="1"/>
  <c r="AT207" i="53"/>
  <c r="AS218" i="53"/>
  <c r="AT218" i="53" s="1"/>
  <c r="AS219" i="53"/>
  <c r="AS220" i="53" s="1"/>
  <c r="AW169" i="53"/>
  <c r="AX168" i="53"/>
  <c r="AY164" i="53" s="1"/>
  <c r="AX166" i="53"/>
  <c r="AV171" i="53"/>
  <c r="BC210" i="52"/>
  <c r="AV134" i="52"/>
  <c r="AV135" i="52"/>
  <c r="AV215" i="52"/>
  <c r="AW197" i="52"/>
  <c r="AX197" i="52" s="1"/>
  <c r="AW169" i="52"/>
  <c r="AW161" i="52"/>
  <c r="AX161" i="52" s="1"/>
  <c r="AW214" i="52"/>
  <c r="AY185" i="52"/>
  <c r="AY149" i="52"/>
  <c r="BA109" i="52"/>
  <c r="BB178" i="52"/>
  <c r="BC198" i="52"/>
  <c r="BC199" i="52" s="1"/>
  <c r="BC201" i="52" s="1"/>
  <c r="BC191" i="52"/>
  <c r="BC188" i="52"/>
  <c r="BC195" i="52" s="1"/>
  <c r="BC126" i="52"/>
  <c r="BC127" i="52" s="1"/>
  <c r="BC129" i="52" s="1"/>
  <c r="BC116" i="52"/>
  <c r="BC119" i="52"/>
  <c r="BC140" i="52"/>
  <c r="BC141" i="52"/>
  <c r="BC146" i="52"/>
  <c r="BC162" i="52"/>
  <c r="BC163" i="52" s="1"/>
  <c r="BC165" i="52" s="1"/>
  <c r="BC155" i="52"/>
  <c r="BC152" i="52"/>
  <c r="BC159" i="52" s="1"/>
  <c r="BD115" i="52"/>
  <c r="BD118" i="52"/>
  <c r="BD120" i="52"/>
  <c r="BD190" i="52"/>
  <c r="BD192" i="52"/>
  <c r="BD187" i="52"/>
  <c r="BD103" i="52"/>
  <c r="BD141" i="52"/>
  <c r="BD146" i="52"/>
  <c r="BD156" i="52"/>
  <c r="BD151" i="52"/>
  <c r="BD154" i="52"/>
  <c r="BE179" i="52"/>
  <c r="BE107" i="52"/>
  <c r="BE167" i="52"/>
  <c r="BE7" i="52"/>
  <c r="BE144" i="52"/>
  <c r="BE102" i="52"/>
  <c r="BE180" i="52"/>
  <c r="BE203" i="52"/>
  <c r="BE174" i="52"/>
  <c r="BE175" i="52" s="1"/>
  <c r="BE176" i="52" s="1"/>
  <c r="BE189" i="52"/>
  <c r="BE143" i="52"/>
  <c r="BE186" i="52"/>
  <c r="BE193" i="52"/>
  <c r="BE108" i="52"/>
  <c r="BE114" i="52"/>
  <c r="BE157" i="52"/>
  <c r="BE117" i="52"/>
  <c r="BE121" i="52"/>
  <c r="BE138" i="52"/>
  <c r="BE150" i="52"/>
  <c r="BE153" i="52"/>
  <c r="BE131" i="52"/>
  <c r="BF6" i="52"/>
  <c r="AX132" i="52"/>
  <c r="AY128" i="52" s="1"/>
  <c r="AX130" i="52"/>
  <c r="AW133" i="52"/>
  <c r="AV204" i="52"/>
  <c r="AW200" i="52" s="1"/>
  <c r="AV202" i="52"/>
  <c r="AU216" i="52"/>
  <c r="AU205" i="52"/>
  <c r="AT206" i="52"/>
  <c r="AU206" i="52" s="1"/>
  <c r="AT217" i="52"/>
  <c r="AT207" i="52"/>
  <c r="AS218" i="52"/>
  <c r="AS219" i="52"/>
  <c r="AS220" i="52" s="1"/>
  <c r="AX212" i="52"/>
  <c r="AX124" i="52"/>
  <c r="AZ124" i="52"/>
  <c r="BA213" i="52"/>
  <c r="BC182" i="52"/>
  <c r="BC177" i="52"/>
  <c r="BC176" i="52"/>
  <c r="BA145" i="52"/>
  <c r="BB147" i="52"/>
  <c r="BB148" i="52"/>
  <c r="BA185" i="52"/>
  <c r="BA196" i="52" s="1"/>
  <c r="AZ185" i="52"/>
  <c r="AY113" i="52"/>
  <c r="BD175" i="52"/>
  <c r="BC106" i="52"/>
  <c r="BC109" i="52" s="1"/>
  <c r="BB106" i="52"/>
  <c r="AY133" i="53"/>
  <c r="AZ132" i="53"/>
  <c r="BA128" i="53" s="1"/>
  <c r="AZ130" i="53"/>
  <c r="AX135" i="53"/>
  <c r="BA166" i="52"/>
  <c r="BA168" i="52"/>
  <c r="BB164" i="52" s="1"/>
  <c r="AZ169" i="52"/>
  <c r="AZ171" i="52" s="1"/>
  <c r="AY80" i="51"/>
  <c r="AY96" i="51" s="1"/>
  <c r="AX80" i="51"/>
  <c r="AX96" i="51" s="1"/>
  <c r="AX105" i="51" s="1"/>
  <c r="BD6" i="51"/>
  <c r="BC65" i="51"/>
  <c r="BC68" i="51"/>
  <c r="BC70" i="51"/>
  <c r="BC72" i="51"/>
  <c r="BC73" i="51"/>
  <c r="BC74" i="51"/>
  <c r="BC7" i="51"/>
  <c r="BC64" i="51"/>
  <c r="BC81" i="51"/>
  <c r="BC82" i="51" s="1"/>
  <c r="BC85" i="51"/>
  <c r="BC86" i="51"/>
  <c r="BC87" i="51"/>
  <c r="BC88" i="51"/>
  <c r="BC89" i="51"/>
  <c r="BC90" i="51"/>
  <c r="BC91" i="51"/>
  <c r="BC92" i="51"/>
  <c r="BC93" i="51"/>
  <c r="BC94" i="51"/>
  <c r="BC103" i="51"/>
  <c r="BB66" i="51"/>
  <c r="BB67" i="51"/>
  <c r="BB69" i="51"/>
  <c r="BB79" i="51"/>
  <c r="BB83" i="51"/>
  <c r="BB84" i="51"/>
  <c r="BA71" i="51"/>
  <c r="BA75" i="51" s="1"/>
  <c r="BA76" i="51"/>
  <c r="BA98" i="51"/>
  <c r="BA99" i="51" s="1"/>
  <c r="BA101" i="51" s="1"/>
  <c r="BA95" i="51"/>
  <c r="AY102" i="51"/>
  <c r="AY104" i="51"/>
  <c r="AZ100" i="51" s="1"/>
  <c r="AZ103" i="51" s="1"/>
  <c r="AW108" i="51"/>
  <c r="AW107" i="51"/>
  <c r="BB195" i="53" l="1"/>
  <c r="BE194" i="53"/>
  <c r="BE158" i="53"/>
  <c r="BE122" i="53"/>
  <c r="BC123" i="52"/>
  <c r="BF194" i="52"/>
  <c r="BF158" i="52"/>
  <c r="BF122" i="52"/>
  <c r="BA125" i="53"/>
  <c r="AT218" i="52"/>
  <c r="BB113" i="53"/>
  <c r="BB124" i="53" s="1"/>
  <c r="BB125" i="53" s="1"/>
  <c r="BC183" i="53"/>
  <c r="BC184" i="53"/>
  <c r="BC185" i="53"/>
  <c r="BC147" i="53"/>
  <c r="BC148" i="53"/>
  <c r="BC149" i="53"/>
  <c r="BC198" i="53"/>
  <c r="BC199" i="53" s="1"/>
  <c r="BC201" i="53" s="1"/>
  <c r="BC188" i="53"/>
  <c r="BC191" i="53"/>
  <c r="BC112" i="53"/>
  <c r="BC111" i="53"/>
  <c r="BC113" i="53" s="1"/>
  <c r="BC211" i="53"/>
  <c r="BC162" i="53"/>
  <c r="BC163" i="53" s="1"/>
  <c r="BC165" i="53" s="1"/>
  <c r="BC152" i="53"/>
  <c r="BC159" i="53" s="1"/>
  <c r="BC155" i="53"/>
  <c r="BC126" i="53"/>
  <c r="BC127" i="53" s="1"/>
  <c r="BC129" i="53" s="1"/>
  <c r="BC119" i="53"/>
  <c r="BC116" i="53"/>
  <c r="BC123" i="53" s="1"/>
  <c r="BD182" i="53"/>
  <c r="BD177" i="53"/>
  <c r="BD181" i="53" s="1"/>
  <c r="BD146" i="53"/>
  <c r="BD141" i="53"/>
  <c r="BD145" i="53" s="1"/>
  <c r="BD190" i="53"/>
  <c r="BD187" i="53"/>
  <c r="BD192" i="53"/>
  <c r="BD210" i="53"/>
  <c r="BD105" i="53"/>
  <c r="BD109" i="53" s="1"/>
  <c r="BD110" i="53"/>
  <c r="BD154" i="53"/>
  <c r="BD151" i="53"/>
  <c r="BD156" i="53"/>
  <c r="BD120" i="53"/>
  <c r="BD118" i="53"/>
  <c r="BD115" i="53"/>
  <c r="BE203" i="53"/>
  <c r="BE180" i="53"/>
  <c r="BE174" i="53"/>
  <c r="BE175" i="53" s="1"/>
  <c r="BE176" i="53" s="1"/>
  <c r="BE178" i="53" s="1"/>
  <c r="BE167" i="53"/>
  <c r="BE138" i="53"/>
  <c r="BE139" i="53" s="1"/>
  <c r="BE140" i="53" s="1"/>
  <c r="BE142" i="53" s="1"/>
  <c r="BE144" i="53"/>
  <c r="BE131" i="53"/>
  <c r="BE179" i="53"/>
  <c r="BE186" i="53"/>
  <c r="BE189" i="53"/>
  <c r="BE143" i="53"/>
  <c r="BE108" i="53"/>
  <c r="BE106" i="53"/>
  <c r="BE104" i="53"/>
  <c r="BE102" i="53"/>
  <c r="BE103" i="53" s="1"/>
  <c r="BE193" i="53"/>
  <c r="BE153" i="53"/>
  <c r="BE150" i="53"/>
  <c r="BE121" i="53"/>
  <c r="BE117" i="53"/>
  <c r="BE114" i="53"/>
  <c r="BE7" i="53"/>
  <c r="BF6" i="53"/>
  <c r="BE157" i="53"/>
  <c r="AZ197" i="53"/>
  <c r="AZ214" i="53"/>
  <c r="AZ215" i="53" s="1"/>
  <c r="BA196" i="53"/>
  <c r="BA214" i="53" s="1"/>
  <c r="BA213" i="53"/>
  <c r="BB149" i="53"/>
  <c r="BB212" i="53" s="1"/>
  <c r="AW204" i="53"/>
  <c r="AX200" i="53" s="1"/>
  <c r="AW202" i="53"/>
  <c r="AV216" i="53"/>
  <c r="AV205" i="53"/>
  <c r="AU217" i="53"/>
  <c r="AU207" i="53"/>
  <c r="AT219" i="53"/>
  <c r="AT220" i="53" s="1"/>
  <c r="AW170" i="53"/>
  <c r="AW171" i="53"/>
  <c r="AY168" i="53"/>
  <c r="AZ164" i="53" s="1"/>
  <c r="AY166" i="53"/>
  <c r="AX169" i="53"/>
  <c r="AW215" i="52"/>
  <c r="AW170" i="52"/>
  <c r="AX170" i="52" s="1"/>
  <c r="AW171" i="52"/>
  <c r="AY196" i="52"/>
  <c r="AY160" i="52"/>
  <c r="BA111" i="52"/>
  <c r="BA112" i="52"/>
  <c r="BA211" i="52"/>
  <c r="BB181" i="52"/>
  <c r="BC142" i="52"/>
  <c r="BD142" i="52"/>
  <c r="BD145" i="52" s="1"/>
  <c r="BD126" i="52"/>
  <c r="BD127" i="52" s="1"/>
  <c r="BD129" i="52" s="1"/>
  <c r="BD119" i="52"/>
  <c r="BD116" i="52"/>
  <c r="BD123" i="52" s="1"/>
  <c r="BD198" i="52"/>
  <c r="BD199" i="52" s="1"/>
  <c r="BD201" i="52" s="1"/>
  <c r="BD188" i="52"/>
  <c r="BD191" i="52"/>
  <c r="BD104" i="52"/>
  <c r="BD210" i="52"/>
  <c r="BD105" i="52"/>
  <c r="BD110" i="52"/>
  <c r="BD162" i="52"/>
  <c r="BD163" i="52" s="1"/>
  <c r="BD165" i="52" s="1"/>
  <c r="BD155" i="52"/>
  <c r="BD152" i="52"/>
  <c r="BD159" i="52" s="1"/>
  <c r="BE177" i="52"/>
  <c r="BE182" i="52"/>
  <c r="BE192" i="52"/>
  <c r="BE187" i="52"/>
  <c r="BE190" i="52"/>
  <c r="BE120" i="52"/>
  <c r="BE115" i="52"/>
  <c r="BE118" i="52"/>
  <c r="BE139" i="52"/>
  <c r="BE151" i="52"/>
  <c r="BE154" i="52"/>
  <c r="BE156" i="52"/>
  <c r="BF107" i="52"/>
  <c r="BF144" i="52"/>
  <c r="BF108" i="52"/>
  <c r="BF203" i="52"/>
  <c r="BF143" i="52"/>
  <c r="BF186" i="52"/>
  <c r="BF189" i="52"/>
  <c r="BF102" i="52"/>
  <c r="BF103" i="52" s="1"/>
  <c r="BF104" i="52" s="1"/>
  <c r="BF114" i="52"/>
  <c r="BF180" i="52"/>
  <c r="BF174" i="52"/>
  <c r="BF167" i="52"/>
  <c r="BF7" i="52"/>
  <c r="BF179" i="52"/>
  <c r="BF193" i="52"/>
  <c r="BF157" i="52"/>
  <c r="BF117" i="52"/>
  <c r="BF121" i="52"/>
  <c r="BF138" i="52"/>
  <c r="BF150" i="52"/>
  <c r="BF153" i="52"/>
  <c r="BF131" i="52"/>
  <c r="BG6" i="52"/>
  <c r="AY132" i="52"/>
  <c r="AZ128" i="52" s="1"/>
  <c r="AY130" i="52"/>
  <c r="AW135" i="52"/>
  <c r="AW204" i="52"/>
  <c r="AX200" i="52" s="1"/>
  <c r="AW202" i="52"/>
  <c r="AV216" i="52"/>
  <c r="AV205" i="52"/>
  <c r="AU217" i="52"/>
  <c r="AU207" i="52"/>
  <c r="AT219" i="52"/>
  <c r="AT220" i="52" s="1"/>
  <c r="AX133" i="52"/>
  <c r="AX125" i="52"/>
  <c r="AX214" i="52"/>
  <c r="BA147" i="52"/>
  <c r="BA148" i="52"/>
  <c r="BB213" i="52"/>
  <c r="AY124" i="52"/>
  <c r="AY212" i="52"/>
  <c r="BD176" i="52"/>
  <c r="BD177" i="52"/>
  <c r="BD182" i="52"/>
  <c r="BC111" i="52"/>
  <c r="BC112" i="52"/>
  <c r="AW134" i="52"/>
  <c r="BB149" i="52"/>
  <c r="BB160" i="52" s="1"/>
  <c r="BE103" i="52"/>
  <c r="BC178" i="52"/>
  <c r="AZ196" i="52"/>
  <c r="AZ214" i="52" s="1"/>
  <c r="AZ212" i="52"/>
  <c r="BB109" i="52"/>
  <c r="AY134" i="53"/>
  <c r="AY135" i="53"/>
  <c r="BA130" i="53"/>
  <c r="BA132" i="53"/>
  <c r="BB128" i="53" s="1"/>
  <c r="AZ133" i="53"/>
  <c r="BB166" i="52"/>
  <c r="BB168" i="52"/>
  <c r="BC164" i="52" s="1"/>
  <c r="BE6" i="51"/>
  <c r="BD64" i="51"/>
  <c r="BD65" i="51"/>
  <c r="BD68" i="51"/>
  <c r="BD70" i="51"/>
  <c r="BD72" i="51"/>
  <c r="BD73" i="51"/>
  <c r="BD74" i="51"/>
  <c r="BD7" i="51"/>
  <c r="BD81" i="51"/>
  <c r="BD82" i="51" s="1"/>
  <c r="BD85" i="51"/>
  <c r="BD86" i="51"/>
  <c r="BD87" i="51"/>
  <c r="BD88" i="51"/>
  <c r="BD89" i="51"/>
  <c r="BD90" i="51"/>
  <c r="BD91" i="51"/>
  <c r="BD92" i="51"/>
  <c r="BD93" i="51"/>
  <c r="BD94" i="51"/>
  <c r="BD103" i="51"/>
  <c r="BC67" i="51"/>
  <c r="BC69" i="51"/>
  <c r="BC83" i="51"/>
  <c r="BC84" i="51"/>
  <c r="BB71" i="51"/>
  <c r="BB76" i="51"/>
  <c r="BB98" i="51"/>
  <c r="BB99" i="51" s="1"/>
  <c r="BB101" i="51" s="1"/>
  <c r="BB95" i="51"/>
  <c r="BA77" i="51"/>
  <c r="BA78" i="51"/>
  <c r="BA80" i="51"/>
  <c r="BA96" i="51" s="1"/>
  <c r="AY105" i="51"/>
  <c r="AZ104" i="51"/>
  <c r="BA100" i="51" s="1"/>
  <c r="BA103" i="51" s="1"/>
  <c r="AZ102" i="51"/>
  <c r="AX108" i="51"/>
  <c r="AX107" i="51"/>
  <c r="BC66" i="51"/>
  <c r="BC79" i="51"/>
  <c r="BC195" i="53" l="1"/>
  <c r="BF194" i="53"/>
  <c r="BF158" i="53"/>
  <c r="BF122" i="53"/>
  <c r="BD195" i="52"/>
  <c r="BG194" i="52"/>
  <c r="BG158" i="52"/>
  <c r="BG122" i="52"/>
  <c r="AY125" i="52"/>
  <c r="AZ125" i="52" s="1"/>
  <c r="BC113" i="52"/>
  <c r="BC124" i="52" s="1"/>
  <c r="BD178" i="52"/>
  <c r="BD181" i="52" s="1"/>
  <c r="BE178" i="52"/>
  <c r="BE181" i="52" s="1"/>
  <c r="BA197" i="53"/>
  <c r="BC212" i="53"/>
  <c r="BC124" i="53"/>
  <c r="BC125" i="53" s="1"/>
  <c r="BD183" i="53"/>
  <c r="BD184" i="53"/>
  <c r="BD148" i="53"/>
  <c r="BD147" i="53"/>
  <c r="BD149" i="53" s="1"/>
  <c r="BD198" i="53"/>
  <c r="BD199" i="53" s="1"/>
  <c r="BD201" i="53" s="1"/>
  <c r="BD188" i="53"/>
  <c r="BD195" i="53" s="1"/>
  <c r="BD191" i="53"/>
  <c r="BD111" i="53"/>
  <c r="BD112" i="53"/>
  <c r="BD113" i="53"/>
  <c r="BD211" i="53"/>
  <c r="BD162" i="53"/>
  <c r="BD163" i="53" s="1"/>
  <c r="BD165" i="53" s="1"/>
  <c r="BD152" i="53"/>
  <c r="BD155" i="53"/>
  <c r="BD126" i="53"/>
  <c r="BD127" i="53" s="1"/>
  <c r="BD129" i="53" s="1"/>
  <c r="BD119" i="53"/>
  <c r="BD116" i="53"/>
  <c r="BD123" i="53" s="1"/>
  <c r="BE182" i="53"/>
  <c r="BE177" i="53"/>
  <c r="BE181" i="53" s="1"/>
  <c r="BE146" i="53"/>
  <c r="BE141" i="53"/>
  <c r="BE145" i="53" s="1"/>
  <c r="BE187" i="53"/>
  <c r="BE190" i="53"/>
  <c r="BE192" i="53"/>
  <c r="BE210" i="53"/>
  <c r="BE110" i="53"/>
  <c r="BE105" i="53"/>
  <c r="BE156" i="53"/>
  <c r="BE151" i="53"/>
  <c r="BE154" i="53"/>
  <c r="BE120" i="53"/>
  <c r="BE118" i="53"/>
  <c r="BE115" i="53"/>
  <c r="BF203" i="53"/>
  <c r="BF180" i="53"/>
  <c r="BF174" i="53"/>
  <c r="BF175" i="53" s="1"/>
  <c r="BF176" i="53" s="1"/>
  <c r="BF178" i="53" s="1"/>
  <c r="BF167" i="53"/>
  <c r="BF138" i="53"/>
  <c r="BF139" i="53" s="1"/>
  <c r="BF140" i="53" s="1"/>
  <c r="BF142" i="53" s="1"/>
  <c r="BF144" i="53"/>
  <c r="BF131" i="53"/>
  <c r="BF179" i="53"/>
  <c r="BF186" i="53"/>
  <c r="BF143" i="53"/>
  <c r="BF108" i="53"/>
  <c r="BF189" i="53"/>
  <c r="BF106" i="53"/>
  <c r="BF107" i="53"/>
  <c r="BF193" i="53"/>
  <c r="BF150" i="53"/>
  <c r="BF153" i="53"/>
  <c r="BF104" i="53"/>
  <c r="BF102" i="53"/>
  <c r="BF103" i="53" s="1"/>
  <c r="BF114" i="53"/>
  <c r="BF7" i="53"/>
  <c r="BF117" i="53"/>
  <c r="BF121" i="53"/>
  <c r="BG6" i="53"/>
  <c r="BF157" i="53"/>
  <c r="BB196" i="53"/>
  <c r="BB213" i="53"/>
  <c r="BC160" i="53"/>
  <c r="BA215" i="53"/>
  <c r="BB160" i="53"/>
  <c r="BB161" i="53" s="1"/>
  <c r="BC161" i="53" s="1"/>
  <c r="AX204" i="53"/>
  <c r="AY200" i="53" s="1"/>
  <c r="AX202" i="53"/>
  <c r="AW216" i="53"/>
  <c r="AW205" i="53"/>
  <c r="AV217" i="53"/>
  <c r="AV206" i="53"/>
  <c r="AW206" i="53" s="1"/>
  <c r="AV207" i="53"/>
  <c r="AU218" i="53"/>
  <c r="AU219" i="53"/>
  <c r="AU220" i="53" s="1"/>
  <c r="AZ168" i="53"/>
  <c r="BA164" i="53" s="1"/>
  <c r="AZ166" i="53"/>
  <c r="AY169" i="53"/>
  <c r="AX171" i="53"/>
  <c r="AX170" i="53"/>
  <c r="BB169" i="52"/>
  <c r="BB171" i="52" s="1"/>
  <c r="AY197" i="52"/>
  <c r="AZ197" i="52" s="1"/>
  <c r="BA197" i="52" s="1"/>
  <c r="AY161" i="52"/>
  <c r="AZ161" i="52" s="1"/>
  <c r="AY169" i="52"/>
  <c r="BA113" i="52"/>
  <c r="BB183" i="52"/>
  <c r="BB184" i="52"/>
  <c r="BC213" i="52"/>
  <c r="BC145" i="52"/>
  <c r="BD148" i="52"/>
  <c r="BD147" i="52"/>
  <c r="BD149" i="52" s="1"/>
  <c r="BD160" i="52" s="1"/>
  <c r="BD106" i="52"/>
  <c r="BE198" i="52"/>
  <c r="BE199" i="52" s="1"/>
  <c r="BE201" i="52" s="1"/>
  <c r="BE191" i="52"/>
  <c r="BE188" i="52"/>
  <c r="BE195" i="52" s="1"/>
  <c r="BE126" i="52"/>
  <c r="BE127" i="52" s="1"/>
  <c r="BE129" i="52" s="1"/>
  <c r="BE119" i="52"/>
  <c r="BE116" i="52"/>
  <c r="BE123" i="52" s="1"/>
  <c r="BE140" i="52"/>
  <c r="BE141" i="52"/>
  <c r="BE146" i="52"/>
  <c r="BE162" i="52"/>
  <c r="BE163" i="52" s="1"/>
  <c r="BE165" i="52" s="1"/>
  <c r="BE155" i="52"/>
  <c r="BE152" i="52"/>
  <c r="BE159" i="52" s="1"/>
  <c r="BF192" i="52"/>
  <c r="BF190" i="52"/>
  <c r="BF187" i="52"/>
  <c r="BF110" i="52"/>
  <c r="BF105" i="52"/>
  <c r="BF120" i="52"/>
  <c r="BF118" i="52"/>
  <c r="BF115" i="52"/>
  <c r="BF175" i="52"/>
  <c r="BF156" i="52"/>
  <c r="BF154" i="52"/>
  <c r="BF151" i="52"/>
  <c r="BG7" i="52"/>
  <c r="BG186" i="52"/>
  <c r="BG167" i="52"/>
  <c r="BG114" i="52"/>
  <c r="BG180" i="52"/>
  <c r="BG189" i="52"/>
  <c r="BG108" i="52"/>
  <c r="BG102" i="52"/>
  <c r="BG143" i="52"/>
  <c r="BG203" i="52"/>
  <c r="BG193" i="52"/>
  <c r="BG144" i="52"/>
  <c r="BG107" i="52"/>
  <c r="BG179" i="52"/>
  <c r="BG174" i="52"/>
  <c r="BG131" i="52"/>
  <c r="BG157" i="52"/>
  <c r="BG117" i="52"/>
  <c r="BG121" i="52"/>
  <c r="BG138" i="52"/>
  <c r="BG150" i="52"/>
  <c r="BG153" i="52"/>
  <c r="BH6" i="52"/>
  <c r="AZ132" i="52"/>
  <c r="BA128" i="52" s="1"/>
  <c r="AZ130" i="52"/>
  <c r="AX204" i="52"/>
  <c r="AY200" i="52" s="1"/>
  <c r="AX202" i="52"/>
  <c r="AW216" i="52"/>
  <c r="AW205" i="52"/>
  <c r="AV206" i="52"/>
  <c r="AW206" i="52" s="1"/>
  <c r="AV217" i="52"/>
  <c r="AV207" i="52"/>
  <c r="AU218" i="52"/>
  <c r="AU219" i="52"/>
  <c r="AU220" i="52" s="1"/>
  <c r="AX135" i="52"/>
  <c r="AX215" i="52"/>
  <c r="BA149" i="52"/>
  <c r="AY133" i="52"/>
  <c r="AY214" i="52"/>
  <c r="BE105" i="52"/>
  <c r="BE110" i="52"/>
  <c r="BE210" i="52"/>
  <c r="BE104" i="52"/>
  <c r="BB211" i="52"/>
  <c r="BB112" i="52"/>
  <c r="BB111" i="52"/>
  <c r="AX134" i="52"/>
  <c r="BF139" i="52"/>
  <c r="BF140" i="52" s="1"/>
  <c r="BC181" i="52"/>
  <c r="AZ134" i="53"/>
  <c r="BA133" i="53"/>
  <c r="BB130" i="53"/>
  <c r="BB132" i="53"/>
  <c r="BC128" i="53" s="1"/>
  <c r="AZ135" i="53"/>
  <c r="BC166" i="52"/>
  <c r="BC168" i="52"/>
  <c r="BD164" i="52" s="1"/>
  <c r="BD66" i="51"/>
  <c r="BF6" i="51"/>
  <c r="BE7" i="51"/>
  <c r="BE65" i="51"/>
  <c r="BE68" i="51"/>
  <c r="BE70" i="51"/>
  <c r="BE72" i="51"/>
  <c r="BE73" i="51"/>
  <c r="BE64" i="51"/>
  <c r="BE81" i="51"/>
  <c r="BE82" i="51" s="1"/>
  <c r="BE85" i="51"/>
  <c r="BE86" i="51"/>
  <c r="BE87" i="51"/>
  <c r="BE88" i="51"/>
  <c r="BE89" i="51"/>
  <c r="BE90" i="51"/>
  <c r="BE91" i="51"/>
  <c r="BE92" i="51"/>
  <c r="BE93" i="51"/>
  <c r="BE94" i="51"/>
  <c r="BD67" i="51"/>
  <c r="BD69" i="51"/>
  <c r="BD83" i="51"/>
  <c r="BD84" i="51"/>
  <c r="BC71" i="51"/>
  <c r="BC75" i="51" s="1"/>
  <c r="BC76" i="51"/>
  <c r="BC98" i="51"/>
  <c r="BC99" i="51" s="1"/>
  <c r="BC101" i="51" s="1"/>
  <c r="BC95" i="51"/>
  <c r="BB75" i="51"/>
  <c r="AY108" i="51"/>
  <c r="AY107" i="51"/>
  <c r="BA102" i="51"/>
  <c r="BA104" i="51"/>
  <c r="BB100" i="51" s="1"/>
  <c r="BD79" i="51"/>
  <c r="BD159" i="53" l="1"/>
  <c r="BG194" i="53"/>
  <c r="BG158" i="53"/>
  <c r="BG122" i="53"/>
  <c r="BH194" i="52"/>
  <c r="BH158" i="52"/>
  <c r="BH122" i="52"/>
  <c r="AV218" i="52"/>
  <c r="BE183" i="52"/>
  <c r="BE184" i="52"/>
  <c r="BD183" i="52"/>
  <c r="BD184" i="52"/>
  <c r="BD185" i="53"/>
  <c r="BD212" i="53"/>
  <c r="BD124" i="53"/>
  <c r="BD125" i="53" s="1"/>
  <c r="BE183" i="53"/>
  <c r="BE184" i="53"/>
  <c r="BE185" i="53"/>
  <c r="BE148" i="53"/>
  <c r="BE147" i="53"/>
  <c r="BE149" i="53" s="1"/>
  <c r="BE198" i="53"/>
  <c r="BE199" i="53" s="1"/>
  <c r="BE201" i="53" s="1"/>
  <c r="BE188" i="53"/>
  <c r="BE191" i="53"/>
  <c r="BE162" i="53"/>
  <c r="BE163" i="53" s="1"/>
  <c r="BE165" i="53" s="1"/>
  <c r="BE155" i="53"/>
  <c r="BE152" i="53"/>
  <c r="BE159" i="53" s="1"/>
  <c r="BE126" i="53"/>
  <c r="BE127" i="53" s="1"/>
  <c r="BE129" i="53" s="1"/>
  <c r="BE119" i="53"/>
  <c r="BE116" i="53"/>
  <c r="BE123" i="53" s="1"/>
  <c r="BF182" i="53"/>
  <c r="BF177" i="53"/>
  <c r="BF181" i="53" s="1"/>
  <c r="BF146" i="53"/>
  <c r="BF141" i="53"/>
  <c r="BF145" i="53" s="1"/>
  <c r="BF187" i="53"/>
  <c r="BF190" i="53"/>
  <c r="BF192" i="53"/>
  <c r="BF154" i="53"/>
  <c r="BF151" i="53"/>
  <c r="BF156" i="53"/>
  <c r="BF210" i="53"/>
  <c r="BF105" i="53"/>
  <c r="BF109" i="53" s="1"/>
  <c r="BF110" i="53"/>
  <c r="BF120" i="53"/>
  <c r="BF118" i="53"/>
  <c r="BF115" i="53"/>
  <c r="BG203" i="53"/>
  <c r="BG180" i="53"/>
  <c r="BG174" i="53"/>
  <c r="BG175" i="53" s="1"/>
  <c r="BG176" i="53" s="1"/>
  <c r="BG178" i="53" s="1"/>
  <c r="BG167" i="53"/>
  <c r="BG138" i="53"/>
  <c r="BG139" i="53" s="1"/>
  <c r="BG140" i="53" s="1"/>
  <c r="BG142" i="53" s="1"/>
  <c r="BG144" i="53"/>
  <c r="BG131" i="53"/>
  <c r="BG179" i="53"/>
  <c r="BG186" i="53"/>
  <c r="BG108" i="53"/>
  <c r="BG143" i="53"/>
  <c r="BG189" i="53"/>
  <c r="BG107" i="53"/>
  <c r="BG106" i="53"/>
  <c r="BG102" i="53"/>
  <c r="BG103" i="53" s="1"/>
  <c r="BG193" i="53"/>
  <c r="BG153" i="53"/>
  <c r="BG150" i="53"/>
  <c r="BG104" i="53"/>
  <c r="BG121" i="53"/>
  <c r="BG114" i="53"/>
  <c r="BG7" i="53"/>
  <c r="BG117" i="53"/>
  <c r="BH6" i="53"/>
  <c r="BG157" i="53"/>
  <c r="BB197" i="53"/>
  <c r="BB214" i="53"/>
  <c r="BB215" i="53" s="1"/>
  <c r="BC196" i="53"/>
  <c r="BC214" i="53" s="1"/>
  <c r="BC213" i="53"/>
  <c r="BD160" i="53"/>
  <c r="BD161" i="53" s="1"/>
  <c r="AY204" i="53"/>
  <c r="AZ200" i="53" s="1"/>
  <c r="AY202" i="53"/>
  <c r="AX216" i="53"/>
  <c r="AX205" i="53"/>
  <c r="AW217" i="53"/>
  <c r="AW207" i="53"/>
  <c r="AV219" i="53"/>
  <c r="AV220" i="53" s="1"/>
  <c r="BA168" i="53"/>
  <c r="BB164" i="53" s="1"/>
  <c r="BA166" i="53"/>
  <c r="AZ169" i="53"/>
  <c r="AY171" i="53"/>
  <c r="AV218" i="53"/>
  <c r="AY170" i="53"/>
  <c r="BF210" i="52"/>
  <c r="AY215" i="52"/>
  <c r="AZ215" i="52" s="1"/>
  <c r="AY170" i="52"/>
  <c r="AZ170" i="52" s="1"/>
  <c r="AY171" i="52"/>
  <c r="BA124" i="52"/>
  <c r="BA212" i="52"/>
  <c r="BB185" i="52"/>
  <c r="BC211" i="52"/>
  <c r="BC148" i="52"/>
  <c r="BC147" i="52"/>
  <c r="BD109" i="52"/>
  <c r="BF142" i="52"/>
  <c r="BE142" i="52"/>
  <c r="BF198" i="52"/>
  <c r="BF199" i="52" s="1"/>
  <c r="BF201" i="52" s="1"/>
  <c r="BF191" i="52"/>
  <c r="BF188" i="52"/>
  <c r="BF195" i="52" s="1"/>
  <c r="BF126" i="52"/>
  <c r="BF127" i="52" s="1"/>
  <c r="BF129" i="52" s="1"/>
  <c r="BF119" i="52"/>
  <c r="BF116" i="52"/>
  <c r="BF123" i="52" s="1"/>
  <c r="BF176" i="52"/>
  <c r="BF177" i="52"/>
  <c r="BF182" i="52"/>
  <c r="BF162" i="52"/>
  <c r="BF163" i="52" s="1"/>
  <c r="BF165" i="52" s="1"/>
  <c r="BF155" i="52"/>
  <c r="BF152" i="52"/>
  <c r="BF159" i="52" s="1"/>
  <c r="BG187" i="52"/>
  <c r="BG190" i="52"/>
  <c r="BG192" i="52"/>
  <c r="BG115" i="52"/>
  <c r="BG120" i="52"/>
  <c r="BG118" i="52"/>
  <c r="BG103" i="52"/>
  <c r="BG154" i="52"/>
  <c r="BG156" i="52"/>
  <c r="BG151" i="52"/>
  <c r="BH180" i="52"/>
  <c r="BH203" i="52"/>
  <c r="BH108" i="52"/>
  <c r="BH143" i="52"/>
  <c r="BH193" i="52"/>
  <c r="BH144" i="52"/>
  <c r="BH107" i="52"/>
  <c r="BH179" i="52"/>
  <c r="BH167" i="52"/>
  <c r="BH114" i="52"/>
  <c r="BH189" i="52"/>
  <c r="BH102" i="52"/>
  <c r="BH7" i="52"/>
  <c r="BH186" i="52"/>
  <c r="BH174" i="52"/>
  <c r="BH175" i="52" s="1"/>
  <c r="BH131" i="52"/>
  <c r="BH157" i="52"/>
  <c r="BH117" i="52"/>
  <c r="BH121" i="52"/>
  <c r="BH138" i="52"/>
  <c r="BH139" i="52" s="1"/>
  <c r="BH140" i="52" s="1"/>
  <c r="BH150" i="52"/>
  <c r="BH153" i="52"/>
  <c r="BI6" i="52"/>
  <c r="BA132" i="52"/>
  <c r="BB128" i="52" s="1"/>
  <c r="BA130" i="52"/>
  <c r="AZ133" i="52"/>
  <c r="AY204" i="52"/>
  <c r="AZ200" i="52" s="1"/>
  <c r="AY202" i="52"/>
  <c r="AX216" i="52"/>
  <c r="AX205" i="52"/>
  <c r="AW217" i="52"/>
  <c r="AW207" i="52"/>
  <c r="AV219" i="52"/>
  <c r="AV220" i="52" s="1"/>
  <c r="BA160" i="52"/>
  <c r="AY135" i="52"/>
  <c r="BF141" i="52"/>
  <c r="BF146" i="52"/>
  <c r="BC184" i="52"/>
  <c r="BC183" i="52"/>
  <c r="AY134" i="52"/>
  <c r="BG175" i="52"/>
  <c r="BG139" i="52"/>
  <c r="BF106" i="52"/>
  <c r="BF109" i="52" s="1"/>
  <c r="BE106" i="52"/>
  <c r="BB113" i="52"/>
  <c r="BD213" i="52"/>
  <c r="BA134" i="53"/>
  <c r="BA135" i="53"/>
  <c r="BB133" i="53"/>
  <c r="BC130" i="53"/>
  <c r="BC132" i="53"/>
  <c r="BD128" i="53" s="1"/>
  <c r="BD166" i="52"/>
  <c r="BD168" i="52"/>
  <c r="BE164" i="52" s="1"/>
  <c r="BG6" i="51"/>
  <c r="BF64" i="51"/>
  <c r="BF65" i="51"/>
  <c r="BF68" i="51"/>
  <c r="BF70" i="51"/>
  <c r="BF72" i="51"/>
  <c r="BF73" i="51"/>
  <c r="BF74" i="51"/>
  <c r="BF79" i="51" s="1"/>
  <c r="BF7" i="51"/>
  <c r="BF81" i="51"/>
  <c r="BF82" i="51" s="1"/>
  <c r="BF85" i="51"/>
  <c r="BF86" i="51"/>
  <c r="BF87" i="51"/>
  <c r="BF88" i="51"/>
  <c r="BF89" i="51"/>
  <c r="BF90" i="51"/>
  <c r="BF91" i="51"/>
  <c r="BF92" i="51"/>
  <c r="BF93" i="51"/>
  <c r="BF94" i="51"/>
  <c r="BF103" i="51"/>
  <c r="BE66" i="51"/>
  <c r="BE67" i="51"/>
  <c r="BE69" i="51"/>
  <c r="BE83" i="51"/>
  <c r="BE84" i="51"/>
  <c r="BD71" i="51"/>
  <c r="BD76" i="51"/>
  <c r="BD98" i="51"/>
  <c r="BD99" i="51" s="1"/>
  <c r="BD95" i="51"/>
  <c r="BC77" i="51"/>
  <c r="BC78" i="51"/>
  <c r="BC80" i="51"/>
  <c r="BC96" i="51" s="1"/>
  <c r="BB77" i="51"/>
  <c r="BB78" i="51"/>
  <c r="BA105" i="51"/>
  <c r="BB104" i="51"/>
  <c r="BC100" i="51" s="1"/>
  <c r="BB102" i="51"/>
  <c r="BE195" i="53" l="1"/>
  <c r="BH194" i="53"/>
  <c r="BH158" i="53"/>
  <c r="BH122" i="53"/>
  <c r="BE185" i="52"/>
  <c r="BE196" i="52" s="1"/>
  <c r="BD185" i="52"/>
  <c r="BD196" i="52" s="1"/>
  <c r="AZ134" i="52"/>
  <c r="BI194" i="52"/>
  <c r="BI158" i="52"/>
  <c r="BI122" i="52"/>
  <c r="BF184" i="53"/>
  <c r="BF183" i="53"/>
  <c r="BF185" i="53"/>
  <c r="BF148" i="53"/>
  <c r="BF147" i="53"/>
  <c r="BF149" i="53" s="1"/>
  <c r="BF198" i="53"/>
  <c r="BF199" i="53" s="1"/>
  <c r="BF201" i="53" s="1"/>
  <c r="BF188" i="53"/>
  <c r="BF191" i="53"/>
  <c r="BF162" i="53"/>
  <c r="BF163" i="53" s="1"/>
  <c r="BF165" i="53" s="1"/>
  <c r="BF152" i="53"/>
  <c r="BF155" i="53"/>
  <c r="BF112" i="53"/>
  <c r="BF111" i="53"/>
  <c r="BF113" i="53" s="1"/>
  <c r="BF211" i="53"/>
  <c r="BF126" i="53"/>
  <c r="BF127" i="53" s="1"/>
  <c r="BF129" i="53" s="1"/>
  <c r="BF119" i="53"/>
  <c r="BF116" i="53"/>
  <c r="BF123" i="53" s="1"/>
  <c r="BG177" i="53"/>
  <c r="BG181" i="53" s="1"/>
  <c r="BG182" i="53"/>
  <c r="BG146" i="53"/>
  <c r="BG141" i="53"/>
  <c r="BG145" i="53" s="1"/>
  <c r="BG192" i="53"/>
  <c r="BG187" i="53"/>
  <c r="BG190" i="53"/>
  <c r="BG210" i="53"/>
  <c r="BG105" i="53"/>
  <c r="BG109" i="53" s="1"/>
  <c r="BG110" i="53"/>
  <c r="BG154" i="53"/>
  <c r="BG156" i="53"/>
  <c r="BG151" i="53"/>
  <c r="BG120" i="53"/>
  <c r="BG118" i="53"/>
  <c r="BG115" i="53"/>
  <c r="BH203" i="53"/>
  <c r="BH180" i="53"/>
  <c r="BH174" i="53"/>
  <c r="BH175" i="53" s="1"/>
  <c r="BH176" i="53" s="1"/>
  <c r="BH178" i="53" s="1"/>
  <c r="BH167" i="53"/>
  <c r="BH138" i="53"/>
  <c r="BH139" i="53" s="1"/>
  <c r="BH140" i="53" s="1"/>
  <c r="BH142" i="53" s="1"/>
  <c r="BH144" i="53"/>
  <c r="BH131" i="53"/>
  <c r="BH179" i="53"/>
  <c r="BH189" i="53"/>
  <c r="BH186" i="53"/>
  <c r="BH143" i="53"/>
  <c r="BH108" i="53"/>
  <c r="BH104" i="53"/>
  <c r="BH107" i="53"/>
  <c r="BH102" i="53"/>
  <c r="BH103" i="53" s="1"/>
  <c r="BH193" i="53"/>
  <c r="BH150" i="53"/>
  <c r="BH153" i="53"/>
  <c r="BH106" i="53"/>
  <c r="BH117" i="53"/>
  <c r="BH121" i="53"/>
  <c r="BH7" i="53"/>
  <c r="BH114" i="53"/>
  <c r="BH157" i="53"/>
  <c r="BI6" i="53"/>
  <c r="BD196" i="53"/>
  <c r="BD214" i="53" s="1"/>
  <c r="BD213" i="53"/>
  <c r="BC197" i="53"/>
  <c r="BD197" i="53" s="1"/>
  <c r="BC215" i="53"/>
  <c r="BD215" i="53" s="1"/>
  <c r="BE160" i="53"/>
  <c r="BE161" i="53" s="1"/>
  <c r="AZ204" i="53"/>
  <c r="BA200" i="53" s="1"/>
  <c r="AZ202" i="53"/>
  <c r="AY216" i="53"/>
  <c r="AY205" i="53"/>
  <c r="AX217" i="53"/>
  <c r="AX206" i="53"/>
  <c r="AY206" i="53" s="1"/>
  <c r="AX207" i="53"/>
  <c r="AW219" i="53"/>
  <c r="AW220" i="53" s="1"/>
  <c r="BB168" i="53"/>
  <c r="BC164" i="53" s="1"/>
  <c r="BB166" i="53"/>
  <c r="BA169" i="53"/>
  <c r="AZ171" i="53"/>
  <c r="AW218" i="53"/>
  <c r="AZ170" i="53"/>
  <c r="BA133" i="52"/>
  <c r="BA125" i="52"/>
  <c r="BA214" i="52"/>
  <c r="BB196" i="52"/>
  <c r="BC149" i="52"/>
  <c r="BD111" i="52"/>
  <c r="BD112" i="52"/>
  <c r="BD211" i="52"/>
  <c r="BE213" i="52"/>
  <c r="BE145" i="52"/>
  <c r="BF178" i="52"/>
  <c r="BG198" i="52"/>
  <c r="BG199" i="52" s="1"/>
  <c r="BG201" i="52" s="1"/>
  <c r="BG191" i="52"/>
  <c r="BG188" i="52"/>
  <c r="BG195" i="52" s="1"/>
  <c r="BG126" i="52"/>
  <c r="BG127" i="52" s="1"/>
  <c r="BG129" i="52" s="1"/>
  <c r="BG119" i="52"/>
  <c r="BG116" i="52"/>
  <c r="BG123" i="52" s="1"/>
  <c r="BG210" i="52"/>
  <c r="BG105" i="52"/>
  <c r="BG110" i="52"/>
  <c r="BG104" i="52"/>
  <c r="BG162" i="52"/>
  <c r="BG163" i="52" s="1"/>
  <c r="BG165" i="52" s="1"/>
  <c r="BG155" i="52"/>
  <c r="BG152" i="52"/>
  <c r="BG159" i="52" s="1"/>
  <c r="BH115" i="52"/>
  <c r="BH120" i="52"/>
  <c r="BH118" i="52"/>
  <c r="BH190" i="52"/>
  <c r="BH192" i="52"/>
  <c r="BH187" i="52"/>
  <c r="BH182" i="52"/>
  <c r="BH177" i="52"/>
  <c r="BH146" i="52"/>
  <c r="BH141" i="52"/>
  <c r="BH154" i="52"/>
  <c r="BH151" i="52"/>
  <c r="BH156" i="52"/>
  <c r="BI144" i="52"/>
  <c r="BI167" i="52"/>
  <c r="BI193" i="52"/>
  <c r="BI179" i="52"/>
  <c r="BI114" i="52"/>
  <c r="BI143" i="52"/>
  <c r="BI189" i="52"/>
  <c r="BI102" i="52"/>
  <c r="BI108" i="52"/>
  <c r="BI203" i="52"/>
  <c r="BI186" i="52"/>
  <c r="BI180" i="52"/>
  <c r="BI174" i="52"/>
  <c r="BI107" i="52"/>
  <c r="BI7" i="52"/>
  <c r="BI157" i="52"/>
  <c r="BI117" i="52"/>
  <c r="BI121" i="52"/>
  <c r="BI138" i="52"/>
  <c r="BI150" i="52"/>
  <c r="BI153" i="52"/>
  <c r="BI131" i="52"/>
  <c r="BJ6" i="52"/>
  <c r="BB132" i="52"/>
  <c r="BC128" i="52" s="1"/>
  <c r="BB130" i="52"/>
  <c r="AZ135" i="52"/>
  <c r="AZ204" i="52"/>
  <c r="BA200" i="52" s="1"/>
  <c r="AZ202" i="52"/>
  <c r="AY216" i="52"/>
  <c r="AY205" i="52"/>
  <c r="AX217" i="52"/>
  <c r="AX206" i="52"/>
  <c r="AY206" i="52" s="1"/>
  <c r="AX207" i="52"/>
  <c r="AW218" i="52"/>
  <c r="AX218" i="52" s="1"/>
  <c r="AW219" i="52"/>
  <c r="AW220" i="52" s="1"/>
  <c r="BA161" i="52"/>
  <c r="BB161" i="52" s="1"/>
  <c r="BA169" i="52"/>
  <c r="BG176" i="52"/>
  <c r="BG178" i="52" s="1"/>
  <c r="BG177" i="52"/>
  <c r="BG182" i="52"/>
  <c r="BG141" i="52"/>
  <c r="BG146" i="52"/>
  <c r="BG140" i="52"/>
  <c r="BF111" i="52"/>
  <c r="BF112" i="52"/>
  <c r="BB212" i="52"/>
  <c r="BB124" i="52"/>
  <c r="BF145" i="52"/>
  <c r="BH103" i="52"/>
  <c r="BH176" i="52"/>
  <c r="BC185" i="52"/>
  <c r="BC196" i="52" s="1"/>
  <c r="BE109" i="52"/>
  <c r="BB134" i="53"/>
  <c r="BB135" i="53"/>
  <c r="BC133" i="53"/>
  <c r="BD130" i="53"/>
  <c r="BD132" i="53"/>
  <c r="BE128" i="53" s="1"/>
  <c r="BE166" i="52"/>
  <c r="BE168" i="52"/>
  <c r="BF164" i="52" s="1"/>
  <c r="BD169" i="52"/>
  <c r="BD171" i="52" s="1"/>
  <c r="BB80" i="51"/>
  <c r="BB96" i="51" s="1"/>
  <c r="BB105" i="51" s="1"/>
  <c r="BH6" i="51"/>
  <c r="BG7" i="51"/>
  <c r="BG65" i="51"/>
  <c r="BG68" i="51"/>
  <c r="BG70" i="51"/>
  <c r="BG72" i="51"/>
  <c r="BG73" i="51"/>
  <c r="BG74" i="51"/>
  <c r="BG79" i="51" s="1"/>
  <c r="BG64" i="51"/>
  <c r="BG81" i="51"/>
  <c r="BG82" i="51" s="1"/>
  <c r="BG85" i="51"/>
  <c r="BG86" i="51"/>
  <c r="BG99" i="51"/>
  <c r="BG87" i="51"/>
  <c r="BG88" i="51"/>
  <c r="BG89" i="51"/>
  <c r="BG90" i="51"/>
  <c r="BG91" i="51"/>
  <c r="BG92" i="51"/>
  <c r="BG93" i="51"/>
  <c r="BG94" i="51"/>
  <c r="BF67" i="51"/>
  <c r="BF69" i="51"/>
  <c r="BF83" i="51"/>
  <c r="BF84" i="51"/>
  <c r="BE71" i="51"/>
  <c r="BE76" i="51"/>
  <c r="BE98" i="51"/>
  <c r="BE99" i="51" s="1"/>
  <c r="BE101" i="51" s="1"/>
  <c r="BE95" i="51"/>
  <c r="BD75" i="51"/>
  <c r="BD101" i="51"/>
  <c r="BA107" i="51"/>
  <c r="BA108" i="51"/>
  <c r="BC104" i="51"/>
  <c r="BD100" i="51" s="1"/>
  <c r="BC102" i="51"/>
  <c r="BF66" i="51"/>
  <c r="BF159" i="53" l="1"/>
  <c r="BF195" i="53"/>
  <c r="BI194" i="53"/>
  <c r="BI158" i="53"/>
  <c r="BI122" i="53"/>
  <c r="BJ194" i="52"/>
  <c r="BJ158" i="52"/>
  <c r="BJ122" i="52"/>
  <c r="BF213" i="52"/>
  <c r="BB125" i="52"/>
  <c r="BC125" i="52" s="1"/>
  <c r="AX218" i="53"/>
  <c r="BF212" i="53"/>
  <c r="BF124" i="53"/>
  <c r="BG183" i="53"/>
  <c r="BG184" i="53"/>
  <c r="BG185" i="53"/>
  <c r="BG147" i="53"/>
  <c r="BG148" i="53"/>
  <c r="BG198" i="53"/>
  <c r="BG199" i="53" s="1"/>
  <c r="BG201" i="53" s="1"/>
  <c r="BG188" i="53"/>
  <c r="BG195" i="53" s="1"/>
  <c r="BG191" i="53"/>
  <c r="BG111" i="53"/>
  <c r="BG112" i="53"/>
  <c r="BG113" i="53" s="1"/>
  <c r="BG211" i="53"/>
  <c r="BG162" i="53"/>
  <c r="BG163" i="53" s="1"/>
  <c r="BG165" i="53" s="1"/>
  <c r="BG152" i="53"/>
  <c r="BG159" i="53" s="1"/>
  <c r="BG155" i="53"/>
  <c r="BG126" i="53"/>
  <c r="BG127" i="53" s="1"/>
  <c r="BG129" i="53" s="1"/>
  <c r="BG119" i="53"/>
  <c r="BG116" i="53"/>
  <c r="BG123" i="53" s="1"/>
  <c r="BH182" i="53"/>
  <c r="BH177" i="53"/>
  <c r="BH181" i="53" s="1"/>
  <c r="BH146" i="53"/>
  <c r="BH141" i="53"/>
  <c r="BH145" i="53" s="1"/>
  <c r="BH187" i="53"/>
  <c r="BH190" i="53"/>
  <c r="BH192" i="53"/>
  <c r="BH210" i="53"/>
  <c r="BH110" i="53"/>
  <c r="BH105" i="53"/>
  <c r="BH109" i="53" s="1"/>
  <c r="BH151" i="53"/>
  <c r="BH154" i="53"/>
  <c r="BH156" i="53"/>
  <c r="BH120" i="53"/>
  <c r="BH118" i="53"/>
  <c r="BH115" i="53"/>
  <c r="BI203" i="53"/>
  <c r="BI180" i="53"/>
  <c r="BI174" i="53"/>
  <c r="BI175" i="53" s="1"/>
  <c r="BI176" i="53" s="1"/>
  <c r="BI178" i="53" s="1"/>
  <c r="BI167" i="53"/>
  <c r="BI138" i="53"/>
  <c r="BI139" i="53" s="1"/>
  <c r="BI140" i="53" s="1"/>
  <c r="BI142" i="53" s="1"/>
  <c r="BI144" i="53"/>
  <c r="BI131" i="53"/>
  <c r="BI179" i="53"/>
  <c r="BI108" i="53"/>
  <c r="BI189" i="53"/>
  <c r="BI143" i="53"/>
  <c r="BI186" i="53"/>
  <c r="BI106" i="53"/>
  <c r="BI104" i="53"/>
  <c r="BI193" i="53"/>
  <c r="BI150" i="53"/>
  <c r="BI153" i="53"/>
  <c r="BI107" i="53"/>
  <c r="BI102" i="53"/>
  <c r="BI103" i="53" s="1"/>
  <c r="BI114" i="53"/>
  <c r="BI7" i="53"/>
  <c r="BI117" i="53"/>
  <c r="BI121" i="53"/>
  <c r="BJ6" i="53"/>
  <c r="BI157" i="53"/>
  <c r="BE196" i="53"/>
  <c r="BE197" i="53" s="1"/>
  <c r="BE213" i="53"/>
  <c r="BA170" i="53"/>
  <c r="BF160" i="53"/>
  <c r="BF161" i="53" s="1"/>
  <c r="BA204" i="53"/>
  <c r="BB200" i="53" s="1"/>
  <c r="BA202" i="53"/>
  <c r="AZ216" i="53"/>
  <c r="AZ205" i="53"/>
  <c r="AY217" i="53"/>
  <c r="AY207" i="53"/>
  <c r="AX219" i="53"/>
  <c r="AX220" i="53" s="1"/>
  <c r="BC166" i="53"/>
  <c r="BC168" i="53"/>
  <c r="BD164" i="53" s="1"/>
  <c r="BB169" i="53"/>
  <c r="BA171" i="53"/>
  <c r="BA134" i="52"/>
  <c r="BA135" i="52"/>
  <c r="BA215" i="52"/>
  <c r="BB197" i="52"/>
  <c r="BC197" i="52" s="1"/>
  <c r="BD197" i="52" s="1"/>
  <c r="BE197" i="52" s="1"/>
  <c r="BC212" i="52"/>
  <c r="BC160" i="52"/>
  <c r="BD113" i="52"/>
  <c r="BE148" i="52"/>
  <c r="BE147" i="52"/>
  <c r="BF181" i="52"/>
  <c r="BG106" i="52"/>
  <c r="BH126" i="52"/>
  <c r="BH127" i="52" s="1"/>
  <c r="BH129" i="52" s="1"/>
  <c r="BH119" i="52"/>
  <c r="BH116" i="52"/>
  <c r="BH123" i="52" s="1"/>
  <c r="BH198" i="52"/>
  <c r="BH199" i="52" s="1"/>
  <c r="BH201" i="52" s="1"/>
  <c r="BH188" i="52"/>
  <c r="BH191" i="52"/>
  <c r="BH162" i="52"/>
  <c r="BH163" i="52" s="1"/>
  <c r="BH165" i="52" s="1"/>
  <c r="BH155" i="52"/>
  <c r="BH152" i="52"/>
  <c r="BH159" i="52" s="1"/>
  <c r="BI120" i="52"/>
  <c r="BI115" i="52"/>
  <c r="BI118" i="52"/>
  <c r="BI190" i="52"/>
  <c r="BI192" i="52"/>
  <c r="BI187" i="52"/>
  <c r="BI175" i="52"/>
  <c r="BI139" i="52"/>
  <c r="BI156" i="52"/>
  <c r="BI154" i="52"/>
  <c r="BI151" i="52"/>
  <c r="BJ174" i="52"/>
  <c r="BJ7" i="52"/>
  <c r="BJ180" i="52"/>
  <c r="BJ186" i="52"/>
  <c r="BJ102" i="52"/>
  <c r="BJ103" i="52" s="1"/>
  <c r="BJ108" i="52"/>
  <c r="BJ189" i="52"/>
  <c r="BJ193" i="52"/>
  <c r="BJ203" i="52"/>
  <c r="BJ114" i="52"/>
  <c r="BJ143" i="52"/>
  <c r="BJ179" i="52"/>
  <c r="BJ167" i="52"/>
  <c r="BJ107" i="52"/>
  <c r="BJ144" i="52"/>
  <c r="BJ131" i="52"/>
  <c r="BJ157" i="52"/>
  <c r="BJ117" i="52"/>
  <c r="BJ121" i="52"/>
  <c r="BJ138" i="52"/>
  <c r="BJ150" i="52"/>
  <c r="BJ153" i="52"/>
  <c r="BK6" i="52"/>
  <c r="BC132" i="52"/>
  <c r="BD128" i="52" s="1"/>
  <c r="BC130" i="52"/>
  <c r="BA204" i="52"/>
  <c r="BB200" i="52" s="1"/>
  <c r="BA202" i="52"/>
  <c r="AZ216" i="52"/>
  <c r="AZ205" i="52"/>
  <c r="AY217" i="52"/>
  <c r="AY207" i="52"/>
  <c r="AX219" i="52"/>
  <c r="AX220" i="52" s="1"/>
  <c r="BA170" i="52"/>
  <c r="BB170" i="52" s="1"/>
  <c r="BA171" i="52"/>
  <c r="BH142" i="52"/>
  <c r="BH145" i="52" s="1"/>
  <c r="BG142" i="52"/>
  <c r="BB133" i="52"/>
  <c r="BB214" i="52"/>
  <c r="BF147" i="52"/>
  <c r="BF148" i="52"/>
  <c r="BH105" i="52"/>
  <c r="BH110" i="52"/>
  <c r="BH210" i="52"/>
  <c r="BH104" i="52"/>
  <c r="BE211" i="52"/>
  <c r="BE112" i="52"/>
  <c r="BE111" i="52"/>
  <c r="BG181" i="52"/>
  <c r="BH178" i="52"/>
  <c r="BF113" i="52"/>
  <c r="BI103" i="52"/>
  <c r="BC134" i="53"/>
  <c r="BC135" i="53"/>
  <c r="BD133" i="53"/>
  <c r="BE130" i="53"/>
  <c r="BE132" i="53"/>
  <c r="BF128" i="53" s="1"/>
  <c r="BF166" i="52"/>
  <c r="BF168" i="52"/>
  <c r="BG164" i="52" s="1"/>
  <c r="BG66" i="51"/>
  <c r="BI6" i="51"/>
  <c r="BH99" i="51"/>
  <c r="BH101" i="51" s="1"/>
  <c r="BH64" i="51"/>
  <c r="BH65" i="51"/>
  <c r="BH68" i="51"/>
  <c r="BH70" i="51"/>
  <c r="BH72" i="51"/>
  <c r="BH73" i="51"/>
  <c r="BH74" i="51"/>
  <c r="BH79" i="51" s="1"/>
  <c r="BH7" i="51"/>
  <c r="BH81" i="51"/>
  <c r="BH82" i="51" s="1"/>
  <c r="BH85" i="51"/>
  <c r="BH86" i="51"/>
  <c r="BH87" i="51"/>
  <c r="BH88" i="51"/>
  <c r="BH89" i="51"/>
  <c r="BH90" i="51"/>
  <c r="BH91" i="51"/>
  <c r="BH92" i="51"/>
  <c r="BH93" i="51"/>
  <c r="BH94" i="51"/>
  <c r="BH103" i="51"/>
  <c r="BG67" i="51"/>
  <c r="BG69" i="51"/>
  <c r="BG83" i="51"/>
  <c r="BG84" i="51"/>
  <c r="BF71" i="51"/>
  <c r="BF76" i="51"/>
  <c r="BF98" i="51"/>
  <c r="BF99" i="51" s="1"/>
  <c r="BF95" i="51"/>
  <c r="BD77" i="51"/>
  <c r="BD78" i="51"/>
  <c r="BD80" i="51" s="1"/>
  <c r="BD96" i="51" s="1"/>
  <c r="BD102" i="51"/>
  <c r="BD104" i="51"/>
  <c r="BE100" i="51" s="1"/>
  <c r="BC105" i="51"/>
  <c r="BB107" i="51"/>
  <c r="BB108" i="51"/>
  <c r="BJ194" i="53" l="1"/>
  <c r="BJ158" i="53"/>
  <c r="BJ122" i="53"/>
  <c r="BH195" i="52"/>
  <c r="BK194" i="52"/>
  <c r="BK158" i="52"/>
  <c r="BK122" i="52"/>
  <c r="BG124" i="53"/>
  <c r="BH183" i="53"/>
  <c r="BH184" i="53"/>
  <c r="BH185" i="53"/>
  <c r="BH147" i="53"/>
  <c r="BH148" i="53"/>
  <c r="BH149" i="53"/>
  <c r="BH198" i="53"/>
  <c r="BH199" i="53" s="1"/>
  <c r="BH201" i="53" s="1"/>
  <c r="BH188" i="53"/>
  <c r="BH191" i="53"/>
  <c r="BH111" i="53"/>
  <c r="BH112" i="53"/>
  <c r="BH211" i="53"/>
  <c r="BH162" i="53"/>
  <c r="BH163" i="53" s="1"/>
  <c r="BH165" i="53" s="1"/>
  <c r="BH152" i="53"/>
  <c r="BH155" i="53"/>
  <c r="BH126" i="53"/>
  <c r="BH127" i="53" s="1"/>
  <c r="BH129" i="53" s="1"/>
  <c r="BH119" i="53"/>
  <c r="BH116" i="53"/>
  <c r="BH123" i="53" s="1"/>
  <c r="BI182" i="53"/>
  <c r="BI177" i="53"/>
  <c r="BI181" i="53" s="1"/>
  <c r="BI146" i="53"/>
  <c r="BI141" i="53"/>
  <c r="BI145" i="53" s="1"/>
  <c r="BI190" i="53"/>
  <c r="BI187" i="53"/>
  <c r="BI192" i="53"/>
  <c r="BI154" i="53"/>
  <c r="BI151" i="53"/>
  <c r="BI156" i="53"/>
  <c r="BI210" i="53"/>
  <c r="BI105" i="53"/>
  <c r="BI109" i="53" s="1"/>
  <c r="BI110" i="53"/>
  <c r="BI120" i="53"/>
  <c r="BI118" i="53"/>
  <c r="BI115" i="53"/>
  <c r="BJ203" i="53"/>
  <c r="BJ180" i="53"/>
  <c r="BJ174" i="53"/>
  <c r="BJ175" i="53" s="1"/>
  <c r="BJ176" i="53" s="1"/>
  <c r="BJ178" i="53" s="1"/>
  <c r="BJ167" i="53"/>
  <c r="BJ138" i="53"/>
  <c r="BJ139" i="53" s="1"/>
  <c r="BJ140" i="53" s="1"/>
  <c r="BJ142" i="53" s="1"/>
  <c r="BJ144" i="53"/>
  <c r="BJ131" i="53"/>
  <c r="BJ179" i="53"/>
  <c r="BJ189" i="53"/>
  <c r="BJ108" i="53"/>
  <c r="BJ143" i="53"/>
  <c r="BJ186" i="53"/>
  <c r="BJ102" i="53"/>
  <c r="BJ103" i="53" s="1"/>
  <c r="BJ193" i="53"/>
  <c r="BJ153" i="53"/>
  <c r="BJ150" i="53"/>
  <c r="BJ107" i="53"/>
  <c r="BJ117" i="53"/>
  <c r="BJ121" i="53"/>
  <c r="BJ106" i="53"/>
  <c r="BJ7" i="53"/>
  <c r="BJ104" i="53"/>
  <c r="BJ114" i="53"/>
  <c r="BJ157" i="53"/>
  <c r="BK6" i="53"/>
  <c r="BF196" i="53"/>
  <c r="BF213" i="53"/>
  <c r="BG149" i="53"/>
  <c r="BG212" i="53" s="1"/>
  <c r="BB204" i="53"/>
  <c r="BC200" i="53" s="1"/>
  <c r="BB202" i="53"/>
  <c r="BA216" i="53"/>
  <c r="BA205" i="53"/>
  <c r="AZ206" i="53"/>
  <c r="AZ217" i="53"/>
  <c r="AZ207" i="53"/>
  <c r="AY218" i="53"/>
  <c r="AZ218" i="53" s="1"/>
  <c r="AY219" i="53"/>
  <c r="AY220" i="53" s="1"/>
  <c r="BC169" i="53"/>
  <c r="BD168" i="53"/>
  <c r="BE164" i="53" s="1"/>
  <c r="BD166" i="53"/>
  <c r="BB170" i="53"/>
  <c r="BB171" i="53"/>
  <c r="BC161" i="52"/>
  <c r="BD161" i="52" s="1"/>
  <c r="BC169" i="52"/>
  <c r="BC214" i="52"/>
  <c r="BD124" i="52"/>
  <c r="BD212" i="52"/>
  <c r="BE149" i="52"/>
  <c r="BF211" i="52"/>
  <c r="BF184" i="52"/>
  <c r="BF183" i="52"/>
  <c r="BG213" i="52"/>
  <c r="BG109" i="52"/>
  <c r="BI126" i="52"/>
  <c r="BI127" i="52" s="1"/>
  <c r="BI129" i="52" s="1"/>
  <c r="BI119" i="52"/>
  <c r="BI116" i="52"/>
  <c r="BI123" i="52" s="1"/>
  <c r="BI198" i="52"/>
  <c r="BI199" i="52" s="1"/>
  <c r="BI201" i="52" s="1"/>
  <c r="BI188" i="52"/>
  <c r="BI191" i="52"/>
  <c r="BI176" i="52"/>
  <c r="BI177" i="52"/>
  <c r="BI182" i="52"/>
  <c r="BI140" i="52"/>
  <c r="BI146" i="52"/>
  <c r="BI141" i="52"/>
  <c r="BI162" i="52"/>
  <c r="BI163" i="52" s="1"/>
  <c r="BI165" i="52" s="1"/>
  <c r="BI155" i="52"/>
  <c r="BI152" i="52"/>
  <c r="BI159" i="52" s="1"/>
  <c r="BJ187" i="52"/>
  <c r="BJ192" i="52"/>
  <c r="BJ190" i="52"/>
  <c r="BJ110" i="52"/>
  <c r="BJ105" i="52"/>
  <c r="BJ104" i="52"/>
  <c r="BJ115" i="52"/>
  <c r="BJ118" i="52"/>
  <c r="BJ120" i="52"/>
  <c r="BJ154" i="52"/>
  <c r="BJ156" i="52"/>
  <c r="BJ151" i="52"/>
  <c r="BK143" i="52"/>
  <c r="BK203" i="52"/>
  <c r="BK108" i="52"/>
  <c r="BK193" i="52"/>
  <c r="BK174" i="52"/>
  <c r="BK167" i="52"/>
  <c r="BK189" i="52"/>
  <c r="BK144" i="52"/>
  <c r="BK104" i="52"/>
  <c r="BK106" i="52"/>
  <c r="BK7" i="52"/>
  <c r="BK102" i="52"/>
  <c r="BK186" i="52"/>
  <c r="BK179" i="52"/>
  <c r="BK180" i="52"/>
  <c r="BK114" i="52"/>
  <c r="BK157" i="52"/>
  <c r="BK117" i="52"/>
  <c r="BK121" i="52"/>
  <c r="BK131" i="52"/>
  <c r="BK138" i="52"/>
  <c r="BK139" i="52" s="1"/>
  <c r="BK140" i="52" s="1"/>
  <c r="BK150" i="52"/>
  <c r="BK153" i="52"/>
  <c r="BL6" i="52"/>
  <c r="BD132" i="52"/>
  <c r="BE128" i="52" s="1"/>
  <c r="BD130" i="52"/>
  <c r="BC133" i="52"/>
  <c r="BB204" i="52"/>
  <c r="BC200" i="52" s="1"/>
  <c r="BB202" i="52"/>
  <c r="BA216" i="52"/>
  <c r="BA205" i="52"/>
  <c r="AZ206" i="52"/>
  <c r="BA206" i="52" s="1"/>
  <c r="AZ217" i="52"/>
  <c r="AZ207" i="52"/>
  <c r="AY218" i="52"/>
  <c r="AZ218" i="52" s="1"/>
  <c r="AY219" i="52"/>
  <c r="AY220" i="52" s="1"/>
  <c r="BH147" i="52"/>
  <c r="BH148" i="52"/>
  <c r="BG145" i="52"/>
  <c r="BB135" i="52"/>
  <c r="BG183" i="52"/>
  <c r="BG184" i="52"/>
  <c r="BF124" i="52"/>
  <c r="BI105" i="52"/>
  <c r="BI110" i="52"/>
  <c r="BI210" i="52"/>
  <c r="BI104" i="52"/>
  <c r="BB134" i="52"/>
  <c r="BF149" i="52"/>
  <c r="BB215" i="52"/>
  <c r="BJ175" i="52"/>
  <c r="BJ139" i="52"/>
  <c r="BJ210" i="52" s="1"/>
  <c r="BH106" i="52"/>
  <c r="BE113" i="52"/>
  <c r="BH181" i="52"/>
  <c r="BD135" i="53"/>
  <c r="BF132" i="53"/>
  <c r="BG128" i="53" s="1"/>
  <c r="BF130" i="53"/>
  <c r="BG166" i="52"/>
  <c r="BG168" i="52"/>
  <c r="BH164" i="52" s="1"/>
  <c r="BD134" i="53"/>
  <c r="BG101" i="51"/>
  <c r="BF101" i="51"/>
  <c r="BD105" i="51"/>
  <c r="BJ6" i="51"/>
  <c r="BI7" i="51"/>
  <c r="BI64" i="51"/>
  <c r="BI65" i="51"/>
  <c r="BI68" i="51"/>
  <c r="BI70" i="51"/>
  <c r="BI72" i="51"/>
  <c r="BI73" i="51"/>
  <c r="BI74" i="51"/>
  <c r="BI79" i="51" s="1"/>
  <c r="BI81" i="51"/>
  <c r="BI82" i="51" s="1"/>
  <c r="BI85" i="51"/>
  <c r="BI86" i="51"/>
  <c r="BI99" i="51"/>
  <c r="BI101" i="51" s="1"/>
  <c r="BI87" i="51"/>
  <c r="BI88" i="51"/>
  <c r="BI89" i="51"/>
  <c r="BI90" i="51"/>
  <c r="BI91" i="51"/>
  <c r="BI92" i="51"/>
  <c r="BI93" i="51"/>
  <c r="BI94" i="51"/>
  <c r="BI103" i="51"/>
  <c r="BH66" i="51"/>
  <c r="BH67" i="51"/>
  <c r="BH69" i="51"/>
  <c r="BH83" i="51"/>
  <c r="BH84" i="51"/>
  <c r="BG71" i="51"/>
  <c r="BG75" i="51" s="1"/>
  <c r="BG76" i="51"/>
  <c r="BG98" i="51"/>
  <c r="BG95" i="51"/>
  <c r="BF75" i="51"/>
  <c r="BE103" i="51"/>
  <c r="BE104" i="51" s="1"/>
  <c r="BF100" i="51" s="1"/>
  <c r="BE102" i="51"/>
  <c r="BC107" i="51"/>
  <c r="BC108" i="51"/>
  <c r="BH195" i="53" l="1"/>
  <c r="BH159" i="53"/>
  <c r="BH160" i="53" s="1"/>
  <c r="BC170" i="53"/>
  <c r="BK194" i="53"/>
  <c r="BK158" i="53"/>
  <c r="BK122" i="53"/>
  <c r="BI195" i="52"/>
  <c r="BL194" i="52"/>
  <c r="BL158" i="52"/>
  <c r="BL122" i="52"/>
  <c r="BC134" i="52"/>
  <c r="BI106" i="52"/>
  <c r="BI109" i="52" s="1"/>
  <c r="BJ106" i="52"/>
  <c r="BJ109" i="52" s="1"/>
  <c r="BH113" i="53"/>
  <c r="BH212" i="53"/>
  <c r="BH124" i="53"/>
  <c r="BI183" i="53"/>
  <c r="BI184" i="53"/>
  <c r="BI185" i="53"/>
  <c r="BI147" i="53"/>
  <c r="BI148" i="53"/>
  <c r="BI149" i="53"/>
  <c r="BI198" i="53"/>
  <c r="BI199" i="53" s="1"/>
  <c r="BI201" i="53" s="1"/>
  <c r="BI188" i="53"/>
  <c r="BI191" i="53"/>
  <c r="BI162" i="53"/>
  <c r="BI163" i="53" s="1"/>
  <c r="BI165" i="53" s="1"/>
  <c r="BI155" i="53"/>
  <c r="BI152" i="53"/>
  <c r="BI112" i="53"/>
  <c r="BI111" i="53"/>
  <c r="BI113" i="53" s="1"/>
  <c r="BI211" i="53"/>
  <c r="BI126" i="53"/>
  <c r="BI127" i="53" s="1"/>
  <c r="BI129" i="53" s="1"/>
  <c r="BI119" i="53"/>
  <c r="BI116" i="53"/>
  <c r="BI123" i="53" s="1"/>
  <c r="BJ182" i="53"/>
  <c r="BJ177" i="53"/>
  <c r="BJ181" i="53" s="1"/>
  <c r="BJ146" i="53"/>
  <c r="BJ141" i="53"/>
  <c r="BJ145" i="53" s="1"/>
  <c r="BJ187" i="53"/>
  <c r="BJ190" i="53"/>
  <c r="BJ192" i="53"/>
  <c r="BJ210" i="53"/>
  <c r="BJ105" i="53"/>
  <c r="BJ109" i="53" s="1"/>
  <c r="BJ110" i="53"/>
  <c r="BJ156" i="53"/>
  <c r="BJ151" i="53"/>
  <c r="BJ154" i="53"/>
  <c r="BJ120" i="53"/>
  <c r="BJ118" i="53"/>
  <c r="BJ115" i="53"/>
  <c r="BK203" i="53"/>
  <c r="BK174" i="53"/>
  <c r="BK175" i="53" s="1"/>
  <c r="BK176" i="53" s="1"/>
  <c r="BK178" i="53" s="1"/>
  <c r="BK180" i="53"/>
  <c r="BK167" i="53"/>
  <c r="BK138" i="53"/>
  <c r="BK139" i="53" s="1"/>
  <c r="BK140" i="53" s="1"/>
  <c r="BK142" i="53" s="1"/>
  <c r="BK144" i="53"/>
  <c r="BK131" i="53"/>
  <c r="BK179" i="53"/>
  <c r="BK189" i="53"/>
  <c r="BK186" i="53"/>
  <c r="BK143" i="53"/>
  <c r="BK150" i="53"/>
  <c r="BK104" i="53"/>
  <c r="BK7" i="53"/>
  <c r="BK153" i="53"/>
  <c r="BK193" i="53"/>
  <c r="BK106" i="53"/>
  <c r="BK114" i="53"/>
  <c r="BK102" i="53"/>
  <c r="BK103" i="53" s="1"/>
  <c r="BK107" i="53"/>
  <c r="BK121" i="53"/>
  <c r="BK108" i="53"/>
  <c r="BK117" i="53"/>
  <c r="BK157" i="53"/>
  <c r="BL6" i="53"/>
  <c r="BF197" i="53"/>
  <c r="BF214" i="53"/>
  <c r="BG196" i="53"/>
  <c r="BG213" i="53"/>
  <c r="BG160" i="53"/>
  <c r="BG161" i="53" s="1"/>
  <c r="BC204" i="53"/>
  <c r="BD200" i="53" s="1"/>
  <c r="BC202" i="53"/>
  <c r="BB216" i="53"/>
  <c r="BB205" i="53"/>
  <c r="BA217" i="53"/>
  <c r="BA207" i="53"/>
  <c r="AZ219" i="53"/>
  <c r="AZ220" i="53" s="1"/>
  <c r="BC171" i="53"/>
  <c r="BE166" i="53"/>
  <c r="BE168" i="53"/>
  <c r="BF164" i="53" s="1"/>
  <c r="BD169" i="53"/>
  <c r="BA206" i="53"/>
  <c r="BC215" i="52"/>
  <c r="BC170" i="52"/>
  <c r="BD170" i="52" s="1"/>
  <c r="BC171" i="52"/>
  <c r="BD133" i="52"/>
  <c r="BD125" i="52"/>
  <c r="BD214" i="52"/>
  <c r="BE160" i="52"/>
  <c r="BF185" i="52"/>
  <c r="BF212" i="52" s="1"/>
  <c r="BG111" i="52"/>
  <c r="BG112" i="52"/>
  <c r="BG211" i="52"/>
  <c r="BH213" i="52"/>
  <c r="BI178" i="52"/>
  <c r="BI142" i="52"/>
  <c r="BJ198" i="52"/>
  <c r="BJ199" i="52" s="1"/>
  <c r="BJ201" i="52" s="1"/>
  <c r="BJ191" i="52"/>
  <c r="BJ188" i="52"/>
  <c r="BJ195" i="52" s="1"/>
  <c r="BJ126" i="52"/>
  <c r="BJ127" i="52" s="1"/>
  <c r="BJ129" i="52" s="1"/>
  <c r="BJ116" i="52"/>
  <c r="BJ119" i="52"/>
  <c r="BJ162" i="52"/>
  <c r="BJ163" i="52" s="1"/>
  <c r="BJ165" i="52" s="1"/>
  <c r="BJ152" i="52"/>
  <c r="BJ155" i="52"/>
  <c r="BK103" i="52"/>
  <c r="BK192" i="52"/>
  <c r="BK187" i="52"/>
  <c r="BK190" i="52"/>
  <c r="BK118" i="52"/>
  <c r="BK115" i="52"/>
  <c r="BK120" i="52"/>
  <c r="BK146" i="52"/>
  <c r="BK141" i="52"/>
  <c r="BK151" i="52"/>
  <c r="BK156" i="52"/>
  <c r="BK154" i="52"/>
  <c r="BL143" i="52"/>
  <c r="BL180" i="52"/>
  <c r="BL174" i="52"/>
  <c r="BL102" i="52"/>
  <c r="BL193" i="52"/>
  <c r="BL7" i="52"/>
  <c r="BL186" i="52"/>
  <c r="BL106" i="52"/>
  <c r="BL144" i="52"/>
  <c r="BL104" i="52"/>
  <c r="BL189" i="52"/>
  <c r="BL179" i="52"/>
  <c r="BL167" i="52"/>
  <c r="BL108" i="52"/>
  <c r="BL114" i="52"/>
  <c r="BL203" i="52"/>
  <c r="BL107" i="52"/>
  <c r="BL131" i="52"/>
  <c r="BL157" i="52"/>
  <c r="BL117" i="52"/>
  <c r="BL121" i="52"/>
  <c r="BL138" i="52"/>
  <c r="BL150" i="52"/>
  <c r="BL153" i="52"/>
  <c r="BM6" i="52"/>
  <c r="BE132" i="52"/>
  <c r="BF128" i="52" s="1"/>
  <c r="BE130" i="52"/>
  <c r="BC135" i="52"/>
  <c r="BC204" i="52"/>
  <c r="BD200" i="52" s="1"/>
  <c r="BC202" i="52"/>
  <c r="BB205" i="52"/>
  <c r="BB216" i="52"/>
  <c r="BA217" i="52"/>
  <c r="BA207" i="52"/>
  <c r="AZ219" i="52"/>
  <c r="AZ220" i="52" s="1"/>
  <c r="BG148" i="52"/>
  <c r="BG147" i="52"/>
  <c r="BI111" i="52"/>
  <c r="BI112" i="52"/>
  <c r="BJ176" i="52"/>
  <c r="BJ177" i="52"/>
  <c r="BJ182" i="52"/>
  <c r="BJ146" i="52"/>
  <c r="BJ141" i="52"/>
  <c r="BJ140" i="52"/>
  <c r="BE212" i="52"/>
  <c r="BE124" i="52"/>
  <c r="BH184" i="52"/>
  <c r="BH183" i="52"/>
  <c r="BH149" i="52"/>
  <c r="BH160" i="52" s="1"/>
  <c r="BG185" i="52"/>
  <c r="BG196" i="52" s="1"/>
  <c r="BK175" i="52"/>
  <c r="BF160" i="52"/>
  <c r="BH109" i="52"/>
  <c r="BG130" i="53"/>
  <c r="BG132" i="53"/>
  <c r="BH128" i="53" s="1"/>
  <c r="BF133" i="53"/>
  <c r="BH166" i="52"/>
  <c r="BH168" i="52"/>
  <c r="BI164" i="52" s="1"/>
  <c r="BI66" i="51"/>
  <c r="BD107" i="51"/>
  <c r="BD108" i="51"/>
  <c r="BK6" i="51"/>
  <c r="BJ65" i="51"/>
  <c r="BJ68" i="51"/>
  <c r="BJ70" i="51"/>
  <c r="BJ72" i="51"/>
  <c r="BJ73" i="51"/>
  <c r="BJ74" i="51"/>
  <c r="BJ79" i="51" s="1"/>
  <c r="BJ99" i="51"/>
  <c r="BJ101" i="51" s="1"/>
  <c r="BJ7" i="51"/>
  <c r="BJ64" i="51"/>
  <c r="BJ81" i="51"/>
  <c r="BJ82" i="51" s="1"/>
  <c r="BJ85" i="51"/>
  <c r="BJ86" i="51"/>
  <c r="BJ87" i="51"/>
  <c r="BJ88" i="51"/>
  <c r="BJ89" i="51"/>
  <c r="BJ90" i="51"/>
  <c r="BJ91" i="51"/>
  <c r="BJ92" i="51"/>
  <c r="BJ93" i="51"/>
  <c r="BJ94" i="51"/>
  <c r="BJ103" i="51"/>
  <c r="BI67" i="51"/>
  <c r="BI69" i="51"/>
  <c r="BI83" i="51"/>
  <c r="BI84" i="51"/>
  <c r="BH71" i="51"/>
  <c r="BH76" i="51"/>
  <c r="BH98" i="51"/>
  <c r="BH95" i="51"/>
  <c r="BG77" i="51"/>
  <c r="BG78" i="51"/>
  <c r="BG80" i="51"/>
  <c r="BG96" i="51" s="1"/>
  <c r="BF77" i="51"/>
  <c r="BF78" i="51"/>
  <c r="BF80" i="51"/>
  <c r="BF96" i="51" s="1"/>
  <c r="BF104" i="51"/>
  <c r="BG100" i="51" s="1"/>
  <c r="BG103" i="51" s="1"/>
  <c r="BF102" i="51"/>
  <c r="BI159" i="53" l="1"/>
  <c r="BI195" i="53"/>
  <c r="BL194" i="53"/>
  <c r="BL158" i="53"/>
  <c r="BL122" i="53"/>
  <c r="BJ123" i="52"/>
  <c r="BJ159" i="52"/>
  <c r="BM194" i="52"/>
  <c r="BM158" i="52"/>
  <c r="BM122" i="52"/>
  <c r="BJ112" i="52"/>
  <c r="BJ111" i="52"/>
  <c r="BJ113" i="52" s="1"/>
  <c r="BH161" i="53"/>
  <c r="BI212" i="53"/>
  <c r="BI124" i="53"/>
  <c r="BJ183" i="53"/>
  <c r="BJ184" i="53"/>
  <c r="BJ185" i="53"/>
  <c r="BJ147" i="53"/>
  <c r="BJ148" i="53"/>
  <c r="BJ198" i="53"/>
  <c r="BJ199" i="53" s="1"/>
  <c r="BJ201" i="53" s="1"/>
  <c r="BJ188" i="53"/>
  <c r="BJ191" i="53"/>
  <c r="BJ112" i="53"/>
  <c r="BJ111" i="53"/>
  <c r="BJ113" i="53"/>
  <c r="BJ211" i="53"/>
  <c r="BJ162" i="53"/>
  <c r="BJ163" i="53" s="1"/>
  <c r="BJ165" i="53" s="1"/>
  <c r="BJ155" i="53"/>
  <c r="BJ152" i="53"/>
  <c r="BJ159" i="53" s="1"/>
  <c r="BJ126" i="53"/>
  <c r="BJ127" i="53" s="1"/>
  <c r="BJ129" i="53" s="1"/>
  <c r="BJ119" i="53"/>
  <c r="BJ116" i="53"/>
  <c r="BJ123" i="53" s="1"/>
  <c r="BK177" i="53"/>
  <c r="BK181" i="53" s="1"/>
  <c r="BK182" i="53"/>
  <c r="BK146" i="53"/>
  <c r="BK141" i="53"/>
  <c r="BK145" i="53" s="1"/>
  <c r="BK187" i="53"/>
  <c r="BK190" i="53"/>
  <c r="BK192" i="53"/>
  <c r="BK156" i="53"/>
  <c r="BK154" i="53"/>
  <c r="BK151" i="53"/>
  <c r="BK120" i="53"/>
  <c r="BK118" i="53"/>
  <c r="BK115" i="53"/>
  <c r="BK210" i="53"/>
  <c r="BK110" i="53"/>
  <c r="BK105" i="53"/>
  <c r="BK109" i="53" s="1"/>
  <c r="BL203" i="53"/>
  <c r="BL174" i="53"/>
  <c r="BL175" i="53" s="1"/>
  <c r="BL176" i="53" s="1"/>
  <c r="BL178" i="53" s="1"/>
  <c r="BL180" i="53"/>
  <c r="BL167" i="53"/>
  <c r="BL138" i="53"/>
  <c r="BL139" i="53" s="1"/>
  <c r="BL140" i="53" s="1"/>
  <c r="BL142" i="53" s="1"/>
  <c r="BL144" i="53"/>
  <c r="BL131" i="53"/>
  <c r="BL179" i="53"/>
  <c r="BL143" i="53"/>
  <c r="BL186" i="53"/>
  <c r="BL189" i="53"/>
  <c r="BL121" i="53"/>
  <c r="BL106" i="53"/>
  <c r="BL102" i="53"/>
  <c r="BL103" i="53" s="1"/>
  <c r="BL107" i="53"/>
  <c r="BL117" i="53"/>
  <c r="BL114" i="53"/>
  <c r="BL193" i="53"/>
  <c r="BL150" i="53"/>
  <c r="BL104" i="53"/>
  <c r="BL153" i="53"/>
  <c r="BL7" i="53"/>
  <c r="BL108" i="53"/>
  <c r="BM6" i="53"/>
  <c r="BL157" i="53"/>
  <c r="BH196" i="53"/>
  <c r="BH214" i="53" s="1"/>
  <c r="BH213" i="53"/>
  <c r="BB206" i="53"/>
  <c r="BG197" i="53"/>
  <c r="BH197" i="53" s="1"/>
  <c r="BI160" i="53"/>
  <c r="BG214" i="53"/>
  <c r="BD204" i="53"/>
  <c r="BE200" i="53" s="1"/>
  <c r="BD202" i="53"/>
  <c r="BC216" i="53"/>
  <c r="BC205" i="53"/>
  <c r="BB217" i="53"/>
  <c r="BB207" i="53"/>
  <c r="BA218" i="53"/>
  <c r="BB218" i="53" s="1"/>
  <c r="BA219" i="53"/>
  <c r="BA220" i="53" s="1"/>
  <c r="BE169" i="53"/>
  <c r="BE171" i="53" s="1"/>
  <c r="BF166" i="53"/>
  <c r="BF168" i="53"/>
  <c r="BG164" i="53" s="1"/>
  <c r="BD171" i="53"/>
  <c r="BD170" i="53"/>
  <c r="BE170" i="53" s="1"/>
  <c r="BD134" i="52"/>
  <c r="BD135" i="52"/>
  <c r="BD215" i="52"/>
  <c r="BE161" i="52"/>
  <c r="BF161" i="52" s="1"/>
  <c r="BE169" i="52"/>
  <c r="BF196" i="52"/>
  <c r="BF214" i="52" s="1"/>
  <c r="BG113" i="52"/>
  <c r="BI213" i="52"/>
  <c r="BI181" i="52"/>
  <c r="BI145" i="52"/>
  <c r="BK105" i="52"/>
  <c r="BK210" i="52"/>
  <c r="BK110" i="52"/>
  <c r="BK198" i="52"/>
  <c r="BK199" i="52" s="1"/>
  <c r="BK201" i="52" s="1"/>
  <c r="BK191" i="52"/>
  <c r="BK188" i="52"/>
  <c r="BK195" i="52" s="1"/>
  <c r="BK126" i="52"/>
  <c r="BK127" i="52" s="1"/>
  <c r="BK129" i="52" s="1"/>
  <c r="BK116" i="52"/>
  <c r="BK123" i="52" s="1"/>
  <c r="BK119" i="52"/>
  <c r="BK162" i="52"/>
  <c r="BK163" i="52" s="1"/>
  <c r="BK165" i="52" s="1"/>
  <c r="BK155" i="52"/>
  <c r="BK152" i="52"/>
  <c r="BK159" i="52" s="1"/>
  <c r="BL192" i="52"/>
  <c r="BL190" i="52"/>
  <c r="BL187" i="52"/>
  <c r="BL120" i="52"/>
  <c r="BL115" i="52"/>
  <c r="BL118" i="52"/>
  <c r="BL139" i="52"/>
  <c r="BL151" i="52"/>
  <c r="BL154" i="52"/>
  <c r="BL156" i="52"/>
  <c r="BM108" i="52"/>
  <c r="BM167" i="52"/>
  <c r="BM107" i="52"/>
  <c r="BM144" i="52"/>
  <c r="BM203" i="52"/>
  <c r="BM114" i="52"/>
  <c r="BM106" i="52"/>
  <c r="BM193" i="52"/>
  <c r="BM180" i="52"/>
  <c r="BM174" i="52"/>
  <c r="BM104" i="52"/>
  <c r="BM186" i="52"/>
  <c r="BM102" i="52"/>
  <c r="BM189" i="52"/>
  <c r="BM7" i="52"/>
  <c r="BM143" i="52"/>
  <c r="BM179" i="52"/>
  <c r="BM157" i="52"/>
  <c r="BM117" i="52"/>
  <c r="BM121" i="52"/>
  <c r="BM138" i="52"/>
  <c r="BM150" i="52"/>
  <c r="BM153" i="52"/>
  <c r="BM131" i="52"/>
  <c r="BN6" i="52"/>
  <c r="BF132" i="52"/>
  <c r="BG128" i="52" s="1"/>
  <c r="BF130" i="52"/>
  <c r="BD202" i="52"/>
  <c r="BD204" i="52"/>
  <c r="BE200" i="52" s="1"/>
  <c r="BC216" i="52"/>
  <c r="BC205" i="52"/>
  <c r="BB206" i="52"/>
  <c r="BC206" i="52" s="1"/>
  <c r="BB217" i="52"/>
  <c r="BB207" i="52"/>
  <c r="BA218" i="52"/>
  <c r="BB218" i="52" s="1"/>
  <c r="BA219" i="52"/>
  <c r="BA220" i="52" s="1"/>
  <c r="BG149" i="52"/>
  <c r="BE133" i="52"/>
  <c r="BE214" i="52"/>
  <c r="BK176" i="52"/>
  <c r="BK182" i="52"/>
  <c r="BK177" i="52"/>
  <c r="BF169" i="52"/>
  <c r="BF171" i="52" s="1"/>
  <c r="BH211" i="52"/>
  <c r="BH112" i="52"/>
  <c r="BH111" i="52"/>
  <c r="BI113" i="52"/>
  <c r="BE125" i="52"/>
  <c r="BF125" i="52" s="1"/>
  <c r="BL175" i="52"/>
  <c r="BL103" i="52"/>
  <c r="BJ178" i="52"/>
  <c r="BJ181" i="52" s="1"/>
  <c r="BK142" i="52"/>
  <c r="BK145" i="52" s="1"/>
  <c r="BJ142" i="52"/>
  <c r="BJ145" i="52" s="1"/>
  <c r="BH185" i="52"/>
  <c r="BH196" i="52" s="1"/>
  <c r="BG133" i="53"/>
  <c r="BH132" i="53"/>
  <c r="BI128" i="53" s="1"/>
  <c r="BH130" i="53"/>
  <c r="BF135" i="53"/>
  <c r="BI166" i="52"/>
  <c r="BI168" i="52"/>
  <c r="BJ164" i="52" s="1"/>
  <c r="BH169" i="52"/>
  <c r="BL6" i="51"/>
  <c r="BK7" i="51"/>
  <c r="BK64" i="51"/>
  <c r="BK65" i="51"/>
  <c r="BK68" i="51"/>
  <c r="BK70" i="51"/>
  <c r="BK72" i="51"/>
  <c r="BK73" i="51"/>
  <c r="BK74" i="51"/>
  <c r="BK79" i="51" s="1"/>
  <c r="BK81" i="51"/>
  <c r="BK82" i="51" s="1"/>
  <c r="BK85" i="51"/>
  <c r="BK86" i="51"/>
  <c r="BK87" i="51"/>
  <c r="BK88" i="51"/>
  <c r="BK89" i="51"/>
  <c r="BK90" i="51"/>
  <c r="BK91" i="51"/>
  <c r="BK92" i="51"/>
  <c r="BK93" i="51"/>
  <c r="BK94" i="51"/>
  <c r="BK103" i="51"/>
  <c r="BK99" i="51"/>
  <c r="BK101" i="51" s="1"/>
  <c r="BJ66" i="51"/>
  <c r="BJ67" i="51"/>
  <c r="BJ69" i="51"/>
  <c r="BJ83" i="51"/>
  <c r="BJ84" i="51"/>
  <c r="BI71" i="51"/>
  <c r="BI75" i="51" s="1"/>
  <c r="BI76" i="51"/>
  <c r="BI98" i="51"/>
  <c r="BI95" i="51"/>
  <c r="BH75" i="51"/>
  <c r="BG104" i="51"/>
  <c r="BH100" i="51" s="1"/>
  <c r="BG102" i="51"/>
  <c r="BF105" i="51"/>
  <c r="BJ195" i="53" l="1"/>
  <c r="BM194" i="53"/>
  <c r="BM158" i="53"/>
  <c r="BM122" i="53"/>
  <c r="BN194" i="52"/>
  <c r="BN158" i="52"/>
  <c r="BN122" i="52"/>
  <c r="BI161" i="53"/>
  <c r="BJ213" i="53"/>
  <c r="BJ124" i="53"/>
  <c r="BK183" i="53"/>
  <c r="BK184" i="53"/>
  <c r="BK185" i="53" s="1"/>
  <c r="BK148" i="53"/>
  <c r="BK147" i="53"/>
  <c r="BK149" i="53" s="1"/>
  <c r="BK198" i="53"/>
  <c r="BK199" i="53" s="1"/>
  <c r="BK201" i="53" s="1"/>
  <c r="BK188" i="53"/>
  <c r="BK195" i="53" s="1"/>
  <c r="BK191" i="53"/>
  <c r="BK162" i="53"/>
  <c r="BK163" i="53" s="1"/>
  <c r="BK165" i="53" s="1"/>
  <c r="BK155" i="53"/>
  <c r="BK152" i="53"/>
  <c r="BK159" i="53" s="1"/>
  <c r="BK126" i="53"/>
  <c r="BK127" i="53" s="1"/>
  <c r="BK129" i="53" s="1"/>
  <c r="BK119" i="53"/>
  <c r="BK116" i="53"/>
  <c r="BK123" i="53" s="1"/>
  <c r="BK211" i="53"/>
  <c r="BK112" i="53"/>
  <c r="BK111" i="53"/>
  <c r="BK113" i="53" s="1"/>
  <c r="BL177" i="53"/>
  <c r="BL181" i="53" s="1"/>
  <c r="BL182" i="53"/>
  <c r="BL146" i="53"/>
  <c r="BL141" i="53"/>
  <c r="BL145" i="53" s="1"/>
  <c r="BL187" i="53"/>
  <c r="BL190" i="53"/>
  <c r="BL192" i="53"/>
  <c r="BL210" i="53"/>
  <c r="BL110" i="53"/>
  <c r="BL105" i="53"/>
  <c r="BL109" i="53" s="1"/>
  <c r="BL120" i="53"/>
  <c r="BL118" i="53"/>
  <c r="BL115" i="53"/>
  <c r="BL156" i="53"/>
  <c r="BL154" i="53"/>
  <c r="BL151" i="53"/>
  <c r="BM203" i="53"/>
  <c r="BM180" i="53"/>
  <c r="BM174" i="53"/>
  <c r="BM175" i="53" s="1"/>
  <c r="BM176" i="53" s="1"/>
  <c r="BM178" i="53" s="1"/>
  <c r="BM167" i="53"/>
  <c r="BM138" i="53"/>
  <c r="BM139" i="53" s="1"/>
  <c r="BM140" i="53" s="1"/>
  <c r="BM142" i="53" s="1"/>
  <c r="BM144" i="53"/>
  <c r="BM131" i="53"/>
  <c r="BM179" i="53"/>
  <c r="BM186" i="53"/>
  <c r="BM143" i="53"/>
  <c r="BM189" i="53"/>
  <c r="BM153" i="53"/>
  <c r="BM121" i="53"/>
  <c r="BM193" i="53"/>
  <c r="BM114" i="53"/>
  <c r="BM108" i="53"/>
  <c r="BM102" i="53"/>
  <c r="BM103" i="53" s="1"/>
  <c r="BM106" i="53"/>
  <c r="BM7" i="53"/>
  <c r="BM150" i="53"/>
  <c r="BM104" i="53"/>
  <c r="BM117" i="53"/>
  <c r="BM107" i="53"/>
  <c r="BN6" i="53"/>
  <c r="BM157" i="53"/>
  <c r="BI196" i="53"/>
  <c r="BI213" i="53"/>
  <c r="BJ196" i="53"/>
  <c r="BJ149" i="53"/>
  <c r="BE204" i="53"/>
  <c r="BF200" i="53" s="1"/>
  <c r="BE202" i="53"/>
  <c r="BD216" i="53"/>
  <c r="BD205" i="53"/>
  <c r="BC206" i="53"/>
  <c r="BD206" i="53" s="1"/>
  <c r="BC217" i="53"/>
  <c r="BC207" i="53"/>
  <c r="BB219" i="53"/>
  <c r="BB220" i="53" s="1"/>
  <c r="BF169" i="53"/>
  <c r="BG166" i="53"/>
  <c r="BG168" i="53"/>
  <c r="BH164" i="53" s="1"/>
  <c r="BE170" i="52"/>
  <c r="BF170" i="52" s="1"/>
  <c r="BE171" i="52"/>
  <c r="BF197" i="52"/>
  <c r="BG197" i="52" s="1"/>
  <c r="BH197" i="52" s="1"/>
  <c r="BG124" i="52"/>
  <c r="BG212" i="52"/>
  <c r="BI184" i="52"/>
  <c r="BI183" i="52"/>
  <c r="BI211" i="52"/>
  <c r="BI148" i="52"/>
  <c r="BI147" i="52"/>
  <c r="BL198" i="52"/>
  <c r="BL199" i="52" s="1"/>
  <c r="BL201" i="52" s="1"/>
  <c r="BL191" i="52"/>
  <c r="BL188" i="52"/>
  <c r="BL195" i="52" s="1"/>
  <c r="BL126" i="52"/>
  <c r="BL127" i="52" s="1"/>
  <c r="BL129" i="52" s="1"/>
  <c r="BL116" i="52"/>
  <c r="BL119" i="52"/>
  <c r="BL140" i="52"/>
  <c r="BL141" i="52"/>
  <c r="BL146" i="52"/>
  <c r="BL162" i="52"/>
  <c r="BL163" i="52" s="1"/>
  <c r="BL165" i="52" s="1"/>
  <c r="BL155" i="52"/>
  <c r="BL152" i="52"/>
  <c r="BL159" i="52" s="1"/>
  <c r="BM115" i="52"/>
  <c r="BM120" i="52"/>
  <c r="BM118" i="52"/>
  <c r="BM187" i="52"/>
  <c r="BM192" i="52"/>
  <c r="BM190" i="52"/>
  <c r="BM154" i="52"/>
  <c r="BM156" i="52"/>
  <c r="BM151" i="52"/>
  <c r="BN189" i="52"/>
  <c r="BN174" i="52"/>
  <c r="BN7" i="52"/>
  <c r="BN102" i="52"/>
  <c r="BN186" i="52"/>
  <c r="BN104" i="52"/>
  <c r="BN180" i="52"/>
  <c r="BN106" i="52"/>
  <c r="BN193" i="52"/>
  <c r="BN114" i="52"/>
  <c r="BN203" i="52"/>
  <c r="BN144" i="52"/>
  <c r="BN167" i="52"/>
  <c r="BN179" i="52"/>
  <c r="BN107" i="52"/>
  <c r="BN143" i="52"/>
  <c r="BN108" i="52"/>
  <c r="BN157" i="52"/>
  <c r="BN117" i="52"/>
  <c r="BN121" i="52"/>
  <c r="BN131" i="52"/>
  <c r="BN138" i="52"/>
  <c r="BN150" i="52"/>
  <c r="BN153" i="52"/>
  <c r="BO6" i="52"/>
  <c r="BG132" i="52"/>
  <c r="BH128" i="52" s="1"/>
  <c r="BG130" i="52"/>
  <c r="BF133" i="52"/>
  <c r="BD216" i="52"/>
  <c r="BD205" i="52"/>
  <c r="BE204" i="52"/>
  <c r="BF200" i="52" s="1"/>
  <c r="BE202" i="52"/>
  <c r="BC217" i="52"/>
  <c r="BC207" i="52"/>
  <c r="BB219" i="52"/>
  <c r="BB220" i="52" s="1"/>
  <c r="BG160" i="52"/>
  <c r="BE135" i="52"/>
  <c r="BI124" i="52"/>
  <c r="BL176" i="52"/>
  <c r="BL178" i="52" s="1"/>
  <c r="BL182" i="52"/>
  <c r="BL177" i="52"/>
  <c r="BL210" i="52"/>
  <c r="BL110" i="52"/>
  <c r="BL105" i="52"/>
  <c r="BJ183" i="52"/>
  <c r="BJ184" i="52"/>
  <c r="BK147" i="52"/>
  <c r="BK148" i="52"/>
  <c r="BJ147" i="52"/>
  <c r="BJ148" i="52"/>
  <c r="BJ211" i="52"/>
  <c r="BE134" i="52"/>
  <c r="BE215" i="52"/>
  <c r="BF215" i="52" s="1"/>
  <c r="BM175" i="52"/>
  <c r="BM103" i="52"/>
  <c r="BM139" i="52"/>
  <c r="BK178" i="52"/>
  <c r="BK181" i="52" s="1"/>
  <c r="BH113" i="52"/>
  <c r="BJ213" i="52"/>
  <c r="BJ124" i="52"/>
  <c r="BG135" i="53"/>
  <c r="BI130" i="53"/>
  <c r="BI132" i="53"/>
  <c r="BJ128" i="53" s="1"/>
  <c r="BH133" i="53"/>
  <c r="BJ166" i="52"/>
  <c r="BJ168" i="52"/>
  <c r="BK164" i="52" s="1"/>
  <c r="BH171" i="52"/>
  <c r="BM6" i="51"/>
  <c r="BL99" i="51"/>
  <c r="BL101" i="51" s="1"/>
  <c r="BL65" i="51"/>
  <c r="BL68" i="51"/>
  <c r="BL70" i="51"/>
  <c r="BL72" i="51"/>
  <c r="BL73" i="51"/>
  <c r="BL74" i="51"/>
  <c r="BL79" i="51" s="1"/>
  <c r="BL7" i="51"/>
  <c r="BL64" i="51"/>
  <c r="BL81" i="51"/>
  <c r="BL82" i="51" s="1"/>
  <c r="BL85" i="51"/>
  <c r="BL86" i="51"/>
  <c r="BL87" i="51"/>
  <c r="BL88" i="51"/>
  <c r="BL89" i="51"/>
  <c r="BL90" i="51"/>
  <c r="BL91" i="51"/>
  <c r="BL92" i="51"/>
  <c r="BL93" i="51"/>
  <c r="BL94" i="51"/>
  <c r="BL103" i="51"/>
  <c r="BK67" i="51"/>
  <c r="BK69" i="51"/>
  <c r="BK83" i="51"/>
  <c r="BK84" i="51"/>
  <c r="BJ71" i="51"/>
  <c r="BJ76" i="51"/>
  <c r="BJ98" i="51"/>
  <c r="BJ95" i="51"/>
  <c r="BI77" i="51"/>
  <c r="BI78" i="51"/>
  <c r="BI80" i="51" s="1"/>
  <c r="BI96" i="51" s="1"/>
  <c r="BH77" i="51"/>
  <c r="BH78" i="51"/>
  <c r="BH104" i="51"/>
  <c r="BI100" i="51" s="1"/>
  <c r="BH102" i="51"/>
  <c r="BG105" i="51"/>
  <c r="BF107" i="51"/>
  <c r="BF108" i="51"/>
  <c r="BK66" i="51"/>
  <c r="BN194" i="53" l="1"/>
  <c r="BN158" i="53"/>
  <c r="BN122" i="53"/>
  <c r="BL123" i="52"/>
  <c r="BO194" i="52"/>
  <c r="BO158" i="52"/>
  <c r="BO122" i="52"/>
  <c r="BL181" i="52"/>
  <c r="BK212" i="53"/>
  <c r="BK124" i="53"/>
  <c r="BL183" i="53"/>
  <c r="BL184" i="53"/>
  <c r="BL185" i="53"/>
  <c r="BL147" i="53"/>
  <c r="BL148" i="53"/>
  <c r="BL149" i="53"/>
  <c r="BL198" i="53"/>
  <c r="BL199" i="53" s="1"/>
  <c r="BL201" i="53" s="1"/>
  <c r="BL188" i="53"/>
  <c r="BL191" i="53"/>
  <c r="BL211" i="53"/>
  <c r="BL112" i="53"/>
  <c r="BL111" i="53"/>
  <c r="BL113" i="53" s="1"/>
  <c r="BL126" i="53"/>
  <c r="BL127" i="53" s="1"/>
  <c r="BL129" i="53" s="1"/>
  <c r="BL119" i="53"/>
  <c r="BL116" i="53"/>
  <c r="BL123" i="53" s="1"/>
  <c r="BL162" i="53"/>
  <c r="BL163" i="53" s="1"/>
  <c r="BL165" i="53" s="1"/>
  <c r="BL155" i="53"/>
  <c r="BL152" i="53"/>
  <c r="BL159" i="53" s="1"/>
  <c r="BM182" i="53"/>
  <c r="BM177" i="53"/>
  <c r="BM181" i="53" s="1"/>
  <c r="BM146" i="53"/>
  <c r="BM141" i="53"/>
  <c r="BM145" i="53" s="1"/>
  <c r="BM187" i="53"/>
  <c r="BM192" i="53"/>
  <c r="BM190" i="53"/>
  <c r="BM120" i="53"/>
  <c r="BM118" i="53"/>
  <c r="BM115" i="53"/>
  <c r="BM210" i="53"/>
  <c r="BM110" i="53"/>
  <c r="BM105" i="53"/>
  <c r="BM109" i="53" s="1"/>
  <c r="BM156" i="53"/>
  <c r="BM154" i="53"/>
  <c r="BM151" i="53"/>
  <c r="BN203" i="53"/>
  <c r="BN180" i="53"/>
  <c r="BN174" i="53"/>
  <c r="BN175" i="53" s="1"/>
  <c r="BN176" i="53" s="1"/>
  <c r="BN178" i="53" s="1"/>
  <c r="BN167" i="53"/>
  <c r="BN138" i="53"/>
  <c r="BN139" i="53" s="1"/>
  <c r="BN140" i="53" s="1"/>
  <c r="BN142" i="53" s="1"/>
  <c r="BN144" i="53"/>
  <c r="BN131" i="53"/>
  <c r="BN179" i="53"/>
  <c r="BN186" i="53"/>
  <c r="BN143" i="53"/>
  <c r="BN189" i="53"/>
  <c r="BN121" i="53"/>
  <c r="BN117" i="53"/>
  <c r="BN107" i="53"/>
  <c r="BN150" i="53"/>
  <c r="BN153" i="53"/>
  <c r="BN104" i="53"/>
  <c r="BN7" i="53"/>
  <c r="BN108" i="53"/>
  <c r="BN106" i="53"/>
  <c r="BN102" i="53"/>
  <c r="BN103" i="53" s="1"/>
  <c r="BN114" i="53"/>
  <c r="BN193" i="53"/>
  <c r="BO6" i="53"/>
  <c r="BN157" i="53"/>
  <c r="BI197" i="53"/>
  <c r="BJ197" i="53" s="1"/>
  <c r="BI214" i="53"/>
  <c r="BK160" i="53"/>
  <c r="BJ160" i="53"/>
  <c r="BJ212" i="53"/>
  <c r="BF204" i="53"/>
  <c r="BG200" i="53" s="1"/>
  <c r="BF202" i="53"/>
  <c r="BE216" i="53"/>
  <c r="BE205" i="53"/>
  <c r="BD217" i="53"/>
  <c r="BD207" i="53"/>
  <c r="BC218" i="53"/>
  <c r="BC219" i="53"/>
  <c r="BC220" i="53" s="1"/>
  <c r="BF170" i="53"/>
  <c r="BF171" i="53"/>
  <c r="BG169" i="53"/>
  <c r="BH168" i="53"/>
  <c r="BI164" i="53" s="1"/>
  <c r="BH166" i="53"/>
  <c r="BG125" i="52"/>
  <c r="BG133" i="52"/>
  <c r="BG214" i="52"/>
  <c r="BI185" i="52"/>
  <c r="BI149" i="52"/>
  <c r="BL142" i="52"/>
  <c r="BM126" i="52"/>
  <c r="BM127" i="52" s="1"/>
  <c r="BM129" i="52" s="1"/>
  <c r="BM116" i="52"/>
  <c r="BM119" i="52"/>
  <c r="BM198" i="52"/>
  <c r="BM199" i="52" s="1"/>
  <c r="BM201" i="52" s="1"/>
  <c r="BM188" i="52"/>
  <c r="BM191" i="52"/>
  <c r="BM162" i="52"/>
  <c r="BM163" i="52" s="1"/>
  <c r="BM165" i="52" s="1"/>
  <c r="BM152" i="52"/>
  <c r="BM155" i="52"/>
  <c r="BN190" i="52"/>
  <c r="BN192" i="52"/>
  <c r="BN187" i="52"/>
  <c r="BN120" i="52"/>
  <c r="BN118" i="52"/>
  <c r="BN115" i="52"/>
  <c r="BN156" i="52"/>
  <c r="BN151" i="52"/>
  <c r="BN154" i="52"/>
  <c r="BO106" i="52"/>
  <c r="BO203" i="52"/>
  <c r="BO114" i="52"/>
  <c r="BO144" i="52"/>
  <c r="BO143" i="52"/>
  <c r="BO193" i="52"/>
  <c r="BO186" i="52"/>
  <c r="BO180" i="52"/>
  <c r="BO179" i="52"/>
  <c r="BO104" i="52"/>
  <c r="BO174" i="52"/>
  <c r="BO175" i="52" s="1"/>
  <c r="BO176" i="52" s="1"/>
  <c r="BO7" i="52"/>
  <c r="BO102" i="52"/>
  <c r="BO103" i="52" s="1"/>
  <c r="BO189" i="52"/>
  <c r="BO108" i="52"/>
  <c r="BO167" i="52"/>
  <c r="BO107" i="52"/>
  <c r="BO157" i="52"/>
  <c r="BO117" i="52"/>
  <c r="BO121" i="52"/>
  <c r="BO138" i="52"/>
  <c r="BO150" i="52"/>
  <c r="BO153" i="52"/>
  <c r="BO131" i="52"/>
  <c r="BP6" i="52"/>
  <c r="BH132" i="52"/>
  <c r="BI128" i="52" s="1"/>
  <c r="BH130" i="52"/>
  <c r="BF135" i="52"/>
  <c r="BD206" i="52"/>
  <c r="BD217" i="52"/>
  <c r="BD207" i="52"/>
  <c r="BF204" i="52"/>
  <c r="BG200" i="52" s="1"/>
  <c r="BF202" i="52"/>
  <c r="BE216" i="52"/>
  <c r="BE205" i="52"/>
  <c r="BC218" i="52"/>
  <c r="BD218" i="52" s="1"/>
  <c r="BC219" i="52"/>
  <c r="BC220" i="52" s="1"/>
  <c r="BG161" i="52"/>
  <c r="BH161" i="52" s="1"/>
  <c r="BG169" i="52"/>
  <c r="BK184" i="52"/>
  <c r="BK183" i="52"/>
  <c r="BM177" i="52"/>
  <c r="BM182" i="52"/>
  <c r="BM176" i="52"/>
  <c r="BM105" i="52"/>
  <c r="BM109" i="52" s="1"/>
  <c r="BM210" i="52"/>
  <c r="BM110" i="52"/>
  <c r="BM146" i="52"/>
  <c r="BM141" i="52"/>
  <c r="BM140" i="52"/>
  <c r="BM142" i="52" s="1"/>
  <c r="BM145" i="52" s="1"/>
  <c r="BH212" i="52"/>
  <c r="BH124" i="52"/>
  <c r="BK213" i="52"/>
  <c r="BJ185" i="52"/>
  <c r="BJ196" i="52" s="1"/>
  <c r="BK149" i="52"/>
  <c r="BK160" i="52" s="1"/>
  <c r="BJ149" i="52"/>
  <c r="BF134" i="52"/>
  <c r="BN175" i="52"/>
  <c r="BN103" i="52"/>
  <c r="BN139" i="52"/>
  <c r="BL109" i="52"/>
  <c r="BI133" i="53"/>
  <c r="BJ132" i="53"/>
  <c r="BK128" i="53" s="1"/>
  <c r="BJ130" i="53"/>
  <c r="BH135" i="53"/>
  <c r="BK166" i="52"/>
  <c r="BK168" i="52"/>
  <c r="BL164" i="52" s="1"/>
  <c r="BL66" i="51"/>
  <c r="BH80" i="51"/>
  <c r="BH96" i="51" s="1"/>
  <c r="BH105" i="51" s="1"/>
  <c r="BN6" i="51"/>
  <c r="BM7" i="51"/>
  <c r="BM64" i="51"/>
  <c r="BM65" i="51"/>
  <c r="BM68" i="51"/>
  <c r="BM70" i="51"/>
  <c r="BM72" i="51"/>
  <c r="BM73" i="51"/>
  <c r="BM74" i="51"/>
  <c r="BM79" i="51" s="1"/>
  <c r="BM81" i="51"/>
  <c r="BM82" i="51" s="1"/>
  <c r="BM85" i="51"/>
  <c r="BM86" i="51"/>
  <c r="BM99" i="51"/>
  <c r="BM101" i="51" s="1"/>
  <c r="BM87" i="51"/>
  <c r="BM88" i="51"/>
  <c r="BM89" i="51"/>
  <c r="BM90" i="51"/>
  <c r="BM91" i="51"/>
  <c r="BM92" i="51"/>
  <c r="BM93" i="51"/>
  <c r="BM94" i="51"/>
  <c r="BM103" i="51"/>
  <c r="BL67" i="51"/>
  <c r="BL69" i="51"/>
  <c r="BL83" i="51"/>
  <c r="BL84" i="51"/>
  <c r="BK71" i="51"/>
  <c r="BK75" i="51" s="1"/>
  <c r="BK76" i="51"/>
  <c r="BK98" i="51"/>
  <c r="BK95" i="51"/>
  <c r="BJ75" i="51"/>
  <c r="BI102" i="51"/>
  <c r="BI104" i="51"/>
  <c r="BJ100" i="51" s="1"/>
  <c r="BG107" i="51"/>
  <c r="BG108" i="51"/>
  <c r="BL195" i="53" l="1"/>
  <c r="BD218" i="53"/>
  <c r="BO194" i="53"/>
  <c r="BO158" i="53"/>
  <c r="BO122" i="53"/>
  <c r="BM123" i="52"/>
  <c r="BM195" i="52"/>
  <c r="BM159" i="52"/>
  <c r="BP194" i="52"/>
  <c r="BP158" i="52"/>
  <c r="BP122" i="52"/>
  <c r="BL183" i="52"/>
  <c r="BL184" i="52"/>
  <c r="BH125" i="52"/>
  <c r="BI125" i="52" s="1"/>
  <c r="BJ125" i="52" s="1"/>
  <c r="BG134" i="52"/>
  <c r="BL212" i="53"/>
  <c r="BL124" i="53"/>
  <c r="BM183" i="53"/>
  <c r="BM184" i="53"/>
  <c r="BM185" i="53" s="1"/>
  <c r="BM147" i="53"/>
  <c r="BM148" i="53"/>
  <c r="BM149" i="53" s="1"/>
  <c r="BM198" i="53"/>
  <c r="BM199" i="53" s="1"/>
  <c r="BM201" i="53" s="1"/>
  <c r="BM188" i="53"/>
  <c r="BM195" i="53" s="1"/>
  <c r="BM191" i="53"/>
  <c r="BM126" i="53"/>
  <c r="BM127" i="53" s="1"/>
  <c r="BM129" i="53" s="1"/>
  <c r="BM119" i="53"/>
  <c r="BM116" i="53"/>
  <c r="BM123" i="53" s="1"/>
  <c r="BM211" i="53"/>
  <c r="BM112" i="53"/>
  <c r="BM111" i="53"/>
  <c r="BM113" i="53" s="1"/>
  <c r="BM162" i="53"/>
  <c r="BM163" i="53" s="1"/>
  <c r="BM165" i="53" s="1"/>
  <c r="BM155" i="53"/>
  <c r="BM152" i="53"/>
  <c r="BM159" i="53" s="1"/>
  <c r="BN177" i="53"/>
  <c r="BN181" i="53" s="1"/>
  <c r="BN182" i="53"/>
  <c r="BN146" i="53"/>
  <c r="BN141" i="53"/>
  <c r="BN145" i="53" s="1"/>
  <c r="BN187" i="53"/>
  <c r="BN192" i="53"/>
  <c r="BN190" i="53"/>
  <c r="BN156" i="53"/>
  <c r="BN151" i="53"/>
  <c r="BN154" i="53"/>
  <c r="BN210" i="53"/>
  <c r="BN105" i="53"/>
  <c r="BN109" i="53" s="1"/>
  <c r="BN110" i="53"/>
  <c r="BN120" i="53"/>
  <c r="BN118" i="53"/>
  <c r="BN115" i="53"/>
  <c r="BO203" i="53"/>
  <c r="BO180" i="53"/>
  <c r="BO174" i="53"/>
  <c r="BO175" i="53" s="1"/>
  <c r="BO176" i="53" s="1"/>
  <c r="BO178" i="53" s="1"/>
  <c r="BO167" i="53"/>
  <c r="BO138" i="53"/>
  <c r="BO139" i="53" s="1"/>
  <c r="BO140" i="53" s="1"/>
  <c r="BO142" i="53" s="1"/>
  <c r="BO144" i="53"/>
  <c r="BO131" i="53"/>
  <c r="BO179" i="53"/>
  <c r="BO189" i="53"/>
  <c r="BO143" i="53"/>
  <c r="BO186" i="53"/>
  <c r="BO121" i="53"/>
  <c r="BO114" i="53"/>
  <c r="BO106" i="53"/>
  <c r="BO193" i="53"/>
  <c r="BO102" i="53"/>
  <c r="BO103" i="53" s="1"/>
  <c r="BO104" i="53"/>
  <c r="BO150" i="53"/>
  <c r="BO7" i="53"/>
  <c r="BO153" i="53"/>
  <c r="BO117" i="53"/>
  <c r="BO107" i="53"/>
  <c r="BO108" i="53"/>
  <c r="BO157" i="53"/>
  <c r="BP6" i="53"/>
  <c r="BK196" i="53"/>
  <c r="BK213" i="53"/>
  <c r="BJ214" i="53"/>
  <c r="BJ161" i="53"/>
  <c r="BK161" i="53" s="1"/>
  <c r="BL160" i="53"/>
  <c r="BG202" i="53"/>
  <c r="BG204" i="53"/>
  <c r="BH200" i="53" s="1"/>
  <c r="BF216" i="53"/>
  <c r="BF205" i="53"/>
  <c r="BE206" i="53"/>
  <c r="BE207" i="53"/>
  <c r="BD219" i="53"/>
  <c r="BD220" i="53" s="1"/>
  <c r="BG171" i="53"/>
  <c r="BI168" i="53"/>
  <c r="BJ164" i="53" s="1"/>
  <c r="BI166" i="53"/>
  <c r="BH169" i="53"/>
  <c r="BG170" i="53"/>
  <c r="BK185" i="52"/>
  <c r="BK196" i="52" s="1"/>
  <c r="BG135" i="52"/>
  <c r="BG215" i="52"/>
  <c r="BI196" i="52"/>
  <c r="BI212" i="52"/>
  <c r="BI160" i="52"/>
  <c r="BL145" i="52"/>
  <c r="BL211" i="52" s="1"/>
  <c r="BM148" i="52"/>
  <c r="BM147" i="52"/>
  <c r="BM149" i="52" s="1"/>
  <c r="BN198" i="52"/>
  <c r="BN199" i="52" s="1"/>
  <c r="BN201" i="52" s="1"/>
  <c r="BN191" i="52"/>
  <c r="BN188" i="52"/>
  <c r="BN195" i="52" s="1"/>
  <c r="BN126" i="52"/>
  <c r="BN127" i="52" s="1"/>
  <c r="BN129" i="52" s="1"/>
  <c r="BN116" i="52"/>
  <c r="BN119" i="52"/>
  <c r="BN162" i="52"/>
  <c r="BN163" i="52" s="1"/>
  <c r="BN165" i="52" s="1"/>
  <c r="BN155" i="52"/>
  <c r="BN152" i="52"/>
  <c r="BN159" i="52" s="1"/>
  <c r="BO120" i="52"/>
  <c r="BO118" i="52"/>
  <c r="BO115" i="52"/>
  <c r="BO192" i="52"/>
  <c r="BO190" i="52"/>
  <c r="BO187" i="52"/>
  <c r="BO182" i="52"/>
  <c r="BO177" i="52"/>
  <c r="BO110" i="52"/>
  <c r="BO105" i="52"/>
  <c r="BO109" i="52" s="1"/>
  <c r="BO151" i="52"/>
  <c r="BO156" i="52"/>
  <c r="BO154" i="52"/>
  <c r="BP114" i="52"/>
  <c r="BP107" i="52"/>
  <c r="BP167" i="52"/>
  <c r="BP102" i="52"/>
  <c r="BP108" i="52"/>
  <c r="BP189" i="52"/>
  <c r="BP7" i="52"/>
  <c r="BP179" i="52"/>
  <c r="BP104" i="52"/>
  <c r="BP174" i="52"/>
  <c r="BP180" i="52"/>
  <c r="BP143" i="52"/>
  <c r="BP144" i="52"/>
  <c r="BP186" i="52"/>
  <c r="BP193" i="52"/>
  <c r="BP106" i="52"/>
  <c r="BP203" i="52"/>
  <c r="BP131" i="52"/>
  <c r="BP157" i="52"/>
  <c r="BP117" i="52"/>
  <c r="BP121" i="52"/>
  <c r="BP138" i="52"/>
  <c r="BP150" i="52"/>
  <c r="BP153" i="52"/>
  <c r="BQ6" i="52"/>
  <c r="BI132" i="52"/>
  <c r="BJ128" i="52" s="1"/>
  <c r="BI130" i="52"/>
  <c r="BD219" i="52"/>
  <c r="BD220" i="52" s="1"/>
  <c r="BG204" i="52"/>
  <c r="BH200" i="52" s="1"/>
  <c r="BG202" i="52"/>
  <c r="BF205" i="52"/>
  <c r="BF216" i="52"/>
  <c r="BE217" i="52"/>
  <c r="BE207" i="52"/>
  <c r="BG170" i="52"/>
  <c r="BH170" i="52" s="1"/>
  <c r="BG171" i="52"/>
  <c r="BM178" i="52"/>
  <c r="BM111" i="52"/>
  <c r="BM112" i="52"/>
  <c r="BM113" i="52" s="1"/>
  <c r="BH133" i="52"/>
  <c r="BH214" i="52"/>
  <c r="BL213" i="52"/>
  <c r="BJ160" i="52"/>
  <c r="BJ212" i="52"/>
  <c r="BN176" i="52"/>
  <c r="BN182" i="52"/>
  <c r="BN177" i="52"/>
  <c r="BN210" i="52"/>
  <c r="BN110" i="52"/>
  <c r="BN105" i="52"/>
  <c r="BN141" i="52"/>
  <c r="BN146" i="52"/>
  <c r="BN140" i="52"/>
  <c r="BL111" i="52"/>
  <c r="BL112" i="52"/>
  <c r="BL113" i="52" s="1"/>
  <c r="BE206" i="52"/>
  <c r="BO139" i="52"/>
  <c r="BO210" i="52" s="1"/>
  <c r="BI135" i="53"/>
  <c r="BK130" i="53"/>
  <c r="BK132" i="53"/>
  <c r="BL128" i="53" s="1"/>
  <c r="BJ133" i="53"/>
  <c r="BL166" i="52"/>
  <c r="BL168" i="52"/>
  <c r="BM164" i="52" s="1"/>
  <c r="BK169" i="52"/>
  <c r="BK171" i="52" s="1"/>
  <c r="BO6" i="51"/>
  <c r="BN99" i="51"/>
  <c r="BN101" i="51" s="1"/>
  <c r="BN65" i="51"/>
  <c r="BN68" i="51"/>
  <c r="BN70" i="51"/>
  <c r="BN72" i="51"/>
  <c r="BN73" i="51"/>
  <c r="BN74" i="51"/>
  <c r="BN79" i="51" s="1"/>
  <c r="BN7" i="51"/>
  <c r="BN64" i="51"/>
  <c r="BN81" i="51"/>
  <c r="BN82" i="51" s="1"/>
  <c r="BN85" i="51"/>
  <c r="BN86" i="51"/>
  <c r="BN87" i="51"/>
  <c r="BN88" i="51"/>
  <c r="BN89" i="51"/>
  <c r="BN90" i="51"/>
  <c r="BN91" i="51"/>
  <c r="BN92" i="51"/>
  <c r="BN93" i="51"/>
  <c r="BN94" i="51"/>
  <c r="BN103" i="51"/>
  <c r="BM66" i="51"/>
  <c r="BM67" i="51"/>
  <c r="BM69" i="51"/>
  <c r="BM83" i="51"/>
  <c r="BM84" i="51"/>
  <c r="BL71" i="51"/>
  <c r="BL76" i="51"/>
  <c r="BL98" i="51"/>
  <c r="BL95" i="51"/>
  <c r="BK77" i="51"/>
  <c r="BK78" i="51"/>
  <c r="BK80" i="51" s="1"/>
  <c r="BK96" i="51" s="1"/>
  <c r="BJ77" i="51"/>
  <c r="BJ78" i="51"/>
  <c r="BJ80" i="51"/>
  <c r="BJ96" i="51" s="1"/>
  <c r="BI105" i="51"/>
  <c r="BJ102" i="51"/>
  <c r="BJ104" i="51"/>
  <c r="BK100" i="51" s="1"/>
  <c r="BH108" i="51"/>
  <c r="BH107" i="51"/>
  <c r="BP194" i="53" l="1"/>
  <c r="BP158" i="53"/>
  <c r="BP122" i="53"/>
  <c r="BN123" i="52"/>
  <c r="BL185" i="52"/>
  <c r="BL196" i="52" s="1"/>
  <c r="BQ158" i="52"/>
  <c r="BQ122" i="52"/>
  <c r="BQ194" i="52"/>
  <c r="BL161" i="53"/>
  <c r="BN183" i="53"/>
  <c r="BN184" i="53"/>
  <c r="BN185" i="53"/>
  <c r="BN148" i="53"/>
  <c r="BN147" i="53"/>
  <c r="BN149" i="53" s="1"/>
  <c r="BN198" i="53"/>
  <c r="BN199" i="53" s="1"/>
  <c r="BN201" i="53" s="1"/>
  <c r="BN188" i="53"/>
  <c r="BN195" i="53" s="1"/>
  <c r="BN191" i="53"/>
  <c r="BN162" i="53"/>
  <c r="BN163" i="53" s="1"/>
  <c r="BN165" i="53" s="1"/>
  <c r="BN155" i="53"/>
  <c r="BN152" i="53"/>
  <c r="BN159" i="53" s="1"/>
  <c r="BN211" i="53"/>
  <c r="BN112" i="53"/>
  <c r="BN111" i="53"/>
  <c r="BN113" i="53" s="1"/>
  <c r="BN126" i="53"/>
  <c r="BN127" i="53" s="1"/>
  <c r="BN129" i="53" s="1"/>
  <c r="BN119" i="53"/>
  <c r="BN116" i="53"/>
  <c r="BN123" i="53" s="1"/>
  <c r="BO177" i="53"/>
  <c r="BO181" i="53" s="1"/>
  <c r="BO182" i="53"/>
  <c r="BO146" i="53"/>
  <c r="BO141" i="53"/>
  <c r="BO145" i="53" s="1"/>
  <c r="BO187" i="53"/>
  <c r="BO190" i="53"/>
  <c r="BO192" i="53"/>
  <c r="BO120" i="53"/>
  <c r="BO115" i="53"/>
  <c r="BO118" i="53"/>
  <c r="BO210" i="53"/>
  <c r="BO105" i="53"/>
  <c r="BO109" i="53" s="1"/>
  <c r="BO110" i="53"/>
  <c r="BO154" i="53"/>
  <c r="BO156" i="53"/>
  <c r="BO151" i="53"/>
  <c r="BP203" i="53"/>
  <c r="BP180" i="53"/>
  <c r="BP174" i="53"/>
  <c r="BP175" i="53" s="1"/>
  <c r="BP176" i="53" s="1"/>
  <c r="BP178" i="53" s="1"/>
  <c r="BP167" i="53"/>
  <c r="BP144" i="53"/>
  <c r="BP127" i="53"/>
  <c r="BP179" i="53"/>
  <c r="BP186" i="53"/>
  <c r="BP189" i="53"/>
  <c r="BP138" i="53"/>
  <c r="BP139" i="53" s="1"/>
  <c r="BP143" i="53"/>
  <c r="BP107" i="53"/>
  <c r="BP150" i="53"/>
  <c r="BP7" i="53"/>
  <c r="BP117" i="53"/>
  <c r="BP153" i="53"/>
  <c r="BP102" i="53"/>
  <c r="BP103" i="53" s="1"/>
  <c r="BP104" i="53"/>
  <c r="BP106" i="53"/>
  <c r="BP193" i="53"/>
  <c r="BP114" i="53"/>
  <c r="BP121" i="53"/>
  <c r="BQ6" i="53"/>
  <c r="BP157" i="53"/>
  <c r="BK197" i="53"/>
  <c r="BK214" i="53"/>
  <c r="BL196" i="53"/>
  <c r="BL214" i="53" s="1"/>
  <c r="BL213" i="53"/>
  <c r="BF206" i="53"/>
  <c r="BM160" i="53"/>
  <c r="BM161" i="53" s="1"/>
  <c r="BM124" i="53"/>
  <c r="BM212" i="53"/>
  <c r="BG216" i="53"/>
  <c r="BG205" i="53"/>
  <c r="BH204" i="53"/>
  <c r="BI200" i="53" s="1"/>
  <c r="BH202" i="53"/>
  <c r="BF217" i="53"/>
  <c r="BF207" i="53"/>
  <c r="BJ166" i="53"/>
  <c r="BJ168" i="53"/>
  <c r="BK164" i="53" s="1"/>
  <c r="BI169" i="53"/>
  <c r="BH171" i="53"/>
  <c r="BH170" i="53"/>
  <c r="BI170" i="53" s="1"/>
  <c r="BH215" i="52"/>
  <c r="BM160" i="52"/>
  <c r="BI197" i="52"/>
  <c r="BJ197" i="52" s="1"/>
  <c r="BK197" i="52" s="1"/>
  <c r="BL197" i="52" s="1"/>
  <c r="BI161" i="52"/>
  <c r="BJ161" i="52" s="1"/>
  <c r="BK161" i="52" s="1"/>
  <c r="BI169" i="52"/>
  <c r="BI214" i="52"/>
  <c r="BL148" i="52"/>
  <c r="BL147" i="52"/>
  <c r="BO126" i="52"/>
  <c r="BO127" i="52" s="1"/>
  <c r="BO129" i="52" s="1"/>
  <c r="BO119" i="52"/>
  <c r="BO116" i="52"/>
  <c r="BO123" i="52" s="1"/>
  <c r="BO198" i="52"/>
  <c r="BO199" i="52" s="1"/>
  <c r="BO201" i="52" s="1"/>
  <c r="BO188" i="52"/>
  <c r="BO191" i="52"/>
  <c r="BO111" i="52"/>
  <c r="BO112" i="52"/>
  <c r="BO162" i="52"/>
  <c r="BO163" i="52" s="1"/>
  <c r="BO165" i="52" s="1"/>
  <c r="BO152" i="52"/>
  <c r="BO155" i="52"/>
  <c r="BP115" i="52"/>
  <c r="BP118" i="52"/>
  <c r="BP120" i="52"/>
  <c r="BP103" i="52"/>
  <c r="BP175" i="52"/>
  <c r="BP192" i="52"/>
  <c r="BP187" i="52"/>
  <c r="BP190" i="52"/>
  <c r="BP156" i="52"/>
  <c r="BP151" i="52"/>
  <c r="BP154" i="52"/>
  <c r="BQ180" i="52"/>
  <c r="BQ189" i="52"/>
  <c r="BQ104" i="52"/>
  <c r="BQ102" i="52"/>
  <c r="BQ7" i="52"/>
  <c r="BQ144" i="52"/>
  <c r="BQ174" i="52"/>
  <c r="BQ179" i="52"/>
  <c r="BQ143" i="52"/>
  <c r="BQ108" i="52"/>
  <c r="BQ193" i="52"/>
  <c r="BQ167" i="52"/>
  <c r="BQ203" i="52"/>
  <c r="BQ106" i="52"/>
  <c r="BQ114" i="52"/>
  <c r="BQ186" i="52"/>
  <c r="BQ107" i="52"/>
  <c r="BQ157" i="52"/>
  <c r="BQ117" i="52"/>
  <c r="BQ121" i="52"/>
  <c r="BQ131" i="52"/>
  <c r="BQ138" i="52"/>
  <c r="BQ150" i="52"/>
  <c r="BQ153" i="52"/>
  <c r="BR6" i="52"/>
  <c r="BJ130" i="52"/>
  <c r="BJ132" i="52"/>
  <c r="BK128" i="52" s="1"/>
  <c r="BI133" i="52"/>
  <c r="BH204" i="52"/>
  <c r="BI200" i="52" s="1"/>
  <c r="BH202" i="52"/>
  <c r="BG216" i="52"/>
  <c r="BG205" i="52"/>
  <c r="BF217" i="52"/>
  <c r="BF207" i="52"/>
  <c r="BE218" i="52"/>
  <c r="BF218" i="52" s="1"/>
  <c r="BE219" i="52"/>
  <c r="BE220" i="52" s="1"/>
  <c r="BM181" i="52"/>
  <c r="BM124" i="52"/>
  <c r="BH135" i="52"/>
  <c r="BH134" i="52"/>
  <c r="BI134" i="52" s="1"/>
  <c r="BJ169" i="52"/>
  <c r="BJ171" i="52" s="1"/>
  <c r="BJ214" i="52"/>
  <c r="BN109" i="52"/>
  <c r="BN142" i="52"/>
  <c r="BL124" i="52"/>
  <c r="BO146" i="52"/>
  <c r="BO141" i="52"/>
  <c r="BO140" i="52"/>
  <c r="BO142" i="52" s="1"/>
  <c r="BO145" i="52" s="1"/>
  <c r="BF206" i="52"/>
  <c r="BM213" i="52"/>
  <c r="BP139" i="52"/>
  <c r="BO178" i="52"/>
  <c r="BO181" i="52" s="1"/>
  <c r="BN178" i="52"/>
  <c r="BN181" i="52" s="1"/>
  <c r="BK133" i="53"/>
  <c r="BL132" i="53"/>
  <c r="BM128" i="53" s="1"/>
  <c r="BL130" i="53"/>
  <c r="BJ135" i="53"/>
  <c r="BM166" i="52"/>
  <c r="BM168" i="52"/>
  <c r="BN164" i="52" s="1"/>
  <c r="BN66" i="51"/>
  <c r="BJ105" i="51"/>
  <c r="BP6" i="51"/>
  <c r="BO99" i="51"/>
  <c r="BO101" i="51" s="1"/>
  <c r="BO7" i="51"/>
  <c r="BO65" i="51"/>
  <c r="BO68" i="51"/>
  <c r="BO70" i="51"/>
  <c r="BO72" i="51"/>
  <c r="BO73" i="51"/>
  <c r="BO74" i="51"/>
  <c r="BO79" i="51" s="1"/>
  <c r="BO64" i="51"/>
  <c r="BO81" i="51"/>
  <c r="BO82" i="51" s="1"/>
  <c r="BO85" i="51"/>
  <c r="BO86" i="51"/>
  <c r="BO87" i="51"/>
  <c r="BO88" i="51"/>
  <c r="BO89" i="51"/>
  <c r="BO90" i="51"/>
  <c r="BO91" i="51"/>
  <c r="BO92" i="51"/>
  <c r="BO93" i="51"/>
  <c r="BO94" i="51"/>
  <c r="BO103" i="51"/>
  <c r="BN67" i="51"/>
  <c r="BN69" i="51"/>
  <c r="BN83" i="51"/>
  <c r="BN84" i="51"/>
  <c r="BM71" i="51"/>
  <c r="BM76" i="51"/>
  <c r="BM98" i="51"/>
  <c r="BM95" i="51"/>
  <c r="BL75" i="51"/>
  <c r="BI108" i="51"/>
  <c r="BI107" i="51"/>
  <c r="BK102" i="51"/>
  <c r="BK104" i="51"/>
  <c r="BL100" i="51" s="1"/>
  <c r="BQ158" i="53" l="1"/>
  <c r="BQ122" i="53"/>
  <c r="BQ194" i="53"/>
  <c r="BO195" i="52"/>
  <c r="BO159" i="52"/>
  <c r="BO113" i="52"/>
  <c r="BO124" i="52" s="1"/>
  <c r="BR158" i="52"/>
  <c r="BR122" i="52"/>
  <c r="BR194" i="52"/>
  <c r="BL197" i="53"/>
  <c r="BO183" i="53"/>
  <c r="BO184" i="53"/>
  <c r="BO185" i="53"/>
  <c r="BO147" i="53"/>
  <c r="BO148" i="53"/>
  <c r="BO198" i="53"/>
  <c r="BO199" i="53" s="1"/>
  <c r="BO201" i="53" s="1"/>
  <c r="BO188" i="53"/>
  <c r="BO191" i="53"/>
  <c r="BO126" i="53"/>
  <c r="BO127" i="53" s="1"/>
  <c r="BO119" i="53"/>
  <c r="BO116" i="53"/>
  <c r="BO123" i="53" s="1"/>
  <c r="BO211" i="53"/>
  <c r="BO112" i="53"/>
  <c r="BO111" i="53"/>
  <c r="BO113" i="53" s="1"/>
  <c r="BO162" i="53"/>
  <c r="BO163" i="53" s="1"/>
  <c r="BO165" i="53" s="1"/>
  <c r="BO155" i="53"/>
  <c r="BO152" i="53"/>
  <c r="BO159" i="53" s="1"/>
  <c r="BP177" i="53"/>
  <c r="BP181" i="53" s="1"/>
  <c r="BP182" i="53"/>
  <c r="BP190" i="53"/>
  <c r="BP187" i="53"/>
  <c r="BP192" i="53"/>
  <c r="BP141" i="53"/>
  <c r="BP146" i="53"/>
  <c r="BP140" i="53"/>
  <c r="BP142" i="53" s="1"/>
  <c r="BP145" i="53" s="1"/>
  <c r="BP156" i="53"/>
  <c r="BP154" i="53"/>
  <c r="BP151" i="53"/>
  <c r="BP210" i="53"/>
  <c r="BP110" i="53"/>
  <c r="BP105" i="53"/>
  <c r="BP120" i="53"/>
  <c r="BP115" i="53"/>
  <c r="BP118" i="53"/>
  <c r="BQ203" i="53"/>
  <c r="BQ180" i="53"/>
  <c r="BQ167" i="53"/>
  <c r="BQ144" i="53"/>
  <c r="BQ127" i="53"/>
  <c r="BQ129" i="53" s="1"/>
  <c r="BQ131" i="53"/>
  <c r="BQ179" i="53"/>
  <c r="BQ186" i="53"/>
  <c r="BQ138" i="53"/>
  <c r="BQ139" i="53" s="1"/>
  <c r="BQ143" i="53"/>
  <c r="BQ189" i="53"/>
  <c r="BQ104" i="53"/>
  <c r="BQ7" i="53"/>
  <c r="BQ150" i="53"/>
  <c r="BQ153" i="53"/>
  <c r="BQ102" i="53"/>
  <c r="BQ103" i="53" s="1"/>
  <c r="BQ117" i="53"/>
  <c r="BQ106" i="53"/>
  <c r="BQ114" i="53"/>
  <c r="BQ193" i="53"/>
  <c r="BQ107" i="53"/>
  <c r="BQ121" i="53"/>
  <c r="BQ174" i="53"/>
  <c r="BQ175" i="53" s="1"/>
  <c r="BQ176" i="53" s="1"/>
  <c r="BQ178" i="53" s="1"/>
  <c r="BQ108" i="53"/>
  <c r="BQ157" i="53"/>
  <c r="BR6" i="53"/>
  <c r="BM196" i="53"/>
  <c r="BM213" i="53"/>
  <c r="BN160" i="53"/>
  <c r="BN161" i="53" s="1"/>
  <c r="BN124" i="53"/>
  <c r="BN212" i="53"/>
  <c r="BG217" i="53"/>
  <c r="BG206" i="53"/>
  <c r="BG207" i="53"/>
  <c r="BI204" i="53"/>
  <c r="BJ200" i="53" s="1"/>
  <c r="BI202" i="53"/>
  <c r="BH216" i="53"/>
  <c r="BH205" i="53"/>
  <c r="BF219" i="53"/>
  <c r="BJ169" i="53"/>
  <c r="BK168" i="53"/>
  <c r="BL164" i="53" s="1"/>
  <c r="BK166" i="53"/>
  <c r="BI171" i="53"/>
  <c r="BO211" i="52"/>
  <c r="BM169" i="52"/>
  <c r="BM171" i="52" s="1"/>
  <c r="BI170" i="52"/>
  <c r="BJ170" i="52" s="1"/>
  <c r="BK170" i="52" s="1"/>
  <c r="BI171" i="52"/>
  <c r="BI215" i="52"/>
  <c r="BJ215" i="52" s="1"/>
  <c r="BL149" i="52"/>
  <c r="BN213" i="52"/>
  <c r="BP126" i="52"/>
  <c r="BP127" i="52" s="1"/>
  <c r="BP129" i="52" s="1"/>
  <c r="BP116" i="52"/>
  <c r="BP119" i="52"/>
  <c r="BP105" i="52"/>
  <c r="BP110" i="52"/>
  <c r="BP210" i="52"/>
  <c r="BP176" i="52"/>
  <c r="BP182" i="52"/>
  <c r="BP177" i="52"/>
  <c r="BP198" i="52"/>
  <c r="BP199" i="52" s="1"/>
  <c r="BP201" i="52" s="1"/>
  <c r="BP188" i="52"/>
  <c r="BP191" i="52"/>
  <c r="BP162" i="52"/>
  <c r="BP163" i="52" s="1"/>
  <c r="BP165" i="52" s="1"/>
  <c r="BP155" i="52"/>
  <c r="BP152" i="52"/>
  <c r="BP159" i="52" s="1"/>
  <c r="BQ120" i="52"/>
  <c r="BQ118" i="52"/>
  <c r="BQ115" i="52"/>
  <c r="BQ190" i="52"/>
  <c r="BQ192" i="52"/>
  <c r="BQ187" i="52"/>
  <c r="BQ154" i="52"/>
  <c r="BQ151" i="52"/>
  <c r="BQ156" i="52"/>
  <c r="BR186" i="52"/>
  <c r="BR106" i="52"/>
  <c r="BR114" i="52"/>
  <c r="BR203" i="52"/>
  <c r="BR189" i="52"/>
  <c r="BR167" i="52"/>
  <c r="BR108" i="52"/>
  <c r="BR174" i="52"/>
  <c r="BR179" i="52"/>
  <c r="BR107" i="52"/>
  <c r="BR144" i="52"/>
  <c r="BR143" i="52"/>
  <c r="BR7" i="52"/>
  <c r="BR102" i="52"/>
  <c r="BR193" i="52"/>
  <c r="BR104" i="52"/>
  <c r="BR180" i="52"/>
  <c r="BR157" i="52"/>
  <c r="BR117" i="52"/>
  <c r="BR121" i="52"/>
  <c r="BR131" i="52"/>
  <c r="BR138" i="52"/>
  <c r="BR150" i="52"/>
  <c r="BR153" i="52"/>
  <c r="BS6" i="52"/>
  <c r="BJ133" i="52"/>
  <c r="BK132" i="52"/>
  <c r="BL128" i="52" s="1"/>
  <c r="BK130" i="52"/>
  <c r="BI135" i="52"/>
  <c r="BI204" i="52"/>
  <c r="BJ200" i="52" s="1"/>
  <c r="BI202" i="52"/>
  <c r="BH216" i="52"/>
  <c r="BH205" i="52"/>
  <c r="BG217" i="52"/>
  <c r="BG207" i="52"/>
  <c r="BF219" i="52"/>
  <c r="BF220" i="52" s="1"/>
  <c r="BM211" i="52"/>
  <c r="BM183" i="52"/>
  <c r="BM184" i="52"/>
  <c r="BN111" i="52"/>
  <c r="BN112" i="52"/>
  <c r="BN113" i="52" s="1"/>
  <c r="BN145" i="52"/>
  <c r="BN211" i="52" s="1"/>
  <c r="BO147" i="52"/>
  <c r="BO148" i="52"/>
  <c r="BP141" i="52"/>
  <c r="BP146" i="52"/>
  <c r="BP140" i="52"/>
  <c r="BO183" i="52"/>
  <c r="BO184" i="52"/>
  <c r="BN183" i="52"/>
  <c r="BN184" i="52"/>
  <c r="BG206" i="52"/>
  <c r="BQ103" i="52"/>
  <c r="BQ175" i="52"/>
  <c r="BQ139" i="52"/>
  <c r="BK135" i="53"/>
  <c r="BM132" i="53"/>
  <c r="BN128" i="53" s="1"/>
  <c r="BM130" i="53"/>
  <c r="BL133" i="53"/>
  <c r="BN166" i="52"/>
  <c r="BN168" i="52"/>
  <c r="BO164" i="52" s="1"/>
  <c r="BJ108" i="51"/>
  <c r="BJ107" i="51"/>
  <c r="BQ6" i="51"/>
  <c r="BP64" i="51"/>
  <c r="BP65" i="51"/>
  <c r="BP68" i="51"/>
  <c r="BP70" i="51"/>
  <c r="BP72" i="51"/>
  <c r="BP73" i="51"/>
  <c r="BP74" i="51"/>
  <c r="BP79" i="51" s="1"/>
  <c r="BP99" i="51"/>
  <c r="BP101" i="51" s="1"/>
  <c r="BP7" i="51"/>
  <c r="BP81" i="51"/>
  <c r="BP82" i="51" s="1"/>
  <c r="BP85" i="51"/>
  <c r="BP86" i="51"/>
  <c r="BP87" i="51"/>
  <c r="BP88" i="51"/>
  <c r="BP89" i="51"/>
  <c r="BP90" i="51"/>
  <c r="BP91" i="51"/>
  <c r="BP92" i="51"/>
  <c r="BP93" i="51"/>
  <c r="BP94" i="51"/>
  <c r="BP103" i="51"/>
  <c r="BO66" i="51"/>
  <c r="BO67" i="51"/>
  <c r="BO69" i="51"/>
  <c r="BO83" i="51"/>
  <c r="BO84" i="51"/>
  <c r="BN71" i="51"/>
  <c r="BN76" i="51"/>
  <c r="BN98" i="51"/>
  <c r="BN95" i="51"/>
  <c r="BL77" i="51"/>
  <c r="BL78" i="51"/>
  <c r="BL80" i="51"/>
  <c r="BL96" i="51" s="1"/>
  <c r="BK105" i="51"/>
  <c r="BL104" i="51"/>
  <c r="BM100" i="51" s="1"/>
  <c r="BL102" i="51"/>
  <c r="BM75" i="51"/>
  <c r="BO195" i="53" l="1"/>
  <c r="BR158" i="53"/>
  <c r="BR122" i="53"/>
  <c r="BR194" i="53"/>
  <c r="BP123" i="52"/>
  <c r="BP195" i="52"/>
  <c r="BS158" i="52"/>
  <c r="BS122" i="52"/>
  <c r="BS194" i="52"/>
  <c r="BP129" i="53"/>
  <c r="BO129" i="53"/>
  <c r="BP183" i="53"/>
  <c r="BP184" i="53"/>
  <c r="BP185" i="53"/>
  <c r="BP198" i="53"/>
  <c r="BP199" i="53" s="1"/>
  <c r="BP201" i="53" s="1"/>
  <c r="BP188" i="53"/>
  <c r="BP191" i="53"/>
  <c r="BP148" i="53"/>
  <c r="BP147" i="53"/>
  <c r="BP149" i="53" s="1"/>
  <c r="BP162" i="53"/>
  <c r="BP163" i="53" s="1"/>
  <c r="BP165" i="53" s="1"/>
  <c r="BP155" i="53"/>
  <c r="BP152" i="53"/>
  <c r="BP159" i="53" s="1"/>
  <c r="BP126" i="53"/>
  <c r="BP119" i="53"/>
  <c r="BP116" i="53"/>
  <c r="BP123" i="53" s="1"/>
  <c r="BQ192" i="53"/>
  <c r="BQ187" i="53"/>
  <c r="BQ190" i="53"/>
  <c r="BQ141" i="53"/>
  <c r="BQ146" i="53"/>
  <c r="BQ140" i="53"/>
  <c r="BQ142" i="53" s="1"/>
  <c r="BQ145" i="53" s="1"/>
  <c r="BQ154" i="53"/>
  <c r="BQ156" i="53"/>
  <c r="BQ151" i="53"/>
  <c r="BQ210" i="53"/>
  <c r="BQ110" i="53"/>
  <c r="BQ105" i="53"/>
  <c r="BQ109" i="53" s="1"/>
  <c r="BQ120" i="53"/>
  <c r="BQ115" i="53"/>
  <c r="BQ118" i="53"/>
  <c r="BQ177" i="53"/>
  <c r="BQ181" i="53" s="1"/>
  <c r="BQ182" i="53"/>
  <c r="BR203" i="53"/>
  <c r="BR180" i="53"/>
  <c r="BR167" i="53"/>
  <c r="BR144" i="53"/>
  <c r="BR127" i="53"/>
  <c r="BR129" i="53" s="1"/>
  <c r="BR131" i="53"/>
  <c r="BR179" i="53"/>
  <c r="BR186" i="53"/>
  <c r="BR189" i="53"/>
  <c r="BR138" i="53"/>
  <c r="BR139" i="53" s="1"/>
  <c r="BR143" i="53"/>
  <c r="BR150" i="53"/>
  <c r="BR153" i="53"/>
  <c r="BR102" i="53"/>
  <c r="BR103" i="53" s="1"/>
  <c r="BR104" i="53"/>
  <c r="BR117" i="53"/>
  <c r="BR174" i="53"/>
  <c r="BR175" i="53" s="1"/>
  <c r="BR176" i="53" s="1"/>
  <c r="BR178" i="53" s="1"/>
  <c r="BR108" i="53"/>
  <c r="BR114" i="53"/>
  <c r="BR193" i="53"/>
  <c r="BR121" i="53"/>
  <c r="BR106" i="53"/>
  <c r="BR7" i="53"/>
  <c r="BR107" i="53"/>
  <c r="BR157" i="53"/>
  <c r="BS6" i="53"/>
  <c r="BM197" i="53"/>
  <c r="BM214" i="53"/>
  <c r="BN196" i="53"/>
  <c r="BN214" i="53" s="1"/>
  <c r="BN213" i="53"/>
  <c r="BO149" i="53"/>
  <c r="BO124" i="53"/>
  <c r="BG219" i="53"/>
  <c r="BJ204" i="53"/>
  <c r="BK200" i="53" s="1"/>
  <c r="BJ202" i="53"/>
  <c r="BI216" i="53"/>
  <c r="BI205" i="53"/>
  <c r="BH217" i="53"/>
  <c r="BH207" i="53"/>
  <c r="BJ170" i="53"/>
  <c r="BJ171" i="53"/>
  <c r="BL166" i="53"/>
  <c r="BL168" i="53"/>
  <c r="BM164" i="53" s="1"/>
  <c r="BK169" i="53"/>
  <c r="BH206" i="53"/>
  <c r="BL212" i="52"/>
  <c r="BL160" i="52"/>
  <c r="BO213" i="52"/>
  <c r="BP109" i="52"/>
  <c r="BP178" i="52"/>
  <c r="BQ126" i="52"/>
  <c r="BQ127" i="52" s="1"/>
  <c r="BQ129" i="52" s="1"/>
  <c r="BQ116" i="52"/>
  <c r="BQ119" i="52"/>
  <c r="BQ198" i="52"/>
  <c r="BQ199" i="52" s="1"/>
  <c r="BQ201" i="52" s="1"/>
  <c r="BQ191" i="52"/>
  <c r="BQ188" i="52"/>
  <c r="BQ195" i="52" s="1"/>
  <c r="BQ162" i="52"/>
  <c r="BQ163" i="52" s="1"/>
  <c r="BQ165" i="52" s="1"/>
  <c r="BQ152" i="52"/>
  <c r="BQ155" i="52"/>
  <c r="BR190" i="52"/>
  <c r="BR187" i="52"/>
  <c r="BR192" i="52"/>
  <c r="BR115" i="52"/>
  <c r="BR120" i="52"/>
  <c r="BR118" i="52"/>
  <c r="BR156" i="52"/>
  <c r="BR151" i="52"/>
  <c r="BR154" i="52"/>
  <c r="BS189" i="52"/>
  <c r="BS108" i="52"/>
  <c r="BS167" i="52"/>
  <c r="BS102" i="52"/>
  <c r="BS103" i="52" s="1"/>
  <c r="BS114" i="52"/>
  <c r="BS193" i="52"/>
  <c r="BS107" i="52"/>
  <c r="BS104" i="52"/>
  <c r="BS143" i="52"/>
  <c r="BS144" i="52"/>
  <c r="BS180" i="52"/>
  <c r="BS174" i="52"/>
  <c r="BS7" i="52"/>
  <c r="BS203" i="52"/>
  <c r="BS106" i="52"/>
  <c r="BS186" i="52"/>
  <c r="BS179" i="52"/>
  <c r="BS131" i="52"/>
  <c r="BS157" i="52"/>
  <c r="BS117" i="52"/>
  <c r="BS121" i="52"/>
  <c r="BS138" i="52"/>
  <c r="BS150" i="52"/>
  <c r="BS153" i="52"/>
  <c r="BT6" i="52"/>
  <c r="BJ134" i="52"/>
  <c r="BJ135" i="52"/>
  <c r="BL132" i="52"/>
  <c r="BM128" i="52" s="1"/>
  <c r="BL130" i="52"/>
  <c r="BJ202" i="52"/>
  <c r="BJ204" i="52"/>
  <c r="BK200" i="52" s="1"/>
  <c r="BI216" i="52"/>
  <c r="BI205" i="52"/>
  <c r="BH217" i="52"/>
  <c r="BH207" i="52"/>
  <c r="BG218" i="52"/>
  <c r="BH218" i="52" s="1"/>
  <c r="BG219" i="52"/>
  <c r="BG220" i="52" s="1"/>
  <c r="BM185" i="52"/>
  <c r="BN124" i="52"/>
  <c r="BN147" i="52"/>
  <c r="BN148" i="52"/>
  <c r="BP142" i="52"/>
  <c r="BQ210" i="52"/>
  <c r="BQ110" i="52"/>
  <c r="BQ105" i="52"/>
  <c r="BQ109" i="52" s="1"/>
  <c r="BQ177" i="52"/>
  <c r="BQ182" i="52"/>
  <c r="BQ176" i="52"/>
  <c r="BQ178" i="52" s="1"/>
  <c r="BQ181" i="52" s="1"/>
  <c r="BQ141" i="52"/>
  <c r="BQ146" i="52"/>
  <c r="BQ140" i="52"/>
  <c r="BO149" i="52"/>
  <c r="BH206" i="52"/>
  <c r="BO185" i="52"/>
  <c r="BO196" i="52" s="1"/>
  <c r="BN185" i="52"/>
  <c r="BN196" i="52" s="1"/>
  <c r="BR175" i="52"/>
  <c r="BR103" i="52"/>
  <c r="BR139" i="52"/>
  <c r="BN130" i="53"/>
  <c r="BN132" i="53"/>
  <c r="BO128" i="53" s="1"/>
  <c r="BM133" i="53"/>
  <c r="BL135" i="53"/>
  <c r="BO166" i="52"/>
  <c r="BO168" i="52"/>
  <c r="BP164" i="52" s="1"/>
  <c r="BL105" i="51"/>
  <c r="BR6" i="51"/>
  <c r="BQ7" i="51"/>
  <c r="BQ65" i="51"/>
  <c r="BQ68" i="51"/>
  <c r="BQ70" i="51"/>
  <c r="BQ72" i="51"/>
  <c r="BQ73" i="51"/>
  <c r="BQ74" i="51"/>
  <c r="BQ79" i="51" s="1"/>
  <c r="BQ64" i="51"/>
  <c r="BQ81" i="51"/>
  <c r="BQ82" i="51" s="1"/>
  <c r="BQ85" i="51"/>
  <c r="BQ86" i="51"/>
  <c r="BQ87" i="51"/>
  <c r="BQ88" i="51"/>
  <c r="BQ89" i="51"/>
  <c r="BQ90" i="51"/>
  <c r="BQ91" i="51"/>
  <c r="BQ92" i="51"/>
  <c r="BQ93" i="51"/>
  <c r="BQ94" i="51"/>
  <c r="BQ103" i="51"/>
  <c r="BQ99" i="51"/>
  <c r="BQ101" i="51" s="1"/>
  <c r="BP67" i="51"/>
  <c r="BP69" i="51"/>
  <c r="BP83" i="51"/>
  <c r="BP84" i="51"/>
  <c r="BO71" i="51"/>
  <c r="BO76" i="51"/>
  <c r="BO98" i="51"/>
  <c r="BO95" i="51"/>
  <c r="BK107" i="51"/>
  <c r="BK108" i="51"/>
  <c r="BM102" i="51"/>
  <c r="BM104" i="51"/>
  <c r="BN100" i="51" s="1"/>
  <c r="BM78" i="51"/>
  <c r="BM77" i="51"/>
  <c r="BM80" i="51" s="1"/>
  <c r="BM96" i="51" s="1"/>
  <c r="BP66" i="51"/>
  <c r="BN75" i="51"/>
  <c r="BP195" i="53" l="1"/>
  <c r="BS158" i="53"/>
  <c r="BS122" i="53"/>
  <c r="BS194" i="53"/>
  <c r="BQ123" i="52"/>
  <c r="BQ159" i="52"/>
  <c r="BT158" i="52"/>
  <c r="BT122" i="52"/>
  <c r="BT194" i="52"/>
  <c r="BQ198" i="53"/>
  <c r="BQ199" i="53" s="1"/>
  <c r="BQ201" i="53" s="1"/>
  <c r="BQ188" i="53"/>
  <c r="BQ195" i="53" s="1"/>
  <c r="BQ191" i="53"/>
  <c r="BQ147" i="53"/>
  <c r="BQ148" i="53"/>
  <c r="BQ149" i="53"/>
  <c r="BQ162" i="53"/>
  <c r="BQ163" i="53" s="1"/>
  <c r="BQ165" i="53" s="1"/>
  <c r="BQ155" i="53"/>
  <c r="BQ152" i="53"/>
  <c r="BQ159" i="53" s="1"/>
  <c r="BQ211" i="53"/>
  <c r="BQ112" i="53"/>
  <c r="BQ111" i="53"/>
  <c r="BQ113" i="53" s="1"/>
  <c r="BQ126" i="53"/>
  <c r="BQ119" i="53"/>
  <c r="BQ116" i="53"/>
  <c r="BQ123" i="53" s="1"/>
  <c r="BQ183" i="53"/>
  <c r="BQ184" i="53"/>
  <c r="BR187" i="53"/>
  <c r="BR190" i="53"/>
  <c r="BR192" i="53"/>
  <c r="BR141" i="53"/>
  <c r="BR146" i="53"/>
  <c r="BR140" i="53"/>
  <c r="BR142" i="53" s="1"/>
  <c r="BR145" i="53" s="1"/>
  <c r="BR156" i="53"/>
  <c r="BR151" i="53"/>
  <c r="BR154" i="53"/>
  <c r="BR210" i="53"/>
  <c r="BR105" i="53"/>
  <c r="BR109" i="53" s="1"/>
  <c r="BR110" i="53"/>
  <c r="BR177" i="53"/>
  <c r="BR181" i="53" s="1"/>
  <c r="BR182" i="53"/>
  <c r="BR120" i="53"/>
  <c r="BR115" i="53"/>
  <c r="BR118" i="53"/>
  <c r="BS203" i="53"/>
  <c r="BS180" i="53"/>
  <c r="BS167" i="53"/>
  <c r="BS144" i="53"/>
  <c r="BS131" i="53"/>
  <c r="BS127" i="53"/>
  <c r="BS129" i="53" s="1"/>
  <c r="BS179" i="53"/>
  <c r="BS186" i="53"/>
  <c r="BS138" i="53"/>
  <c r="BS139" i="53" s="1"/>
  <c r="BS143" i="53"/>
  <c r="BS189" i="53"/>
  <c r="BS121" i="53"/>
  <c r="BS108" i="53"/>
  <c r="BS102" i="53"/>
  <c r="BS103" i="53" s="1"/>
  <c r="BS174" i="53"/>
  <c r="BS175" i="53" s="1"/>
  <c r="BS176" i="53" s="1"/>
  <c r="BS178" i="53" s="1"/>
  <c r="BS153" i="53"/>
  <c r="BS104" i="53"/>
  <c r="BS117" i="53"/>
  <c r="BS193" i="53"/>
  <c r="BS150" i="53"/>
  <c r="BS107" i="53"/>
  <c r="BS106" i="53"/>
  <c r="BS114" i="53"/>
  <c r="BS7" i="53"/>
  <c r="BS157" i="53"/>
  <c r="BT6" i="53"/>
  <c r="BO212" i="53"/>
  <c r="BO160" i="53"/>
  <c r="BO161" i="53" s="1"/>
  <c r="BO196" i="53"/>
  <c r="BO213" i="53"/>
  <c r="BN197" i="53"/>
  <c r="BO197" i="53" s="1"/>
  <c r="BP160" i="53"/>
  <c r="BK204" i="53"/>
  <c r="BL200" i="53" s="1"/>
  <c r="BK202" i="53"/>
  <c r="BJ216" i="53"/>
  <c r="BJ205" i="53"/>
  <c r="BI217" i="53"/>
  <c r="BI207" i="53"/>
  <c r="BH219" i="53"/>
  <c r="BL169" i="53"/>
  <c r="BM168" i="53"/>
  <c r="BN164" i="53" s="1"/>
  <c r="BM166" i="53"/>
  <c r="BK171" i="53"/>
  <c r="BI206" i="53"/>
  <c r="BK170" i="53"/>
  <c r="BL169" i="52"/>
  <c r="BL214" i="52"/>
  <c r="BL161" i="52"/>
  <c r="BM161" i="52" s="1"/>
  <c r="BP112" i="52"/>
  <c r="BP111" i="52"/>
  <c r="BP113" i="52" s="1"/>
  <c r="BP181" i="52"/>
  <c r="BQ184" i="52"/>
  <c r="BQ183" i="52"/>
  <c r="BQ185" i="52" s="1"/>
  <c r="BP213" i="52"/>
  <c r="BR198" i="52"/>
  <c r="BR199" i="52" s="1"/>
  <c r="BR201" i="52" s="1"/>
  <c r="BR191" i="52"/>
  <c r="BR188" i="52"/>
  <c r="BR195" i="52" s="1"/>
  <c r="BR126" i="52"/>
  <c r="BR127" i="52" s="1"/>
  <c r="BR129" i="52" s="1"/>
  <c r="BR116" i="52"/>
  <c r="BR119" i="52"/>
  <c r="BR162" i="52"/>
  <c r="BR163" i="52" s="1"/>
  <c r="BR165" i="52" s="1"/>
  <c r="BR155" i="52"/>
  <c r="BR152" i="52"/>
  <c r="BS105" i="52"/>
  <c r="BS109" i="52" s="1"/>
  <c r="BS110" i="52"/>
  <c r="BS118" i="52"/>
  <c r="BS120" i="52"/>
  <c r="BS115" i="52"/>
  <c r="BS190" i="52"/>
  <c r="BS187" i="52"/>
  <c r="BS192" i="52"/>
  <c r="BS156" i="52"/>
  <c r="BS151" i="52"/>
  <c r="BS154" i="52"/>
  <c r="BT106" i="52"/>
  <c r="BT102" i="52"/>
  <c r="BT186" i="52"/>
  <c r="BT167" i="52"/>
  <c r="BT108" i="52"/>
  <c r="BT7" i="52"/>
  <c r="BT179" i="52"/>
  <c r="BT193" i="52"/>
  <c r="BT203" i="52"/>
  <c r="BT189" i="52"/>
  <c r="BT174" i="52"/>
  <c r="BT175" i="52" s="1"/>
  <c r="BT176" i="52" s="1"/>
  <c r="BT143" i="52"/>
  <c r="BT114" i="52"/>
  <c r="BT107" i="52"/>
  <c r="BT104" i="52"/>
  <c r="BT180" i="52"/>
  <c r="BT144" i="52"/>
  <c r="BT157" i="52"/>
  <c r="BT117" i="52"/>
  <c r="BT121" i="52"/>
  <c r="BT138" i="52"/>
  <c r="BT139" i="52" s="1"/>
  <c r="BT140" i="52" s="1"/>
  <c r="BT150" i="52"/>
  <c r="BT153" i="52"/>
  <c r="BT131" i="52"/>
  <c r="BU6" i="52"/>
  <c r="BM132" i="52"/>
  <c r="BN128" i="52" s="1"/>
  <c r="BM130" i="52"/>
  <c r="BL133" i="52"/>
  <c r="BJ216" i="52"/>
  <c r="BJ205" i="52"/>
  <c r="BK204" i="52"/>
  <c r="BL200" i="52" s="1"/>
  <c r="BK202" i="52"/>
  <c r="BI217" i="52"/>
  <c r="BI207" i="52"/>
  <c r="BH219" i="52"/>
  <c r="BH220" i="52" s="1"/>
  <c r="BM212" i="52"/>
  <c r="BM196" i="52"/>
  <c r="BN149" i="52"/>
  <c r="BP145" i="52"/>
  <c r="BQ112" i="52"/>
  <c r="BQ111" i="52"/>
  <c r="BQ113" i="52" s="1"/>
  <c r="BO212" i="52"/>
  <c r="BO160" i="52"/>
  <c r="BR176" i="52"/>
  <c r="BR182" i="52"/>
  <c r="BR177" i="52"/>
  <c r="BR110" i="52"/>
  <c r="BR210" i="52"/>
  <c r="BR105" i="52"/>
  <c r="BR141" i="52"/>
  <c r="BR146" i="52"/>
  <c r="BR140" i="52"/>
  <c r="BI206" i="52"/>
  <c r="BS175" i="52"/>
  <c r="BS139" i="52"/>
  <c r="BQ142" i="52"/>
  <c r="BQ145" i="52" s="1"/>
  <c r="BQ211" i="52" s="1"/>
  <c r="BN133" i="53"/>
  <c r="BO132" i="53"/>
  <c r="BP128" i="53" s="1"/>
  <c r="BO130" i="53"/>
  <c r="BM135" i="53"/>
  <c r="BP166" i="52"/>
  <c r="BP168" i="52"/>
  <c r="BQ164" i="52" s="1"/>
  <c r="BL108" i="51"/>
  <c r="BL107" i="51"/>
  <c r="BM105" i="51"/>
  <c r="BS6" i="51"/>
  <c r="BR99" i="51"/>
  <c r="BR101" i="51" s="1"/>
  <c r="BR64" i="51"/>
  <c r="BR65" i="51"/>
  <c r="BR68" i="51"/>
  <c r="BR70" i="51"/>
  <c r="BR72" i="51"/>
  <c r="BR73" i="51"/>
  <c r="BR74" i="51"/>
  <c r="BR79" i="51" s="1"/>
  <c r="BR7" i="51"/>
  <c r="BR81" i="51"/>
  <c r="BR82" i="51" s="1"/>
  <c r="BR85" i="51"/>
  <c r="BR86" i="51"/>
  <c r="BR87" i="51"/>
  <c r="BR88" i="51"/>
  <c r="BR89" i="51"/>
  <c r="BR90" i="51"/>
  <c r="BR91" i="51"/>
  <c r="BR92" i="51"/>
  <c r="BR93" i="51"/>
  <c r="BR94" i="51"/>
  <c r="BR103" i="51"/>
  <c r="BQ67" i="51"/>
  <c r="BQ69" i="51"/>
  <c r="BQ83" i="51"/>
  <c r="BQ84" i="51"/>
  <c r="BP71" i="51"/>
  <c r="BP76" i="51"/>
  <c r="BP98" i="51"/>
  <c r="BP95" i="51"/>
  <c r="BN102" i="51"/>
  <c r="BN104" i="51"/>
  <c r="BO100" i="51" s="1"/>
  <c r="BN78" i="51"/>
  <c r="BN77" i="51"/>
  <c r="BQ66" i="51"/>
  <c r="BO75" i="51"/>
  <c r="BQ185" i="53" l="1"/>
  <c r="BT158" i="53"/>
  <c r="BT122" i="53"/>
  <c r="BT194" i="53"/>
  <c r="BR159" i="52"/>
  <c r="BP211" i="52"/>
  <c r="BR123" i="52"/>
  <c r="BU158" i="52"/>
  <c r="BU122" i="52"/>
  <c r="BU194" i="52"/>
  <c r="BP161" i="53"/>
  <c r="BR198" i="53"/>
  <c r="BR199" i="53" s="1"/>
  <c r="BR201" i="53" s="1"/>
  <c r="BR188" i="53"/>
  <c r="BR191" i="53"/>
  <c r="BR148" i="53"/>
  <c r="BR147" i="53"/>
  <c r="BR149" i="53" s="1"/>
  <c r="BR162" i="53"/>
  <c r="BR163" i="53" s="1"/>
  <c r="BR165" i="53" s="1"/>
  <c r="BR155" i="53"/>
  <c r="BR152" i="53"/>
  <c r="BR159" i="53" s="1"/>
  <c r="BR211" i="53"/>
  <c r="BR112" i="53"/>
  <c r="BR111" i="53"/>
  <c r="BR113" i="53" s="1"/>
  <c r="BR183" i="53"/>
  <c r="BR184" i="53"/>
  <c r="BR126" i="53"/>
  <c r="BR119" i="53"/>
  <c r="BR116" i="53"/>
  <c r="BR123" i="53" s="1"/>
  <c r="BS192" i="53"/>
  <c r="BS190" i="53"/>
  <c r="BS187" i="53"/>
  <c r="BS141" i="53"/>
  <c r="BS146" i="53"/>
  <c r="BS140" i="53"/>
  <c r="BS142" i="53" s="1"/>
  <c r="BS145" i="53" s="1"/>
  <c r="BS210" i="53"/>
  <c r="BS110" i="53"/>
  <c r="BS105" i="53"/>
  <c r="BS109" i="53" s="1"/>
  <c r="BS177" i="53"/>
  <c r="BS181" i="53" s="1"/>
  <c r="BS182" i="53"/>
  <c r="BS151" i="53"/>
  <c r="BS156" i="53"/>
  <c r="BS154" i="53"/>
  <c r="BS118" i="53"/>
  <c r="BS120" i="53"/>
  <c r="BS115" i="53"/>
  <c r="BT203" i="53"/>
  <c r="BT180" i="53"/>
  <c r="BT167" i="53"/>
  <c r="BT144" i="53"/>
  <c r="BT127" i="53"/>
  <c r="BT129" i="53" s="1"/>
  <c r="BT131" i="53"/>
  <c r="BT179" i="53"/>
  <c r="BT186" i="53"/>
  <c r="BT138" i="53"/>
  <c r="BT139" i="53" s="1"/>
  <c r="BT143" i="53"/>
  <c r="BT189" i="53"/>
  <c r="BT104" i="53"/>
  <c r="BT7" i="53"/>
  <c r="BT114" i="53"/>
  <c r="BT193" i="53"/>
  <c r="BT150" i="53"/>
  <c r="BT106" i="53"/>
  <c r="BT108" i="53"/>
  <c r="BT102" i="53"/>
  <c r="BT103" i="53" s="1"/>
  <c r="BT107" i="53"/>
  <c r="BT153" i="53"/>
  <c r="BT121" i="53"/>
  <c r="BT174" i="53"/>
  <c r="BT175" i="53" s="1"/>
  <c r="BT176" i="53" s="1"/>
  <c r="BT178" i="53" s="1"/>
  <c r="BT117" i="53"/>
  <c r="BT157" i="53"/>
  <c r="BU6" i="53"/>
  <c r="BP196" i="53"/>
  <c r="BP197" i="53" s="1"/>
  <c r="BP213" i="53"/>
  <c r="BO214" i="53"/>
  <c r="BQ160" i="53"/>
  <c r="BQ124" i="53"/>
  <c r="BQ212" i="53"/>
  <c r="BL204" i="53"/>
  <c r="BM200" i="53" s="1"/>
  <c r="BL202" i="53"/>
  <c r="BK216" i="53"/>
  <c r="BK205" i="53"/>
  <c r="BJ217" i="53"/>
  <c r="BJ207" i="53"/>
  <c r="BI219" i="53"/>
  <c r="BL171" i="53"/>
  <c r="BN168" i="53"/>
  <c r="BO164" i="53" s="1"/>
  <c r="BN166" i="53"/>
  <c r="BM169" i="53"/>
  <c r="BJ206" i="53"/>
  <c r="BL170" i="53"/>
  <c r="BQ196" i="52"/>
  <c r="BS210" i="52"/>
  <c r="BS140" i="52"/>
  <c r="BJ206" i="52"/>
  <c r="BL171" i="52"/>
  <c r="BL170" i="52"/>
  <c r="BM170" i="52" s="1"/>
  <c r="BP124" i="52"/>
  <c r="BP183" i="52"/>
  <c r="BP184" i="52"/>
  <c r="BS112" i="52"/>
  <c r="BS111" i="52"/>
  <c r="BS113" i="52" s="1"/>
  <c r="BS126" i="52"/>
  <c r="BS127" i="52" s="1"/>
  <c r="BS129" i="52" s="1"/>
  <c r="BS119" i="52"/>
  <c r="BS116" i="52"/>
  <c r="BS123" i="52" s="1"/>
  <c r="BS198" i="52"/>
  <c r="BS199" i="52" s="1"/>
  <c r="BS201" i="52" s="1"/>
  <c r="BS191" i="52"/>
  <c r="BS188" i="52"/>
  <c r="BS195" i="52" s="1"/>
  <c r="BS162" i="52"/>
  <c r="BS163" i="52" s="1"/>
  <c r="BS165" i="52" s="1"/>
  <c r="BS155" i="52"/>
  <c r="BS152" i="52"/>
  <c r="BS159" i="52" s="1"/>
  <c r="BT103" i="52"/>
  <c r="BT190" i="52"/>
  <c r="BT192" i="52"/>
  <c r="BT187" i="52"/>
  <c r="BT182" i="52"/>
  <c r="BT177" i="52"/>
  <c r="BT120" i="52"/>
  <c r="BT115" i="52"/>
  <c r="BT118" i="52"/>
  <c r="BT146" i="52"/>
  <c r="BT141" i="52"/>
  <c r="BT151" i="52"/>
  <c r="BT154" i="52"/>
  <c r="BT156" i="52"/>
  <c r="BU143" i="52"/>
  <c r="BU144" i="52"/>
  <c r="BU114" i="52"/>
  <c r="BU107" i="52"/>
  <c r="BU179" i="52"/>
  <c r="BU193" i="52"/>
  <c r="BU186" i="52"/>
  <c r="BU102" i="52"/>
  <c r="BU167" i="52"/>
  <c r="BU180" i="52"/>
  <c r="BU7" i="52"/>
  <c r="BU104" i="52"/>
  <c r="BU189" i="52"/>
  <c r="BU174" i="52"/>
  <c r="BU106" i="52"/>
  <c r="BU108" i="52"/>
  <c r="BU203" i="52"/>
  <c r="BU157" i="52"/>
  <c r="BU117" i="52"/>
  <c r="BU121" i="52"/>
  <c r="BU131" i="52"/>
  <c r="BU138" i="52"/>
  <c r="BU150" i="52"/>
  <c r="BU153" i="52"/>
  <c r="BV6" i="52"/>
  <c r="BN132" i="52"/>
  <c r="BO128" i="52" s="1"/>
  <c r="BN130" i="52"/>
  <c r="BM133" i="52"/>
  <c r="BL135" i="52"/>
  <c r="BJ217" i="52"/>
  <c r="BJ207" i="52"/>
  <c r="BL204" i="52"/>
  <c r="BM200" i="52" s="1"/>
  <c r="BL202" i="52"/>
  <c r="BK216" i="52"/>
  <c r="BK205" i="52"/>
  <c r="BI218" i="52"/>
  <c r="BJ218" i="52" s="1"/>
  <c r="BI219" i="52"/>
  <c r="BI220" i="52" s="1"/>
  <c r="BM214" i="52"/>
  <c r="BM197" i="52"/>
  <c r="BN197" i="52" s="1"/>
  <c r="BO197" i="52" s="1"/>
  <c r="BN212" i="52"/>
  <c r="BN160" i="52"/>
  <c r="BP147" i="52"/>
  <c r="BP148" i="52"/>
  <c r="BQ124" i="52"/>
  <c r="BR178" i="52"/>
  <c r="BR109" i="52"/>
  <c r="BQ213" i="52"/>
  <c r="BS182" i="52"/>
  <c r="BS177" i="52"/>
  <c r="BS176" i="52"/>
  <c r="BS146" i="52"/>
  <c r="BS141" i="52"/>
  <c r="BQ147" i="52"/>
  <c r="BQ148" i="52"/>
  <c r="BO214" i="52"/>
  <c r="BO169" i="52"/>
  <c r="BO171" i="52" s="1"/>
  <c r="BR142" i="52"/>
  <c r="BN135" i="53"/>
  <c r="BP131" i="53"/>
  <c r="BP132" i="53" s="1"/>
  <c r="BQ128" i="53" s="1"/>
  <c r="BP130" i="53"/>
  <c r="BO133" i="53"/>
  <c r="BQ166" i="52"/>
  <c r="BQ168" i="52"/>
  <c r="BR164" i="52" s="1"/>
  <c r="BR66" i="51"/>
  <c r="BM107" i="51"/>
  <c r="BM108" i="51"/>
  <c r="BN80" i="51"/>
  <c r="BN96" i="51" s="1"/>
  <c r="BN105" i="51" s="1"/>
  <c r="BT6" i="51"/>
  <c r="BS7" i="51"/>
  <c r="BS65" i="51"/>
  <c r="BS68" i="51"/>
  <c r="BS70" i="51"/>
  <c r="BS72" i="51"/>
  <c r="BS73" i="51"/>
  <c r="BS74" i="51"/>
  <c r="BS79" i="51" s="1"/>
  <c r="BS64" i="51"/>
  <c r="BS81" i="51"/>
  <c r="BS82" i="51" s="1"/>
  <c r="BS85" i="51"/>
  <c r="BS86" i="51"/>
  <c r="BS99" i="51"/>
  <c r="BS101" i="51" s="1"/>
  <c r="BS87" i="51"/>
  <c r="BS88" i="51"/>
  <c r="BS89" i="51"/>
  <c r="BS90" i="51"/>
  <c r="BS91" i="51"/>
  <c r="BS92" i="51"/>
  <c r="BS93" i="51"/>
  <c r="BS94" i="51"/>
  <c r="BS103" i="51"/>
  <c r="BR67" i="51"/>
  <c r="BR69" i="51"/>
  <c r="BR83" i="51"/>
  <c r="BR84" i="51"/>
  <c r="BQ71" i="51"/>
  <c r="BQ76" i="51"/>
  <c r="BQ98" i="51"/>
  <c r="BQ95" i="51"/>
  <c r="BO104" i="51"/>
  <c r="BP100" i="51" s="1"/>
  <c r="BO102" i="51"/>
  <c r="BO78" i="51"/>
  <c r="BO77" i="51"/>
  <c r="BP75" i="51"/>
  <c r="BR195" i="53" l="1"/>
  <c r="BR185" i="53"/>
  <c r="BQ161" i="53"/>
  <c r="BU158" i="53"/>
  <c r="BU122" i="53"/>
  <c r="BU194" i="53"/>
  <c r="BV158" i="52"/>
  <c r="BV122" i="52"/>
  <c r="BV194" i="52"/>
  <c r="BS142" i="52"/>
  <c r="BS145" i="52" s="1"/>
  <c r="BT142" i="52"/>
  <c r="BT145" i="52" s="1"/>
  <c r="BM170" i="53"/>
  <c r="BK206" i="53"/>
  <c r="BS198" i="53"/>
  <c r="BS199" i="53" s="1"/>
  <c r="BS201" i="53" s="1"/>
  <c r="BS188" i="53"/>
  <c r="BS191" i="53"/>
  <c r="BS147" i="53"/>
  <c r="BS148" i="53"/>
  <c r="BS211" i="53"/>
  <c r="BS112" i="53"/>
  <c r="BS111" i="53"/>
  <c r="BS113" i="53" s="1"/>
  <c r="BS183" i="53"/>
  <c r="BS184" i="53"/>
  <c r="BS185" i="53"/>
  <c r="BS162" i="53"/>
  <c r="BS163" i="53" s="1"/>
  <c r="BS165" i="53" s="1"/>
  <c r="BS155" i="53"/>
  <c r="BS152" i="53"/>
  <c r="BS159" i="53" s="1"/>
  <c r="BS126" i="53"/>
  <c r="BS119" i="53"/>
  <c r="BS116" i="53"/>
  <c r="BS123" i="53" s="1"/>
  <c r="BT187" i="53"/>
  <c r="BT192" i="53"/>
  <c r="BT190" i="53"/>
  <c r="BT141" i="53"/>
  <c r="BT146" i="53"/>
  <c r="BT140" i="53"/>
  <c r="BT142" i="53" s="1"/>
  <c r="BT145" i="53" s="1"/>
  <c r="BT120" i="53"/>
  <c r="BT118" i="53"/>
  <c r="BT115" i="53"/>
  <c r="BT156" i="53"/>
  <c r="BT151" i="53"/>
  <c r="BT154" i="53"/>
  <c r="BT210" i="53"/>
  <c r="BT105" i="53"/>
  <c r="BT109" i="53" s="1"/>
  <c r="BT110" i="53"/>
  <c r="BT177" i="53"/>
  <c r="BT181" i="53" s="1"/>
  <c r="BT182" i="53"/>
  <c r="BU203" i="53"/>
  <c r="BU180" i="53"/>
  <c r="BU167" i="53"/>
  <c r="BU144" i="53"/>
  <c r="BU127" i="53"/>
  <c r="BU129" i="53" s="1"/>
  <c r="BU131" i="53"/>
  <c r="BU179" i="53"/>
  <c r="BU186" i="53"/>
  <c r="BU138" i="53"/>
  <c r="BU139" i="53" s="1"/>
  <c r="BU143" i="53"/>
  <c r="BU189" i="53"/>
  <c r="BU102" i="53"/>
  <c r="BU103" i="53" s="1"/>
  <c r="BU121" i="53"/>
  <c r="BU108" i="53"/>
  <c r="BU107" i="53"/>
  <c r="BU114" i="53"/>
  <c r="BU153" i="53"/>
  <c r="BU104" i="53"/>
  <c r="BU117" i="53"/>
  <c r="BU106" i="53"/>
  <c r="BU150" i="53"/>
  <c r="BU174" i="53"/>
  <c r="BU175" i="53" s="1"/>
  <c r="BU176" i="53" s="1"/>
  <c r="BU178" i="53" s="1"/>
  <c r="BU193" i="53"/>
  <c r="BU7" i="53"/>
  <c r="BV6" i="53"/>
  <c r="BU157" i="53"/>
  <c r="BQ196" i="53"/>
  <c r="BQ213" i="53"/>
  <c r="BR160" i="53"/>
  <c r="BR161" i="53" s="1"/>
  <c r="BR124" i="53"/>
  <c r="BR212" i="53"/>
  <c r="BM204" i="53"/>
  <c r="BN200" i="53" s="1"/>
  <c r="BM202" i="53"/>
  <c r="BL216" i="53"/>
  <c r="BL205" i="53"/>
  <c r="BK217" i="53"/>
  <c r="BK207" i="53"/>
  <c r="BJ219" i="53"/>
  <c r="BO166" i="53"/>
  <c r="BO168" i="53"/>
  <c r="BP164" i="53" s="1"/>
  <c r="BN169" i="53"/>
  <c r="BM171" i="53"/>
  <c r="BT178" i="52"/>
  <c r="BS178" i="52"/>
  <c r="BS181" i="52" s="1"/>
  <c r="BP185" i="52"/>
  <c r="BT105" i="52"/>
  <c r="BT210" i="52"/>
  <c r="BT110" i="52"/>
  <c r="BT198" i="52"/>
  <c r="BT199" i="52" s="1"/>
  <c r="BT201" i="52" s="1"/>
  <c r="BT188" i="52"/>
  <c r="BT191" i="52"/>
  <c r="BT126" i="52"/>
  <c r="BT127" i="52" s="1"/>
  <c r="BT129" i="52" s="1"/>
  <c r="BT116" i="52"/>
  <c r="BT119" i="52"/>
  <c r="BT162" i="52"/>
  <c r="BT163" i="52" s="1"/>
  <c r="BT165" i="52" s="1"/>
  <c r="BT155" i="52"/>
  <c r="BT152" i="52"/>
  <c r="BT159" i="52" s="1"/>
  <c r="BU115" i="52"/>
  <c r="BU118" i="52"/>
  <c r="BU120" i="52"/>
  <c r="BU190" i="52"/>
  <c r="BU187" i="52"/>
  <c r="BU192" i="52"/>
  <c r="BU175" i="52"/>
  <c r="BU139" i="52"/>
  <c r="BU151" i="52"/>
  <c r="BU154" i="52"/>
  <c r="BU156" i="52"/>
  <c r="BV108" i="52"/>
  <c r="BV104" i="52"/>
  <c r="BV180" i="52"/>
  <c r="BV167" i="52"/>
  <c r="BV7" i="52"/>
  <c r="BV174" i="52"/>
  <c r="BV175" i="52" s="1"/>
  <c r="BV186" i="52"/>
  <c r="BV107" i="52"/>
  <c r="BV203" i="52"/>
  <c r="BV102" i="52"/>
  <c r="BV193" i="52"/>
  <c r="BV179" i="52"/>
  <c r="BV114" i="52"/>
  <c r="BV189" i="52"/>
  <c r="BV143" i="52"/>
  <c r="BV144" i="52"/>
  <c r="BV106" i="52"/>
  <c r="BV157" i="52"/>
  <c r="BV117" i="52"/>
  <c r="BV121" i="52"/>
  <c r="BV138" i="52"/>
  <c r="BV139" i="52" s="1"/>
  <c r="BV140" i="52" s="1"/>
  <c r="BV150" i="52"/>
  <c r="BV153" i="52"/>
  <c r="BV131" i="52"/>
  <c r="BW6" i="52"/>
  <c r="BO132" i="52"/>
  <c r="BP128" i="52" s="1"/>
  <c r="BO130" i="52"/>
  <c r="BN133" i="52"/>
  <c r="BM135" i="52"/>
  <c r="BJ219" i="52"/>
  <c r="BJ220" i="52" s="1"/>
  <c r="BM204" i="52"/>
  <c r="BN200" i="52" s="1"/>
  <c r="BM202" i="52"/>
  <c r="BL216" i="52"/>
  <c r="BL205" i="52"/>
  <c r="BK206" i="52"/>
  <c r="BK207" i="52"/>
  <c r="BN161" i="52"/>
  <c r="BO161" i="52" s="1"/>
  <c r="BN169" i="52"/>
  <c r="BN214" i="52"/>
  <c r="BP149" i="52"/>
  <c r="BR181" i="52"/>
  <c r="BR112" i="52"/>
  <c r="BR111" i="52"/>
  <c r="BR145" i="52"/>
  <c r="BT181" i="52"/>
  <c r="BQ149" i="52"/>
  <c r="BR213" i="52"/>
  <c r="BS124" i="52"/>
  <c r="BU103" i="52"/>
  <c r="BQ130" i="53"/>
  <c r="BQ132" i="53"/>
  <c r="BR128" i="53" s="1"/>
  <c r="BO135" i="53"/>
  <c r="BR166" i="52"/>
  <c r="BR168" i="52"/>
  <c r="BS164" i="52" s="1"/>
  <c r="BN108" i="51"/>
  <c r="BN107" i="51"/>
  <c r="BO80" i="51"/>
  <c r="BO96" i="51" s="1"/>
  <c r="BO105" i="51" s="1"/>
  <c r="BU6" i="51"/>
  <c r="BT7" i="51"/>
  <c r="BT64" i="51"/>
  <c r="BT65" i="51"/>
  <c r="BT68" i="51"/>
  <c r="BT70" i="51"/>
  <c r="BT72" i="51"/>
  <c r="BT73" i="51"/>
  <c r="BT74" i="51"/>
  <c r="BT79" i="51" s="1"/>
  <c r="BT81" i="51"/>
  <c r="BT82" i="51" s="1"/>
  <c r="BT85" i="51"/>
  <c r="BT86" i="51"/>
  <c r="BT87" i="51"/>
  <c r="BT88" i="51"/>
  <c r="BT89" i="51"/>
  <c r="BT90" i="51"/>
  <c r="BT91" i="51"/>
  <c r="BT92" i="51"/>
  <c r="BT93" i="51"/>
  <c r="BT94" i="51"/>
  <c r="BT103" i="51"/>
  <c r="BT99" i="51"/>
  <c r="BT101" i="51" s="1"/>
  <c r="BS66" i="51"/>
  <c r="BS67" i="51"/>
  <c r="BS69" i="51"/>
  <c r="BS83" i="51"/>
  <c r="BS84" i="51"/>
  <c r="BR71" i="51"/>
  <c r="BR76" i="51"/>
  <c r="BR98" i="51"/>
  <c r="BR95" i="51"/>
  <c r="BP102" i="51"/>
  <c r="BP104" i="51"/>
  <c r="BQ100" i="51" s="1"/>
  <c r="BP78" i="51"/>
  <c r="BP77" i="51"/>
  <c r="BP80" i="51" s="1"/>
  <c r="BP96" i="51" s="1"/>
  <c r="BQ75" i="51"/>
  <c r="BS195" i="53" l="1"/>
  <c r="BV158" i="53"/>
  <c r="BV122" i="53"/>
  <c r="BV194" i="53"/>
  <c r="BT195" i="52"/>
  <c r="BT123" i="52"/>
  <c r="BW158" i="52"/>
  <c r="BW122" i="52"/>
  <c r="BW194" i="52"/>
  <c r="BR113" i="52"/>
  <c r="BL206" i="52"/>
  <c r="BR211" i="52"/>
  <c r="BT198" i="53"/>
  <c r="BT199" i="53" s="1"/>
  <c r="BT201" i="53" s="1"/>
  <c r="BT188" i="53"/>
  <c r="BT195" i="53" s="1"/>
  <c r="BT191" i="53"/>
  <c r="BT147" i="53"/>
  <c r="BT148" i="53"/>
  <c r="BT149" i="53"/>
  <c r="BT126" i="53"/>
  <c r="BT119" i="53"/>
  <c r="BT116" i="53"/>
  <c r="BT123" i="53" s="1"/>
  <c r="BT162" i="53"/>
  <c r="BT163" i="53" s="1"/>
  <c r="BT165" i="53" s="1"/>
  <c r="BT155" i="53"/>
  <c r="BT152" i="53"/>
  <c r="BT159" i="53" s="1"/>
  <c r="BT211" i="53"/>
  <c r="BT112" i="53"/>
  <c r="BT111" i="53"/>
  <c r="BT183" i="53"/>
  <c r="BT184" i="53"/>
  <c r="BU187" i="53"/>
  <c r="BU192" i="53"/>
  <c r="BU190" i="53"/>
  <c r="BU141" i="53"/>
  <c r="BU146" i="53"/>
  <c r="BU140" i="53"/>
  <c r="BU210" i="53"/>
  <c r="BU105" i="53"/>
  <c r="BU109" i="53" s="1"/>
  <c r="BU110" i="53"/>
  <c r="BU118" i="53"/>
  <c r="BU120" i="53"/>
  <c r="BU115" i="53"/>
  <c r="BU156" i="53"/>
  <c r="BU151" i="53"/>
  <c r="BU154" i="53"/>
  <c r="BU177" i="53"/>
  <c r="BU181" i="53" s="1"/>
  <c r="BU182" i="53"/>
  <c r="BV203" i="53"/>
  <c r="BV180" i="53"/>
  <c r="BV167" i="53"/>
  <c r="BV144" i="53"/>
  <c r="BV127" i="53"/>
  <c r="BV129" i="53" s="1"/>
  <c r="BV131" i="53"/>
  <c r="BV179" i="53"/>
  <c r="BV189" i="53"/>
  <c r="BV143" i="53"/>
  <c r="BV138" i="53"/>
  <c r="BV139" i="53" s="1"/>
  <c r="BV186" i="53"/>
  <c r="BV107" i="53"/>
  <c r="BV114" i="53"/>
  <c r="BV153" i="53"/>
  <c r="BV150" i="53"/>
  <c r="BV117" i="53"/>
  <c r="BV106" i="53"/>
  <c r="BV104" i="53"/>
  <c r="BV121" i="53"/>
  <c r="BV174" i="53"/>
  <c r="BV175" i="53" s="1"/>
  <c r="BV176" i="53" s="1"/>
  <c r="BV178" i="53" s="1"/>
  <c r="BV193" i="53"/>
  <c r="BV102" i="53"/>
  <c r="BV103" i="53" s="1"/>
  <c r="BV7" i="53"/>
  <c r="BV108" i="53"/>
  <c r="BV157" i="53"/>
  <c r="BW6" i="53"/>
  <c r="BQ197" i="53"/>
  <c r="BQ214" i="53"/>
  <c r="BR196" i="53"/>
  <c r="BR214" i="53" s="1"/>
  <c r="BR213" i="53"/>
  <c r="BS149" i="53"/>
  <c r="BS124" i="53"/>
  <c r="BN202" i="53"/>
  <c r="BN204" i="53"/>
  <c r="BO200" i="53" s="1"/>
  <c r="BM216" i="53"/>
  <c r="BM205" i="53"/>
  <c r="BL206" i="53"/>
  <c r="BL217" i="53"/>
  <c r="BL207" i="53"/>
  <c r="BK219" i="53"/>
  <c r="BO169" i="53"/>
  <c r="BP168" i="53"/>
  <c r="BQ164" i="53" s="1"/>
  <c r="BP166" i="53"/>
  <c r="BN170" i="53"/>
  <c r="BN171" i="53"/>
  <c r="BP196" i="52"/>
  <c r="BT109" i="52"/>
  <c r="BU126" i="52"/>
  <c r="BU127" i="52" s="1"/>
  <c r="BU129" i="52" s="1"/>
  <c r="BU119" i="52"/>
  <c r="BU116" i="52"/>
  <c r="BU123" i="52" s="1"/>
  <c r="BU198" i="52"/>
  <c r="BU199" i="52" s="1"/>
  <c r="BU201" i="52" s="1"/>
  <c r="BU191" i="52"/>
  <c r="BU188" i="52"/>
  <c r="BU195" i="52" s="1"/>
  <c r="BU176" i="52"/>
  <c r="BU182" i="52"/>
  <c r="BU177" i="52"/>
  <c r="BU140" i="52"/>
  <c r="BU146" i="52"/>
  <c r="BU141" i="52"/>
  <c r="BU162" i="52"/>
  <c r="BU163" i="52" s="1"/>
  <c r="BU165" i="52" s="1"/>
  <c r="BU155" i="52"/>
  <c r="BU152" i="52"/>
  <c r="BV182" i="52"/>
  <c r="BV177" i="52"/>
  <c r="BV176" i="52"/>
  <c r="BV190" i="52"/>
  <c r="BV187" i="52"/>
  <c r="BV192" i="52"/>
  <c r="BV120" i="52"/>
  <c r="BV118" i="52"/>
  <c r="BV115" i="52"/>
  <c r="BV141" i="52"/>
  <c r="BV146" i="52"/>
  <c r="BV156" i="52"/>
  <c r="BV151" i="52"/>
  <c r="BV154" i="52"/>
  <c r="BW107" i="52"/>
  <c r="BW193" i="52"/>
  <c r="BW174" i="52"/>
  <c r="BW180" i="52"/>
  <c r="BW186" i="52"/>
  <c r="BW189" i="52"/>
  <c r="BW203" i="52"/>
  <c r="BW114" i="52"/>
  <c r="BW143" i="52"/>
  <c r="BW144" i="52"/>
  <c r="BW179" i="52"/>
  <c r="BW106" i="52"/>
  <c r="BW167" i="52"/>
  <c r="BW7" i="52"/>
  <c r="BW102" i="52"/>
  <c r="BW103" i="52" s="1"/>
  <c r="BW104" i="52"/>
  <c r="BW108" i="52"/>
  <c r="BW131" i="52"/>
  <c r="BW157" i="52"/>
  <c r="BW117" i="52"/>
  <c r="BW121" i="52"/>
  <c r="BW138" i="52"/>
  <c r="BW150" i="52"/>
  <c r="BW153" i="52"/>
  <c r="BX6" i="52"/>
  <c r="BP132" i="52"/>
  <c r="BQ128" i="52" s="1"/>
  <c r="BP130" i="52"/>
  <c r="BO133" i="52"/>
  <c r="BN135" i="52"/>
  <c r="BN204" i="52"/>
  <c r="BO200" i="52" s="1"/>
  <c r="BN202" i="52"/>
  <c r="BM216" i="52"/>
  <c r="BM205" i="52"/>
  <c r="BL217" i="52"/>
  <c r="BL207" i="52"/>
  <c r="BN170" i="52"/>
  <c r="BO170" i="52" s="1"/>
  <c r="BN171" i="52"/>
  <c r="BP212" i="52"/>
  <c r="BP160" i="52"/>
  <c r="BR183" i="52"/>
  <c r="BR184" i="52"/>
  <c r="BR124" i="52"/>
  <c r="BS211" i="52"/>
  <c r="BS147" i="52"/>
  <c r="BS148" i="52"/>
  <c r="BR148" i="52"/>
  <c r="BR147" i="52"/>
  <c r="BS183" i="52"/>
  <c r="BS184" i="52"/>
  <c r="BT183" i="52"/>
  <c r="BT184" i="52"/>
  <c r="BQ212" i="52"/>
  <c r="BQ160" i="52"/>
  <c r="BT147" i="52"/>
  <c r="BT148" i="52"/>
  <c r="BS213" i="52"/>
  <c r="BU110" i="52"/>
  <c r="BU210" i="52"/>
  <c r="BU105" i="52"/>
  <c r="BV103" i="52"/>
  <c r="BQ133" i="53"/>
  <c r="BR132" i="53"/>
  <c r="BS128" i="53" s="1"/>
  <c r="BR130" i="53"/>
  <c r="BS166" i="52"/>
  <c r="BS168" i="52"/>
  <c r="BT164" i="52" s="1"/>
  <c r="BT66" i="51"/>
  <c r="BP105" i="51"/>
  <c r="BO108" i="51"/>
  <c r="BO107" i="51"/>
  <c r="BV6" i="51"/>
  <c r="BU99" i="51"/>
  <c r="BU101" i="51" s="1"/>
  <c r="BU64" i="51"/>
  <c r="BU65" i="51"/>
  <c r="BU68" i="51"/>
  <c r="BU70" i="51"/>
  <c r="BU72" i="51"/>
  <c r="BU73" i="51"/>
  <c r="BU74" i="51"/>
  <c r="BU79" i="51" s="1"/>
  <c r="BU7" i="51"/>
  <c r="BU81" i="51"/>
  <c r="BU82" i="51" s="1"/>
  <c r="BU85" i="51"/>
  <c r="BU86" i="51"/>
  <c r="BU87" i="51"/>
  <c r="BU88" i="51"/>
  <c r="BU89" i="51"/>
  <c r="BU90" i="51"/>
  <c r="BU91" i="51"/>
  <c r="BU92" i="51"/>
  <c r="BU93" i="51"/>
  <c r="BU94" i="51"/>
  <c r="BU103" i="51"/>
  <c r="BT67" i="51"/>
  <c r="BT69" i="51"/>
  <c r="BT83" i="51"/>
  <c r="BT84" i="51"/>
  <c r="BS71" i="51"/>
  <c r="BS76" i="51"/>
  <c r="BS98" i="51"/>
  <c r="BS95" i="51"/>
  <c r="BQ102" i="51"/>
  <c r="BQ104" i="51"/>
  <c r="BR100" i="51" s="1"/>
  <c r="BQ78" i="51"/>
  <c r="BQ77" i="51"/>
  <c r="BQ80" i="51" s="1"/>
  <c r="BQ96" i="51" s="1"/>
  <c r="BR75" i="51"/>
  <c r="BT113" i="53" l="1"/>
  <c r="BT185" i="53"/>
  <c r="BW158" i="53"/>
  <c r="BW122" i="53"/>
  <c r="BW194" i="53"/>
  <c r="BU159" i="52"/>
  <c r="BX158" i="52"/>
  <c r="BX122" i="52"/>
  <c r="BX194" i="52"/>
  <c r="BT213" i="52"/>
  <c r="BS149" i="52"/>
  <c r="BT149" i="52"/>
  <c r="BT160" i="52" s="1"/>
  <c r="BM206" i="53"/>
  <c r="BO170" i="53"/>
  <c r="BR197" i="53"/>
  <c r="BT212" i="53"/>
  <c r="BS160" i="53"/>
  <c r="BS161" i="53" s="1"/>
  <c r="BS212" i="53"/>
  <c r="BU198" i="53"/>
  <c r="BU199" i="53" s="1"/>
  <c r="BU201" i="53" s="1"/>
  <c r="BU188" i="53"/>
  <c r="BU191" i="53"/>
  <c r="BU112" i="53"/>
  <c r="BU111" i="53"/>
  <c r="BU113" i="53" s="1"/>
  <c r="BU126" i="53"/>
  <c r="BU116" i="53"/>
  <c r="BU123" i="53" s="1"/>
  <c r="BU119" i="53"/>
  <c r="BU162" i="53"/>
  <c r="BU163" i="53" s="1"/>
  <c r="BU165" i="53" s="1"/>
  <c r="BU155" i="53"/>
  <c r="BU152" i="53"/>
  <c r="BU159" i="53" s="1"/>
  <c r="BU184" i="53"/>
  <c r="BU183" i="53"/>
  <c r="BU185" i="53" s="1"/>
  <c r="BV141" i="53"/>
  <c r="BV146" i="53"/>
  <c r="BV140" i="53"/>
  <c r="BV142" i="53" s="1"/>
  <c r="BV145" i="53" s="1"/>
  <c r="BV187" i="53"/>
  <c r="BV190" i="53"/>
  <c r="BV192" i="53"/>
  <c r="BV118" i="53"/>
  <c r="BV120" i="53"/>
  <c r="BV115" i="53"/>
  <c r="BV151" i="53"/>
  <c r="BV156" i="53"/>
  <c r="BV154" i="53"/>
  <c r="BV177" i="53"/>
  <c r="BV181" i="53" s="1"/>
  <c r="BV182" i="53"/>
  <c r="BV210" i="53"/>
  <c r="BV110" i="53"/>
  <c r="BV105" i="53"/>
  <c r="BV109" i="53" s="1"/>
  <c r="BW203" i="53"/>
  <c r="BW180" i="53"/>
  <c r="BW167" i="53"/>
  <c r="BW174" i="53"/>
  <c r="BW175" i="53" s="1"/>
  <c r="BW176" i="53" s="1"/>
  <c r="BW178" i="53" s="1"/>
  <c r="BW144" i="53"/>
  <c r="BW127" i="53"/>
  <c r="BW129" i="53" s="1"/>
  <c r="BW131" i="53"/>
  <c r="BW179" i="53"/>
  <c r="BW189" i="53"/>
  <c r="BW186" i="53"/>
  <c r="BW138" i="53"/>
  <c r="BW139" i="53" s="1"/>
  <c r="BW143" i="53"/>
  <c r="BW102" i="53"/>
  <c r="BW103" i="53" s="1"/>
  <c r="BW108" i="53"/>
  <c r="BW104" i="53"/>
  <c r="BW193" i="53"/>
  <c r="BW153" i="53"/>
  <c r="BW7" i="53"/>
  <c r="BW121" i="53"/>
  <c r="BW106" i="53"/>
  <c r="BW150" i="53"/>
  <c r="BW114" i="53"/>
  <c r="BW107" i="53"/>
  <c r="BW117" i="53"/>
  <c r="BW157" i="53"/>
  <c r="BX6" i="53"/>
  <c r="BS196" i="53"/>
  <c r="BS213" i="53"/>
  <c r="BT160" i="53"/>
  <c r="BT124" i="53"/>
  <c r="BU142" i="53"/>
  <c r="BU145" i="53" s="1"/>
  <c r="BU211" i="53" s="1"/>
  <c r="BN216" i="53"/>
  <c r="BN205" i="53"/>
  <c r="BO202" i="53"/>
  <c r="BO204" i="53"/>
  <c r="BP200" i="53" s="1"/>
  <c r="BM217" i="53"/>
  <c r="BM207" i="53"/>
  <c r="BL219" i="53"/>
  <c r="BO171" i="53"/>
  <c r="BQ166" i="53"/>
  <c r="BQ168" i="53"/>
  <c r="BR164" i="53" s="1"/>
  <c r="BP169" i="53"/>
  <c r="BP197" i="52"/>
  <c r="BQ197" i="52" s="1"/>
  <c r="BT211" i="52"/>
  <c r="BT112" i="52"/>
  <c r="BT111" i="52"/>
  <c r="BT113" i="52" s="1"/>
  <c r="BV178" i="52"/>
  <c r="BV181" i="52" s="1"/>
  <c r="BU178" i="52"/>
  <c r="BV142" i="52"/>
  <c r="BV145" i="52" s="1"/>
  <c r="BU142" i="52"/>
  <c r="BV198" i="52"/>
  <c r="BV199" i="52" s="1"/>
  <c r="BV201" i="52" s="1"/>
  <c r="BV188" i="52"/>
  <c r="BV191" i="52"/>
  <c r="BV126" i="52"/>
  <c r="BV127" i="52" s="1"/>
  <c r="BV129" i="52" s="1"/>
  <c r="BV116" i="52"/>
  <c r="BV119" i="52"/>
  <c r="BV162" i="52"/>
  <c r="BV163" i="52" s="1"/>
  <c r="BV165" i="52" s="1"/>
  <c r="BV155" i="52"/>
  <c r="BV152" i="52"/>
  <c r="BV159" i="52" s="1"/>
  <c r="BW175" i="52"/>
  <c r="BW192" i="52"/>
  <c r="BW187" i="52"/>
  <c r="BW190" i="52"/>
  <c r="BW118" i="52"/>
  <c r="BW115" i="52"/>
  <c r="BW120" i="52"/>
  <c r="BW110" i="52"/>
  <c r="BW105" i="52"/>
  <c r="BW109" i="52" s="1"/>
  <c r="BW139" i="52"/>
  <c r="BW210" i="52" s="1"/>
  <c r="BW151" i="52"/>
  <c r="BW156" i="52"/>
  <c r="BW154" i="52"/>
  <c r="BX102" i="52"/>
  <c r="BX167" i="52"/>
  <c r="BX7" i="52"/>
  <c r="BX106" i="52"/>
  <c r="BX193" i="52"/>
  <c r="BX144" i="52"/>
  <c r="BX143" i="52"/>
  <c r="BX203" i="52"/>
  <c r="BX179" i="52"/>
  <c r="BX189" i="52"/>
  <c r="BX114" i="52"/>
  <c r="BX186" i="52"/>
  <c r="BX180" i="52"/>
  <c r="BX107" i="52"/>
  <c r="BX174" i="52"/>
  <c r="BX104" i="52"/>
  <c r="BX127" i="52"/>
  <c r="BX157" i="52"/>
  <c r="BX117" i="52"/>
  <c r="BX121" i="52"/>
  <c r="BX138" i="52"/>
  <c r="BX150" i="52"/>
  <c r="BX153" i="52"/>
  <c r="BY6" i="52"/>
  <c r="BQ132" i="52"/>
  <c r="BR128" i="52" s="1"/>
  <c r="BQ130" i="52"/>
  <c r="BP133" i="52"/>
  <c r="BO135" i="52"/>
  <c r="BO204" i="52"/>
  <c r="BP200" i="52" s="1"/>
  <c r="BO202" i="52"/>
  <c r="BN216" i="52"/>
  <c r="BN205" i="52"/>
  <c r="BM206" i="52"/>
  <c r="BN206" i="52" s="1"/>
  <c r="BM217" i="52"/>
  <c r="BM207" i="52"/>
  <c r="BL219" i="52"/>
  <c r="BP161" i="52"/>
  <c r="BQ161" i="52" s="1"/>
  <c r="BP214" i="52"/>
  <c r="BP169" i="52"/>
  <c r="BR185" i="52"/>
  <c r="BS160" i="52"/>
  <c r="BR149" i="52"/>
  <c r="BQ169" i="52"/>
  <c r="BQ171" i="52" s="1"/>
  <c r="BQ214" i="52"/>
  <c r="BV210" i="52"/>
  <c r="BV110" i="52"/>
  <c r="BV105" i="52"/>
  <c r="BV109" i="52" s="1"/>
  <c r="BT185" i="52"/>
  <c r="BT196" i="52" s="1"/>
  <c r="BS185" i="52"/>
  <c r="BU109" i="52"/>
  <c r="BQ135" i="53"/>
  <c r="BS130" i="53"/>
  <c r="BS132" i="53"/>
  <c r="BT128" i="53" s="1"/>
  <c r="BR133" i="53"/>
  <c r="BT166" i="52"/>
  <c r="BT168" i="52"/>
  <c r="BU164" i="52" s="1"/>
  <c r="BP107" i="51"/>
  <c r="BP108" i="51"/>
  <c r="BQ105" i="51"/>
  <c r="BW6" i="51"/>
  <c r="BV7" i="51"/>
  <c r="BV65" i="51"/>
  <c r="BV68" i="51"/>
  <c r="BV70" i="51"/>
  <c r="BV72" i="51"/>
  <c r="BV73" i="51"/>
  <c r="BV74" i="51"/>
  <c r="BV79" i="51" s="1"/>
  <c r="BV64" i="51"/>
  <c r="BV81" i="51"/>
  <c r="BV82" i="51" s="1"/>
  <c r="BV85" i="51"/>
  <c r="BV86" i="51"/>
  <c r="BV87" i="51"/>
  <c r="BV88" i="51"/>
  <c r="BV89" i="51"/>
  <c r="BV90" i="51"/>
  <c r="BV91" i="51"/>
  <c r="BV92" i="51"/>
  <c r="BV93" i="51"/>
  <c r="BV94" i="51"/>
  <c r="BV99" i="51"/>
  <c r="BV101" i="51" s="1"/>
  <c r="BV103" i="51"/>
  <c r="BU66" i="51"/>
  <c r="BU67" i="51"/>
  <c r="BU69" i="51"/>
  <c r="BU83" i="51"/>
  <c r="BU84" i="51"/>
  <c r="BT71" i="51"/>
  <c r="BT75" i="51" s="1"/>
  <c r="BT76" i="51"/>
  <c r="BT98" i="51"/>
  <c r="BT95" i="51"/>
  <c r="BR104" i="51"/>
  <c r="BS100" i="51" s="1"/>
  <c r="BR102" i="51"/>
  <c r="BR78" i="51"/>
  <c r="BR77" i="51"/>
  <c r="BR80" i="51" s="1"/>
  <c r="BR96" i="51" s="1"/>
  <c r="BS75" i="51"/>
  <c r="BU195" i="53" l="1"/>
  <c r="BX158" i="53"/>
  <c r="BX122" i="53"/>
  <c r="BX194" i="53"/>
  <c r="BV123" i="52"/>
  <c r="BV195" i="52"/>
  <c r="BY158" i="52"/>
  <c r="BY122" i="52"/>
  <c r="BY194" i="52"/>
  <c r="BT161" i="53"/>
  <c r="BT196" i="53"/>
  <c r="BT214" i="53" s="1"/>
  <c r="BT213" i="53"/>
  <c r="BV198" i="53"/>
  <c r="BV199" i="53" s="1"/>
  <c r="BV201" i="53" s="1"/>
  <c r="BV188" i="53"/>
  <c r="BV191" i="53"/>
  <c r="BV126" i="53"/>
  <c r="BV116" i="53"/>
  <c r="BV123" i="53" s="1"/>
  <c r="BV119" i="53"/>
  <c r="BV162" i="53"/>
  <c r="BV163" i="53" s="1"/>
  <c r="BV165" i="53" s="1"/>
  <c r="BV152" i="53"/>
  <c r="BV155" i="53"/>
  <c r="BV183" i="53"/>
  <c r="BV184" i="53"/>
  <c r="BV185" i="53"/>
  <c r="BV211" i="53"/>
  <c r="BV111" i="53"/>
  <c r="BV112" i="53"/>
  <c r="BV113" i="53"/>
  <c r="BW182" i="53"/>
  <c r="BW177" i="53"/>
  <c r="BW181" i="53" s="1"/>
  <c r="BW187" i="53"/>
  <c r="BW190" i="53"/>
  <c r="BW192" i="53"/>
  <c r="BW141" i="53"/>
  <c r="BW146" i="53"/>
  <c r="BW140" i="53"/>
  <c r="BW142" i="53" s="1"/>
  <c r="BW145" i="53" s="1"/>
  <c r="BW210" i="53"/>
  <c r="BW110" i="53"/>
  <c r="BW105" i="53"/>
  <c r="BW109" i="53" s="1"/>
  <c r="BW156" i="53"/>
  <c r="BW154" i="53"/>
  <c r="BW151" i="53"/>
  <c r="BW120" i="53"/>
  <c r="BW118" i="53"/>
  <c r="BW115" i="53"/>
  <c r="BX203" i="53"/>
  <c r="BX180" i="53"/>
  <c r="BX167" i="53"/>
  <c r="BX174" i="53"/>
  <c r="BX175" i="53" s="1"/>
  <c r="BX176" i="53" s="1"/>
  <c r="BX178" i="53" s="1"/>
  <c r="BX144" i="53"/>
  <c r="BX127" i="53"/>
  <c r="BX129" i="53" s="1"/>
  <c r="BX131" i="53"/>
  <c r="BX179" i="53"/>
  <c r="BX143" i="53"/>
  <c r="BX186" i="53"/>
  <c r="BX189" i="53"/>
  <c r="BX138" i="53"/>
  <c r="BX139" i="53" s="1"/>
  <c r="BX121" i="53"/>
  <c r="BX193" i="53"/>
  <c r="BX114" i="53"/>
  <c r="BX153" i="53"/>
  <c r="BX117" i="53"/>
  <c r="BX7" i="53"/>
  <c r="BX150" i="53"/>
  <c r="BX102" i="53"/>
  <c r="BX103" i="53" s="1"/>
  <c r="BX106" i="53"/>
  <c r="BX108" i="53"/>
  <c r="BX107" i="53"/>
  <c r="BX104" i="53"/>
  <c r="BX157" i="53"/>
  <c r="BY6" i="53"/>
  <c r="BS197" i="53"/>
  <c r="BS214" i="53"/>
  <c r="BU148" i="53"/>
  <c r="BU147" i="53"/>
  <c r="BU149" i="53" s="1"/>
  <c r="BV148" i="53"/>
  <c r="BV147" i="53"/>
  <c r="BV149" i="53" s="1"/>
  <c r="BU124" i="53"/>
  <c r="BN217" i="53"/>
  <c r="BN206" i="53"/>
  <c r="BN207" i="53"/>
  <c r="BO216" i="53"/>
  <c r="BO205" i="53"/>
  <c r="BP204" i="53"/>
  <c r="BQ200" i="53" s="1"/>
  <c r="BP202" i="53"/>
  <c r="BM219" i="53"/>
  <c r="BQ169" i="53"/>
  <c r="BR168" i="53"/>
  <c r="BS164" i="53" s="1"/>
  <c r="BR166" i="53"/>
  <c r="BP170" i="53"/>
  <c r="BP171" i="53"/>
  <c r="BT212" i="52"/>
  <c r="BT124" i="52"/>
  <c r="BT214" i="52" s="1"/>
  <c r="BV184" i="52"/>
  <c r="BV183" i="52"/>
  <c r="BV185" i="52" s="1"/>
  <c r="BU181" i="52"/>
  <c r="BV148" i="52"/>
  <c r="BV147" i="52"/>
  <c r="BV149" i="52" s="1"/>
  <c r="BU145" i="52"/>
  <c r="BW176" i="52"/>
  <c r="BW182" i="52"/>
  <c r="BW177" i="52"/>
  <c r="BW198" i="52"/>
  <c r="BW199" i="52" s="1"/>
  <c r="BW201" i="52" s="1"/>
  <c r="BW188" i="52"/>
  <c r="BW191" i="52"/>
  <c r="BW126" i="52"/>
  <c r="BW127" i="52" s="1"/>
  <c r="BW119" i="52"/>
  <c r="BW116" i="52"/>
  <c r="BW123" i="52" s="1"/>
  <c r="BW111" i="52"/>
  <c r="BW112" i="52"/>
  <c r="BW113" i="52" s="1"/>
  <c r="BW140" i="52"/>
  <c r="BW146" i="52"/>
  <c r="BW141" i="52"/>
  <c r="BW162" i="52"/>
  <c r="BW163" i="52" s="1"/>
  <c r="BW165" i="52" s="1"/>
  <c r="BW155" i="52"/>
  <c r="BW152" i="52"/>
  <c r="BW159" i="52" s="1"/>
  <c r="BX103" i="52"/>
  <c r="BX120" i="52"/>
  <c r="BX115" i="52"/>
  <c r="BX118" i="52"/>
  <c r="BX192" i="52"/>
  <c r="BX187" i="52"/>
  <c r="BX190" i="52"/>
  <c r="BX151" i="52"/>
  <c r="BX156" i="52"/>
  <c r="BX154" i="52"/>
  <c r="BY104" i="52"/>
  <c r="BY143" i="52"/>
  <c r="BY193" i="52"/>
  <c r="BY179" i="52"/>
  <c r="BY144" i="52"/>
  <c r="BY189" i="52"/>
  <c r="BY106" i="52"/>
  <c r="BY114" i="52"/>
  <c r="BY186" i="52"/>
  <c r="BY174" i="52"/>
  <c r="BY7" i="52"/>
  <c r="BY107" i="52"/>
  <c r="BY102" i="52"/>
  <c r="BY180" i="52"/>
  <c r="BY108" i="52"/>
  <c r="BY203" i="52"/>
  <c r="BY167" i="52"/>
  <c r="BY127" i="52"/>
  <c r="BY129" i="52" s="1"/>
  <c r="BY157" i="52"/>
  <c r="BY117" i="52"/>
  <c r="BY121" i="52"/>
  <c r="BY131" i="52"/>
  <c r="BY138" i="52"/>
  <c r="BY150" i="52"/>
  <c r="BY153" i="52"/>
  <c r="BZ6" i="52"/>
  <c r="BR132" i="52"/>
  <c r="BS128" i="52" s="1"/>
  <c r="BR130" i="52"/>
  <c r="BQ133" i="52"/>
  <c r="BP135" i="52"/>
  <c r="BP202" i="52"/>
  <c r="BP204" i="52"/>
  <c r="BQ200" i="52" s="1"/>
  <c r="BO216" i="52"/>
  <c r="BO205" i="52"/>
  <c r="BN217" i="52"/>
  <c r="BN207" i="52"/>
  <c r="BM219" i="52"/>
  <c r="BP170" i="52"/>
  <c r="BQ170" i="52" s="1"/>
  <c r="BP171" i="52"/>
  <c r="BR196" i="52"/>
  <c r="BS169" i="52"/>
  <c r="BS171" i="52" s="1"/>
  <c r="BR212" i="52"/>
  <c r="BR160" i="52"/>
  <c r="BV211" i="52"/>
  <c r="BV112" i="52"/>
  <c r="BV111" i="52"/>
  <c r="BV113" i="52" s="1"/>
  <c r="BU213" i="52"/>
  <c r="BU111" i="52"/>
  <c r="BU112" i="52"/>
  <c r="BU113" i="52" s="1"/>
  <c r="BU211" i="52"/>
  <c r="BX175" i="52"/>
  <c r="BX139" i="52"/>
  <c r="BS196" i="52"/>
  <c r="BS214" i="52" s="1"/>
  <c r="BS212" i="52"/>
  <c r="BS133" i="53"/>
  <c r="BT132" i="53"/>
  <c r="BU128" i="53" s="1"/>
  <c r="BT130" i="53"/>
  <c r="BR135" i="53"/>
  <c r="BT169" i="52"/>
  <c r="BU166" i="52"/>
  <c r="BU168" i="52"/>
  <c r="BV164" i="52" s="1"/>
  <c r="BV66" i="51"/>
  <c r="BQ108" i="51"/>
  <c r="BQ107" i="51"/>
  <c r="BR105" i="51"/>
  <c r="BX6" i="51"/>
  <c r="BW65" i="51"/>
  <c r="BW68" i="51"/>
  <c r="BW70" i="51"/>
  <c r="BW72" i="51"/>
  <c r="BW73" i="51"/>
  <c r="BW74" i="51"/>
  <c r="BW79" i="51" s="1"/>
  <c r="BW99" i="51"/>
  <c r="BW101" i="51" s="1"/>
  <c r="BW7" i="51"/>
  <c r="BW64" i="51"/>
  <c r="BW81" i="51"/>
  <c r="BW82" i="51" s="1"/>
  <c r="BW85" i="51"/>
  <c r="BW86" i="51"/>
  <c r="BW87" i="51"/>
  <c r="BW88" i="51"/>
  <c r="BW89" i="51"/>
  <c r="BW90" i="51"/>
  <c r="BW91" i="51"/>
  <c r="BW92" i="51"/>
  <c r="BW93" i="51"/>
  <c r="BW94" i="51"/>
  <c r="BW103" i="51"/>
  <c r="BV67" i="51"/>
  <c r="BV69" i="51"/>
  <c r="BV83" i="51"/>
  <c r="BV84" i="51"/>
  <c r="BU71" i="51"/>
  <c r="BU76" i="51"/>
  <c r="BU98" i="51"/>
  <c r="BU95" i="51"/>
  <c r="BT77" i="51"/>
  <c r="BT78" i="51"/>
  <c r="BT80" i="51"/>
  <c r="BT96" i="51" s="1"/>
  <c r="BS102" i="51"/>
  <c r="BS104" i="51"/>
  <c r="BT100" i="51" s="1"/>
  <c r="BS78" i="51"/>
  <c r="BS77" i="51"/>
  <c r="BV159" i="53" l="1"/>
  <c r="BV195" i="53"/>
  <c r="BY158" i="53"/>
  <c r="BY122" i="53"/>
  <c r="BY194" i="53"/>
  <c r="BW195" i="52"/>
  <c r="BZ158" i="52"/>
  <c r="BZ122" i="52"/>
  <c r="BZ194" i="52"/>
  <c r="BT197" i="53"/>
  <c r="BQ170" i="53"/>
  <c r="BV212" i="53"/>
  <c r="BW183" i="53"/>
  <c r="BW184" i="53"/>
  <c r="BW185" i="53" s="1"/>
  <c r="BW198" i="53"/>
  <c r="BW199" i="53" s="1"/>
  <c r="BW201" i="53" s="1"/>
  <c r="BW188" i="53"/>
  <c r="BW195" i="53" s="1"/>
  <c r="BW191" i="53"/>
  <c r="BW147" i="53"/>
  <c r="BW148" i="53"/>
  <c r="BW211" i="53"/>
  <c r="BW111" i="53"/>
  <c r="BW112" i="53"/>
  <c r="BW113" i="53"/>
  <c r="BW162" i="53"/>
  <c r="BW163" i="53" s="1"/>
  <c r="BW165" i="53" s="1"/>
  <c r="BW155" i="53"/>
  <c r="BW152" i="53"/>
  <c r="BW159" i="53" s="1"/>
  <c r="BW126" i="53"/>
  <c r="BW116" i="53"/>
  <c r="BW119" i="53"/>
  <c r="BX182" i="53"/>
  <c r="BX177" i="53"/>
  <c r="BX181" i="53" s="1"/>
  <c r="BX187" i="53"/>
  <c r="BX192" i="53"/>
  <c r="BX190" i="53"/>
  <c r="BX141" i="53"/>
  <c r="BX146" i="53"/>
  <c r="BX140" i="53"/>
  <c r="BX142" i="53" s="1"/>
  <c r="BX120" i="53"/>
  <c r="BX118" i="53"/>
  <c r="BX115" i="53"/>
  <c r="BX156" i="53"/>
  <c r="BX151" i="53"/>
  <c r="BX154" i="53"/>
  <c r="BX210" i="53"/>
  <c r="BX110" i="53"/>
  <c r="BX105" i="53"/>
  <c r="BX109" i="53" s="1"/>
  <c r="BY203" i="53"/>
  <c r="BY180" i="53"/>
  <c r="BY167" i="53"/>
  <c r="BY174" i="53"/>
  <c r="BY175" i="53" s="1"/>
  <c r="BY176" i="53" s="1"/>
  <c r="BY178" i="53" s="1"/>
  <c r="BY144" i="53"/>
  <c r="BY131" i="53"/>
  <c r="BY127" i="53"/>
  <c r="BY129" i="53" s="1"/>
  <c r="BY179" i="53"/>
  <c r="BY189" i="53"/>
  <c r="BY143" i="53"/>
  <c r="BY138" i="53"/>
  <c r="BY139" i="53" s="1"/>
  <c r="BY186" i="53"/>
  <c r="BY150" i="53"/>
  <c r="BY107" i="53"/>
  <c r="BY106" i="53"/>
  <c r="BY102" i="53"/>
  <c r="BY103" i="53" s="1"/>
  <c r="BY108" i="53"/>
  <c r="BY117" i="53"/>
  <c r="BY7" i="53"/>
  <c r="BY153" i="53"/>
  <c r="BY121" i="53"/>
  <c r="BY104" i="53"/>
  <c r="BY193" i="53"/>
  <c r="BY114" i="53"/>
  <c r="BY157" i="53"/>
  <c r="BZ6" i="53"/>
  <c r="BU212" i="53"/>
  <c r="BU160" i="53"/>
  <c r="BU161" i="53" s="1"/>
  <c r="BU196" i="53"/>
  <c r="BU213" i="53"/>
  <c r="BV124" i="53"/>
  <c r="BV160" i="53"/>
  <c r="BN219" i="53"/>
  <c r="BO217" i="53"/>
  <c r="BO207" i="53"/>
  <c r="BQ204" i="53"/>
  <c r="BR200" i="53" s="1"/>
  <c r="BQ202" i="53"/>
  <c r="BP216" i="53"/>
  <c r="BP205" i="53"/>
  <c r="BP207" i="53" s="1"/>
  <c r="BQ171" i="53"/>
  <c r="BS168" i="53"/>
  <c r="BT164" i="53" s="1"/>
  <c r="BS166" i="53"/>
  <c r="BR169" i="53"/>
  <c r="BO206" i="53"/>
  <c r="BU184" i="52"/>
  <c r="BU183" i="52"/>
  <c r="BU148" i="52"/>
  <c r="BU147" i="52"/>
  <c r="BW178" i="52"/>
  <c r="BX129" i="52"/>
  <c r="BW129" i="52"/>
  <c r="BW142" i="52"/>
  <c r="BX110" i="52"/>
  <c r="BX105" i="52"/>
  <c r="BX210" i="52"/>
  <c r="BX126" i="52"/>
  <c r="BX119" i="52"/>
  <c r="BX116" i="52"/>
  <c r="BX123" i="52" s="1"/>
  <c r="BX198" i="52"/>
  <c r="BX199" i="52" s="1"/>
  <c r="BX201" i="52" s="1"/>
  <c r="BX191" i="52"/>
  <c r="BX188" i="52"/>
  <c r="BX195" i="52" s="1"/>
  <c r="BX162" i="52"/>
  <c r="BX163" i="52" s="1"/>
  <c r="BX165" i="52" s="1"/>
  <c r="BX155" i="52"/>
  <c r="BX152" i="52"/>
  <c r="BX159" i="52" s="1"/>
  <c r="BY115" i="52"/>
  <c r="BY118" i="52"/>
  <c r="BY120" i="52"/>
  <c r="BY192" i="52"/>
  <c r="BY190" i="52"/>
  <c r="BY187" i="52"/>
  <c r="BY151" i="52"/>
  <c r="BY156" i="52"/>
  <c r="BY154" i="52"/>
  <c r="BZ180" i="52"/>
  <c r="BZ107" i="52"/>
  <c r="BZ114" i="52"/>
  <c r="BZ108" i="52"/>
  <c r="BZ203" i="52"/>
  <c r="BZ7" i="52"/>
  <c r="BZ174" i="52"/>
  <c r="BZ189" i="52"/>
  <c r="BZ167" i="52"/>
  <c r="BZ186" i="52"/>
  <c r="BZ102" i="52"/>
  <c r="BZ179" i="52"/>
  <c r="BZ144" i="52"/>
  <c r="BZ193" i="52"/>
  <c r="BZ106" i="52"/>
  <c r="BZ143" i="52"/>
  <c r="BZ104" i="52"/>
  <c r="BZ127" i="52"/>
  <c r="BZ129" i="52" s="1"/>
  <c r="BZ131" i="52"/>
  <c r="CA6" i="52"/>
  <c r="BZ117" i="52"/>
  <c r="BZ121" i="52"/>
  <c r="BZ138" i="52"/>
  <c r="BZ150" i="52"/>
  <c r="BZ153" i="52"/>
  <c r="BZ157" i="52"/>
  <c r="BS132" i="52"/>
  <c r="BT128" i="52" s="1"/>
  <c r="BS130" i="52"/>
  <c r="BR133" i="52"/>
  <c r="BQ135" i="52"/>
  <c r="BP216" i="52"/>
  <c r="BP205" i="52"/>
  <c r="BQ204" i="52"/>
  <c r="BR200" i="52" s="1"/>
  <c r="BQ202" i="52"/>
  <c r="BO206" i="52"/>
  <c r="BP206" i="52" s="1"/>
  <c r="BO217" i="52"/>
  <c r="BO207" i="52"/>
  <c r="BN219" i="52"/>
  <c r="BR197" i="52"/>
  <c r="BS197" i="52" s="1"/>
  <c r="BT197" i="52" s="1"/>
  <c r="BR161" i="52"/>
  <c r="BS161" i="52" s="1"/>
  <c r="BT161" i="52" s="1"/>
  <c r="BR214" i="52"/>
  <c r="BR169" i="52"/>
  <c r="BV212" i="52"/>
  <c r="BV124" i="52"/>
  <c r="BU124" i="52"/>
  <c r="BV213" i="52"/>
  <c r="BX182" i="52"/>
  <c r="BX177" i="52"/>
  <c r="BX176" i="52"/>
  <c r="BX178" i="52" s="1"/>
  <c r="BX141" i="52"/>
  <c r="BX146" i="52"/>
  <c r="BX140" i="52"/>
  <c r="BX142" i="52" s="1"/>
  <c r="BV196" i="52"/>
  <c r="BV160" i="52"/>
  <c r="BW124" i="52"/>
  <c r="BY175" i="52"/>
  <c r="BY103" i="52"/>
  <c r="BY139" i="52"/>
  <c r="BS135" i="53"/>
  <c r="BU130" i="53"/>
  <c r="BU132" i="53"/>
  <c r="BV128" i="53" s="1"/>
  <c r="BT133" i="53"/>
  <c r="BT171" i="52"/>
  <c r="BV166" i="52"/>
  <c r="BV168" i="52"/>
  <c r="BW164" i="52" s="1"/>
  <c r="BR108" i="51"/>
  <c r="BR107" i="51"/>
  <c r="BS80" i="51"/>
  <c r="BS96" i="51" s="1"/>
  <c r="BS105" i="51" s="1"/>
  <c r="BY6" i="51"/>
  <c r="BX99" i="51"/>
  <c r="BX101" i="51" s="1"/>
  <c r="BX7" i="51"/>
  <c r="BX65" i="51"/>
  <c r="BX68" i="51"/>
  <c r="BX70" i="51"/>
  <c r="BX72" i="51"/>
  <c r="BX73" i="51"/>
  <c r="BX74" i="51"/>
  <c r="BX79" i="51" s="1"/>
  <c r="BX64" i="51"/>
  <c r="BX81" i="51"/>
  <c r="BX82" i="51" s="1"/>
  <c r="BX85" i="51"/>
  <c r="BX86" i="51"/>
  <c r="BX87" i="51"/>
  <c r="BX88" i="51"/>
  <c r="BX89" i="51"/>
  <c r="BX90" i="51"/>
  <c r="BX91" i="51"/>
  <c r="BX92" i="51"/>
  <c r="BX93" i="51"/>
  <c r="BX94" i="51"/>
  <c r="BX103" i="51"/>
  <c r="BW66" i="51"/>
  <c r="BW67" i="51"/>
  <c r="BW69" i="51"/>
  <c r="BW83" i="51"/>
  <c r="BW84" i="51"/>
  <c r="BV71" i="51"/>
  <c r="BV75" i="51" s="1"/>
  <c r="BV76" i="51"/>
  <c r="BV98" i="51"/>
  <c r="BV95" i="51"/>
  <c r="BU75" i="51"/>
  <c r="BT104" i="51"/>
  <c r="BU100" i="51" s="1"/>
  <c r="BT102" i="51"/>
  <c r="BW123" i="53" l="1"/>
  <c r="BZ158" i="53"/>
  <c r="BZ122" i="53"/>
  <c r="BZ194" i="53"/>
  <c r="BX181" i="52"/>
  <c r="CA158" i="52"/>
  <c r="CA122" i="52"/>
  <c r="CA194" i="52"/>
  <c r="BX145" i="52"/>
  <c r="BP206" i="53"/>
  <c r="BX145" i="53"/>
  <c r="BW149" i="53"/>
  <c r="BX183" i="53"/>
  <c r="BX184" i="53"/>
  <c r="BX185" i="53"/>
  <c r="BX198" i="53"/>
  <c r="BX199" i="53" s="1"/>
  <c r="BX201" i="53" s="1"/>
  <c r="BX188" i="53"/>
  <c r="BX191" i="53"/>
  <c r="BX147" i="53"/>
  <c r="BX148" i="53"/>
  <c r="BX149" i="53"/>
  <c r="BX126" i="53"/>
  <c r="BX119" i="53"/>
  <c r="BX116" i="53"/>
  <c r="BX123" i="53" s="1"/>
  <c r="BX162" i="53"/>
  <c r="BX163" i="53" s="1"/>
  <c r="BX165" i="53" s="1"/>
  <c r="BX152" i="53"/>
  <c r="BX155" i="53"/>
  <c r="BX211" i="53"/>
  <c r="BX112" i="53"/>
  <c r="BX111" i="53"/>
  <c r="BX113" i="53" s="1"/>
  <c r="BY177" i="53"/>
  <c r="BY181" i="53" s="1"/>
  <c r="BY182" i="53"/>
  <c r="BY210" i="53"/>
  <c r="BY141" i="53"/>
  <c r="BY146" i="53"/>
  <c r="BY140" i="53"/>
  <c r="BY142" i="53" s="1"/>
  <c r="BY145" i="53" s="1"/>
  <c r="BY190" i="53"/>
  <c r="BY187" i="53"/>
  <c r="BY192" i="53"/>
  <c r="BY151" i="53"/>
  <c r="BY156" i="53"/>
  <c r="BY154" i="53"/>
  <c r="BY105" i="53"/>
  <c r="BY109" i="53" s="1"/>
  <c r="BY110" i="53"/>
  <c r="BY120" i="53"/>
  <c r="BY115" i="53"/>
  <c r="BY118" i="53"/>
  <c r="BZ203" i="53"/>
  <c r="BZ180" i="53"/>
  <c r="BZ167" i="53"/>
  <c r="BZ174" i="53"/>
  <c r="BZ175" i="53" s="1"/>
  <c r="BZ176" i="53" s="1"/>
  <c r="BZ178" i="53" s="1"/>
  <c r="BZ144" i="53"/>
  <c r="BZ127" i="53"/>
  <c r="BZ129" i="53" s="1"/>
  <c r="BZ131" i="53"/>
  <c r="BZ179" i="53"/>
  <c r="BZ186" i="53"/>
  <c r="BZ138" i="53"/>
  <c r="BZ139" i="53" s="1"/>
  <c r="BZ143" i="53"/>
  <c r="BZ189" i="53"/>
  <c r="BZ121" i="53"/>
  <c r="BZ108" i="53"/>
  <c r="BZ104" i="53"/>
  <c r="BZ7" i="53"/>
  <c r="BZ153" i="53"/>
  <c r="BZ106" i="53"/>
  <c r="BZ107" i="53"/>
  <c r="BZ102" i="53"/>
  <c r="BZ103" i="53" s="1"/>
  <c r="BZ114" i="53"/>
  <c r="BZ193" i="53"/>
  <c r="BZ150" i="53"/>
  <c r="BZ117" i="53"/>
  <c r="BZ157" i="53"/>
  <c r="CA6" i="53"/>
  <c r="BU197" i="53"/>
  <c r="BU214" i="53"/>
  <c r="BV196" i="53"/>
  <c r="BV214" i="53" s="1"/>
  <c r="BV213" i="53"/>
  <c r="BW124" i="53"/>
  <c r="BV161" i="53"/>
  <c r="BO219" i="53"/>
  <c r="BR204" i="53"/>
  <c r="BS200" i="53" s="1"/>
  <c r="BR202" i="53"/>
  <c r="BQ216" i="53"/>
  <c r="BQ205" i="53"/>
  <c r="BT168" i="53"/>
  <c r="BU164" i="53" s="1"/>
  <c r="BT166" i="53"/>
  <c r="BS169" i="53"/>
  <c r="BR170" i="53"/>
  <c r="BR171" i="53"/>
  <c r="BU185" i="52"/>
  <c r="BU149" i="52"/>
  <c r="BX184" i="52"/>
  <c r="BX183" i="52"/>
  <c r="BX185" i="52" s="1"/>
  <c r="BW181" i="52"/>
  <c r="BW145" i="52"/>
  <c r="BY126" i="52"/>
  <c r="BY119" i="52"/>
  <c r="BY116" i="52"/>
  <c r="BY123" i="52" s="1"/>
  <c r="BY198" i="52"/>
  <c r="BY199" i="52" s="1"/>
  <c r="BY201" i="52" s="1"/>
  <c r="BY188" i="52"/>
  <c r="BY191" i="52"/>
  <c r="BY162" i="52"/>
  <c r="BY163" i="52" s="1"/>
  <c r="BY165" i="52" s="1"/>
  <c r="BY155" i="52"/>
  <c r="BY152" i="52"/>
  <c r="BY159" i="52" s="1"/>
  <c r="BZ118" i="52"/>
  <c r="BZ115" i="52"/>
  <c r="BZ120" i="52"/>
  <c r="BZ187" i="52"/>
  <c r="BZ192" i="52"/>
  <c r="BZ190" i="52"/>
  <c r="CA102" i="52"/>
  <c r="CA103" i="52" s="1"/>
  <c r="CA180" i="52"/>
  <c r="CA179" i="52"/>
  <c r="CA107" i="52"/>
  <c r="CA143" i="52"/>
  <c r="CA104" i="52"/>
  <c r="CA144" i="52"/>
  <c r="CA203" i="52"/>
  <c r="CA106" i="52"/>
  <c r="CA193" i="52"/>
  <c r="CA186" i="52"/>
  <c r="CA174" i="52"/>
  <c r="CA175" i="52" s="1"/>
  <c r="CA176" i="52" s="1"/>
  <c r="CA114" i="52"/>
  <c r="CA189" i="52"/>
  <c r="CA7" i="52"/>
  <c r="CA108" i="52"/>
  <c r="CA167" i="52"/>
  <c r="CA117" i="52"/>
  <c r="CA121" i="52"/>
  <c r="CA138" i="52"/>
  <c r="CA139" i="52" s="1"/>
  <c r="CA140" i="52" s="1"/>
  <c r="CA150" i="52"/>
  <c r="CA153" i="52"/>
  <c r="CA131" i="52"/>
  <c r="CB6" i="52"/>
  <c r="CA127" i="52"/>
  <c r="CA129" i="52" s="1"/>
  <c r="CA157" i="52"/>
  <c r="BZ151" i="52"/>
  <c r="BZ156" i="52"/>
  <c r="BZ154" i="52"/>
  <c r="BT132" i="52"/>
  <c r="BU128" i="52" s="1"/>
  <c r="BT130" i="52"/>
  <c r="BS133" i="52"/>
  <c r="BR135" i="52"/>
  <c r="BP217" i="52"/>
  <c r="BP207" i="52"/>
  <c r="BR204" i="52"/>
  <c r="BS200" i="52" s="1"/>
  <c r="BR202" i="52"/>
  <c r="BQ216" i="52"/>
  <c r="BQ205" i="52"/>
  <c r="BO219" i="52"/>
  <c r="BR170" i="52"/>
  <c r="BS170" i="52" s="1"/>
  <c r="BT170" i="52" s="1"/>
  <c r="BR171" i="52"/>
  <c r="BY182" i="52"/>
  <c r="BY177" i="52"/>
  <c r="BY176" i="52"/>
  <c r="BY105" i="52"/>
  <c r="BY110" i="52"/>
  <c r="BY210" i="52"/>
  <c r="BY146" i="52"/>
  <c r="BY141" i="52"/>
  <c r="BY140" i="52"/>
  <c r="BV214" i="52"/>
  <c r="BW213" i="52"/>
  <c r="BZ175" i="52"/>
  <c r="BZ103" i="52"/>
  <c r="BZ139" i="52"/>
  <c r="BU133" i="53"/>
  <c r="BV132" i="53"/>
  <c r="BW128" i="53" s="1"/>
  <c r="BV130" i="53"/>
  <c r="BT135" i="53"/>
  <c r="BW166" i="52"/>
  <c r="BW168" i="52"/>
  <c r="BX164" i="52" s="1"/>
  <c r="BV169" i="52"/>
  <c r="BV171" i="52" s="1"/>
  <c r="BX66" i="51"/>
  <c r="BS108" i="51"/>
  <c r="BS107" i="51"/>
  <c r="BZ6" i="51"/>
  <c r="BY7" i="51"/>
  <c r="BY64" i="51"/>
  <c r="BY65" i="51"/>
  <c r="BY68" i="51"/>
  <c r="BY70" i="51"/>
  <c r="BY72" i="51"/>
  <c r="BY73" i="51"/>
  <c r="BY74" i="51"/>
  <c r="BY79" i="51" s="1"/>
  <c r="BY81" i="51"/>
  <c r="BY82" i="51" s="1"/>
  <c r="BY85" i="51"/>
  <c r="BY99" i="51"/>
  <c r="BY101" i="51" s="1"/>
  <c r="BY86" i="51"/>
  <c r="BY87" i="51"/>
  <c r="BY88" i="51"/>
  <c r="BY89" i="51"/>
  <c r="BY90" i="51"/>
  <c r="BY91" i="51"/>
  <c r="BY92" i="51"/>
  <c r="BY93" i="51"/>
  <c r="BY94" i="51"/>
  <c r="BY103" i="51"/>
  <c r="BX67" i="51"/>
  <c r="BX69" i="51"/>
  <c r="BX83" i="51"/>
  <c r="BX84" i="51"/>
  <c r="BW71" i="51"/>
  <c r="BW76" i="51"/>
  <c r="BW98" i="51"/>
  <c r="BW95" i="51"/>
  <c r="BV77" i="51"/>
  <c r="BV78" i="51"/>
  <c r="BU77" i="51"/>
  <c r="BU78" i="51"/>
  <c r="BU80" i="51"/>
  <c r="BU96" i="51" s="1"/>
  <c r="BU102" i="51"/>
  <c r="BU104" i="51"/>
  <c r="BV100" i="51" s="1"/>
  <c r="BT105" i="51"/>
  <c r="BX195" i="53" l="1"/>
  <c r="BX159" i="53"/>
  <c r="BX160" i="53" s="1"/>
  <c r="BX161" i="53" s="1"/>
  <c r="BW212" i="53"/>
  <c r="BW160" i="53"/>
  <c r="BW161" i="53" s="1"/>
  <c r="CA158" i="53"/>
  <c r="CA122" i="53"/>
  <c r="CA194" i="53"/>
  <c r="BY195" i="52"/>
  <c r="CB158" i="52"/>
  <c r="CB122" i="52"/>
  <c r="CB194" i="52"/>
  <c r="BX196" i="52"/>
  <c r="BX148" i="52"/>
  <c r="BX147" i="52"/>
  <c r="BX149" i="52" s="1"/>
  <c r="BX160" i="52" s="1"/>
  <c r="BS170" i="53"/>
  <c r="BX212" i="53"/>
  <c r="BX124" i="53"/>
  <c r="BY184" i="53"/>
  <c r="BY183" i="53"/>
  <c r="BY185" i="53"/>
  <c r="BY147" i="53"/>
  <c r="BY149" i="53" s="1"/>
  <c r="BY148" i="53"/>
  <c r="BY198" i="53"/>
  <c r="BY199" i="53" s="1"/>
  <c r="BY201" i="53" s="1"/>
  <c r="BY188" i="53"/>
  <c r="BY195" i="53" s="1"/>
  <c r="BY191" i="53"/>
  <c r="BY162" i="53"/>
  <c r="BY163" i="53" s="1"/>
  <c r="BY165" i="53" s="1"/>
  <c r="BY152" i="53"/>
  <c r="BY155" i="53"/>
  <c r="BY211" i="53"/>
  <c r="BY111" i="53"/>
  <c r="BY112" i="53"/>
  <c r="BY113" i="53" s="1"/>
  <c r="BY126" i="53"/>
  <c r="BY116" i="53"/>
  <c r="BY119" i="53"/>
  <c r="BZ182" i="53"/>
  <c r="BZ177" i="53"/>
  <c r="BZ181" i="53" s="1"/>
  <c r="BZ190" i="53"/>
  <c r="BZ192" i="53"/>
  <c r="BZ187" i="53"/>
  <c r="BZ141" i="53"/>
  <c r="BZ146" i="53"/>
  <c r="BZ140" i="53"/>
  <c r="BZ142" i="53" s="1"/>
  <c r="BZ145" i="53" s="1"/>
  <c r="BZ210" i="53"/>
  <c r="BZ110" i="53"/>
  <c r="BZ105" i="53"/>
  <c r="BZ109" i="53" s="1"/>
  <c r="BZ118" i="53"/>
  <c r="BZ120" i="53"/>
  <c r="BZ115" i="53"/>
  <c r="BZ154" i="53"/>
  <c r="BZ156" i="53"/>
  <c r="BZ151" i="53"/>
  <c r="CA203" i="53"/>
  <c r="CA180" i="53"/>
  <c r="CA167" i="53"/>
  <c r="CA144" i="53"/>
  <c r="CA127" i="53"/>
  <c r="CA129" i="53" s="1"/>
  <c r="CA131" i="53"/>
  <c r="CA179" i="53"/>
  <c r="CA174" i="53"/>
  <c r="CA108" i="53"/>
  <c r="CA186" i="53"/>
  <c r="CA189" i="53"/>
  <c r="CA138" i="53"/>
  <c r="CA143" i="53"/>
  <c r="CA107" i="53"/>
  <c r="CA193" i="53"/>
  <c r="CA150" i="53"/>
  <c r="CA153" i="53"/>
  <c r="CA106" i="53"/>
  <c r="CA104" i="53"/>
  <c r="CA102" i="53"/>
  <c r="CA117" i="53"/>
  <c r="CA7" i="53"/>
  <c r="CA114" i="53"/>
  <c r="CA121" i="53"/>
  <c r="CA157" i="53"/>
  <c r="CB6" i="53"/>
  <c r="BW196" i="53"/>
  <c r="BW214" i="53" s="1"/>
  <c r="BW213" i="53"/>
  <c r="BV197" i="53"/>
  <c r="BS204" i="53"/>
  <c r="BT200" i="53" s="1"/>
  <c r="BS202" i="53"/>
  <c r="BR216" i="53"/>
  <c r="BR205" i="53"/>
  <c r="BQ206" i="53"/>
  <c r="BQ217" i="53"/>
  <c r="BQ207" i="53"/>
  <c r="BU168" i="53"/>
  <c r="BV164" i="53" s="1"/>
  <c r="BU166" i="53"/>
  <c r="BT169" i="53"/>
  <c r="BS171" i="53"/>
  <c r="BU196" i="52"/>
  <c r="BU212" i="52"/>
  <c r="BU160" i="52"/>
  <c r="BW184" i="52"/>
  <c r="BW183" i="52"/>
  <c r="BW211" i="52"/>
  <c r="BW147" i="52"/>
  <c r="BW148" i="52"/>
  <c r="BX213" i="52"/>
  <c r="BZ126" i="52"/>
  <c r="BZ116" i="52"/>
  <c r="BZ119" i="52"/>
  <c r="BZ198" i="52"/>
  <c r="BZ199" i="52" s="1"/>
  <c r="BZ201" i="52" s="1"/>
  <c r="BZ191" i="52"/>
  <c r="BZ188" i="52"/>
  <c r="BZ195" i="52" s="1"/>
  <c r="CA210" i="52"/>
  <c r="CA105" i="52"/>
  <c r="CA110" i="52"/>
  <c r="CA192" i="52"/>
  <c r="CA187" i="52"/>
  <c r="CA190" i="52"/>
  <c r="CA177" i="52"/>
  <c r="CA182" i="52"/>
  <c r="CA120" i="52"/>
  <c r="CA118" i="52"/>
  <c r="CA115" i="52"/>
  <c r="CA146" i="52"/>
  <c r="CA141" i="52"/>
  <c r="CA151" i="52"/>
  <c r="CA156" i="52"/>
  <c r="CA154" i="52"/>
  <c r="CB167" i="52"/>
  <c r="CB108" i="52"/>
  <c r="CB193" i="52"/>
  <c r="CB114" i="52"/>
  <c r="CB186" i="52"/>
  <c r="CB174" i="52"/>
  <c r="CB203" i="52"/>
  <c r="CB143" i="52"/>
  <c r="CB106" i="52"/>
  <c r="CB102" i="52"/>
  <c r="CB107" i="52"/>
  <c r="CB189" i="52"/>
  <c r="CB104" i="52"/>
  <c r="CB179" i="52"/>
  <c r="CB7" i="52"/>
  <c r="CB144" i="52"/>
  <c r="CB180" i="52"/>
  <c r="CB117" i="52"/>
  <c r="CB121" i="52"/>
  <c r="CB138" i="52"/>
  <c r="CB150" i="52"/>
  <c r="CB153" i="52"/>
  <c r="CB127" i="52"/>
  <c r="CB129" i="52" s="1"/>
  <c r="CB131" i="52"/>
  <c r="CB157" i="52"/>
  <c r="CC6" i="52"/>
  <c r="BZ162" i="52"/>
  <c r="BZ163" i="52" s="1"/>
  <c r="BZ165" i="52" s="1"/>
  <c r="BZ152" i="52"/>
  <c r="BZ155" i="52"/>
  <c r="BU132" i="52"/>
  <c r="BV128" i="52" s="1"/>
  <c r="BU130" i="52"/>
  <c r="BT133" i="52"/>
  <c r="BS135" i="52"/>
  <c r="BP219" i="52"/>
  <c r="BS204" i="52"/>
  <c r="BT200" i="52" s="1"/>
  <c r="BS202" i="52"/>
  <c r="BR205" i="52"/>
  <c r="BR216" i="52"/>
  <c r="BQ217" i="52"/>
  <c r="BQ206" i="52"/>
  <c r="BQ207" i="52"/>
  <c r="BY178" i="52"/>
  <c r="BY142" i="52"/>
  <c r="BZ176" i="52"/>
  <c r="BZ182" i="52"/>
  <c r="BZ177" i="52"/>
  <c r="BZ105" i="52"/>
  <c r="BZ109" i="52" s="1"/>
  <c r="BZ210" i="52"/>
  <c r="BZ110" i="52"/>
  <c r="BZ141" i="52"/>
  <c r="BZ146" i="52"/>
  <c r="BZ140" i="52"/>
  <c r="BY109" i="52"/>
  <c r="BU135" i="53"/>
  <c r="BW130" i="53"/>
  <c r="BW132" i="53"/>
  <c r="BX128" i="53" s="1"/>
  <c r="BV133" i="53"/>
  <c r="BX166" i="52"/>
  <c r="BX168" i="52"/>
  <c r="BY164" i="52" s="1"/>
  <c r="BV80" i="51"/>
  <c r="BV96" i="51" s="1"/>
  <c r="CA6" i="51"/>
  <c r="BZ65" i="51"/>
  <c r="BZ68" i="51"/>
  <c r="BZ70" i="51"/>
  <c r="BZ72" i="51"/>
  <c r="BZ73" i="51"/>
  <c r="BZ74" i="51"/>
  <c r="BZ79" i="51" s="1"/>
  <c r="BZ7" i="51"/>
  <c r="BZ64" i="51"/>
  <c r="BZ81" i="51"/>
  <c r="BZ82" i="51" s="1"/>
  <c r="BZ85" i="51"/>
  <c r="BZ86" i="51"/>
  <c r="BZ87" i="51"/>
  <c r="BZ88" i="51"/>
  <c r="BZ89" i="51"/>
  <c r="BZ90" i="51"/>
  <c r="BZ91" i="51"/>
  <c r="BZ92" i="51"/>
  <c r="BZ93" i="51"/>
  <c r="BZ94" i="51"/>
  <c r="BZ103" i="51"/>
  <c r="BZ99" i="51"/>
  <c r="BZ101" i="51" s="1"/>
  <c r="BY66" i="51"/>
  <c r="BY67" i="51"/>
  <c r="BY69" i="51"/>
  <c r="BY83" i="51"/>
  <c r="BY84" i="51"/>
  <c r="BX71" i="51"/>
  <c r="BX75" i="51" s="1"/>
  <c r="BX76" i="51"/>
  <c r="BX98" i="51"/>
  <c r="BX95" i="51"/>
  <c r="BW75" i="51"/>
  <c r="BV104" i="51"/>
  <c r="BW100" i="51" s="1"/>
  <c r="BV102" i="51"/>
  <c r="BT108" i="51"/>
  <c r="BT107" i="51"/>
  <c r="BU105" i="51"/>
  <c r="BY159" i="53" l="1"/>
  <c r="BY123" i="53"/>
  <c r="BW197" i="53"/>
  <c r="CB158" i="53"/>
  <c r="CB122" i="53"/>
  <c r="CB194" i="53"/>
  <c r="BZ123" i="52"/>
  <c r="BZ159" i="52"/>
  <c r="CC194" i="52"/>
  <c r="CC158" i="52"/>
  <c r="CC122" i="52"/>
  <c r="BR206" i="52"/>
  <c r="BY213" i="52"/>
  <c r="CA142" i="52"/>
  <c r="BZ142" i="52"/>
  <c r="BZ145" i="52" s="1"/>
  <c r="BR206" i="53"/>
  <c r="BY212" i="53"/>
  <c r="BZ183" i="53"/>
  <c r="BZ184" i="53"/>
  <c r="BZ185" i="53"/>
  <c r="BZ198" i="53"/>
  <c r="BZ199" i="53" s="1"/>
  <c r="BZ201" i="53" s="1"/>
  <c r="BZ188" i="53"/>
  <c r="BZ195" i="53" s="1"/>
  <c r="BZ191" i="53"/>
  <c r="BZ147" i="53"/>
  <c r="BZ148" i="53"/>
  <c r="BZ149" i="53" s="1"/>
  <c r="BZ211" i="53"/>
  <c r="BZ111" i="53"/>
  <c r="BZ112" i="53"/>
  <c r="BZ113" i="53"/>
  <c r="BZ126" i="53"/>
  <c r="BZ116" i="53"/>
  <c r="BZ119" i="53"/>
  <c r="BZ162" i="53"/>
  <c r="BZ163" i="53" s="1"/>
  <c r="BZ165" i="53" s="1"/>
  <c r="BZ152" i="53"/>
  <c r="BZ155" i="53"/>
  <c r="CA190" i="53"/>
  <c r="CA192" i="53"/>
  <c r="CA187" i="53"/>
  <c r="CA156" i="53"/>
  <c r="CA151" i="53"/>
  <c r="CA154" i="53"/>
  <c r="CA115" i="53"/>
  <c r="CA118" i="53"/>
  <c r="CA120" i="53"/>
  <c r="CB203" i="53"/>
  <c r="CB180" i="53"/>
  <c r="CB167" i="53"/>
  <c r="CB144" i="53"/>
  <c r="CB131" i="53"/>
  <c r="CB127" i="53"/>
  <c r="CB129" i="53" s="1"/>
  <c r="CB179" i="53"/>
  <c r="CB174" i="53"/>
  <c r="CB175" i="53" s="1"/>
  <c r="CB176" i="53" s="1"/>
  <c r="CB189" i="53"/>
  <c r="CB186" i="53"/>
  <c r="CB138" i="53"/>
  <c r="CB139" i="53" s="1"/>
  <c r="CB143" i="53"/>
  <c r="CB108" i="53"/>
  <c r="CB106" i="53"/>
  <c r="CB104" i="53"/>
  <c r="CB102" i="53"/>
  <c r="CB103" i="53" s="1"/>
  <c r="CB193" i="53"/>
  <c r="CB153" i="53"/>
  <c r="CB150" i="53"/>
  <c r="CB107" i="53"/>
  <c r="CB117" i="53"/>
  <c r="CB114" i="53"/>
  <c r="CB7" i="53"/>
  <c r="CB121" i="53"/>
  <c r="CB157" i="53"/>
  <c r="CC6" i="53"/>
  <c r="BX196" i="53"/>
  <c r="BX213" i="53"/>
  <c r="BY160" i="53"/>
  <c r="BY161" i="53" s="1"/>
  <c r="BY124" i="53"/>
  <c r="CA175" i="53"/>
  <c r="CA139" i="53"/>
  <c r="CA103" i="53"/>
  <c r="BT204" i="53"/>
  <c r="BU200" i="53" s="1"/>
  <c r="BT202" i="53"/>
  <c r="BS216" i="53"/>
  <c r="BS205" i="53"/>
  <c r="BR217" i="53"/>
  <c r="BR207" i="53"/>
  <c r="BR219" i="53" s="1"/>
  <c r="BQ219" i="53"/>
  <c r="BV168" i="53"/>
  <c r="BW164" i="53" s="1"/>
  <c r="BV166" i="53"/>
  <c r="BU169" i="53"/>
  <c r="BT170" i="53"/>
  <c r="BU170" i="53" s="1"/>
  <c r="BT171" i="53"/>
  <c r="BU197" i="52"/>
  <c r="BV197" i="52" s="1"/>
  <c r="BU169" i="52"/>
  <c r="BU214" i="52"/>
  <c r="BU161" i="52"/>
  <c r="BV161" i="52" s="1"/>
  <c r="BW185" i="52"/>
  <c r="BW149" i="52"/>
  <c r="CA198" i="52"/>
  <c r="CA199" i="52" s="1"/>
  <c r="CA201" i="52" s="1"/>
  <c r="CA191" i="52"/>
  <c r="CA188" i="52"/>
  <c r="CA195" i="52" s="1"/>
  <c r="CA126" i="52"/>
  <c r="CA116" i="52"/>
  <c r="CA119" i="52"/>
  <c r="CA162" i="52"/>
  <c r="CA163" i="52" s="1"/>
  <c r="CA165" i="52" s="1"/>
  <c r="CA155" i="52"/>
  <c r="CA152" i="52"/>
  <c r="CA159" i="52" s="1"/>
  <c r="CB118" i="52"/>
  <c r="CB115" i="52"/>
  <c r="CB120" i="52"/>
  <c r="CB187" i="52"/>
  <c r="CB192" i="52"/>
  <c r="CB190" i="52"/>
  <c r="CB175" i="52"/>
  <c r="CB103" i="52"/>
  <c r="CB139" i="52"/>
  <c r="CB154" i="52"/>
  <c r="CB151" i="52"/>
  <c r="CB156" i="52"/>
  <c r="CC179" i="52"/>
  <c r="CC193" i="52"/>
  <c r="CC114" i="52"/>
  <c r="CC174" i="52"/>
  <c r="CC143" i="52"/>
  <c r="CC102" i="52"/>
  <c r="CC104" i="52"/>
  <c r="CC106" i="52"/>
  <c r="CC180" i="52"/>
  <c r="CC144" i="52"/>
  <c r="CC7" i="52"/>
  <c r="CC189" i="52"/>
  <c r="CC203" i="52"/>
  <c r="CC107" i="52"/>
  <c r="CC167" i="52"/>
  <c r="CC108" i="52"/>
  <c r="CC186" i="52"/>
  <c r="CC127" i="52"/>
  <c r="CC129" i="52" s="1"/>
  <c r="CC157" i="52"/>
  <c r="CD6" i="52"/>
  <c r="CC117" i="52"/>
  <c r="CC121" i="52"/>
  <c r="CC138" i="52"/>
  <c r="CC150" i="52"/>
  <c r="CC153" i="52"/>
  <c r="CC131" i="52"/>
  <c r="BV132" i="52"/>
  <c r="BW128" i="52" s="1"/>
  <c r="BV130" i="52"/>
  <c r="BU133" i="52"/>
  <c r="BT135" i="52"/>
  <c r="BT204" i="52"/>
  <c r="BU200" i="52" s="1"/>
  <c r="BT202" i="52"/>
  <c r="BS216" i="52"/>
  <c r="BS205" i="52"/>
  <c r="BR217" i="52"/>
  <c r="BR207" i="52"/>
  <c r="BQ219" i="52"/>
  <c r="BY181" i="52"/>
  <c r="BY145" i="52"/>
  <c r="BY211" i="52" s="1"/>
  <c r="BZ112" i="52"/>
  <c r="BZ111" i="52"/>
  <c r="BY112" i="52"/>
  <c r="BY111" i="52"/>
  <c r="BY113" i="52" s="1"/>
  <c r="CA145" i="52"/>
  <c r="CA109" i="52"/>
  <c r="CA178" i="52"/>
  <c r="CA181" i="52" s="1"/>
  <c r="BZ178" i="52"/>
  <c r="BW133" i="53"/>
  <c r="BX130" i="53"/>
  <c r="BX132" i="53"/>
  <c r="BY128" i="53" s="1"/>
  <c r="BV135" i="53"/>
  <c r="BY166" i="52"/>
  <c r="BY168" i="52"/>
  <c r="BZ164" i="52" s="1"/>
  <c r="BX169" i="52"/>
  <c r="BX171" i="52" s="1"/>
  <c r="CB6" i="51"/>
  <c r="CA99" i="51"/>
  <c r="CA101" i="51" s="1"/>
  <c r="CA7" i="51"/>
  <c r="CA65" i="51"/>
  <c r="CA68" i="51"/>
  <c r="CA70" i="51"/>
  <c r="CA72" i="51"/>
  <c r="CA73" i="51"/>
  <c r="CA74" i="51"/>
  <c r="CA79" i="51" s="1"/>
  <c r="CA64" i="51"/>
  <c r="CA81" i="51"/>
  <c r="CA82" i="51" s="1"/>
  <c r="CA85" i="51"/>
  <c r="CA86" i="51"/>
  <c r="CA87" i="51"/>
  <c r="CA88" i="51"/>
  <c r="CA89" i="51"/>
  <c r="CA90" i="51"/>
  <c r="CA91" i="51"/>
  <c r="CA92" i="51"/>
  <c r="CA93" i="51"/>
  <c r="CA94" i="51"/>
  <c r="CA103" i="51"/>
  <c r="BZ67" i="51"/>
  <c r="BZ69" i="51"/>
  <c r="BZ83" i="51"/>
  <c r="BZ84" i="51"/>
  <c r="BY71" i="51"/>
  <c r="BY76" i="51"/>
  <c r="BY98" i="51"/>
  <c r="BY95" i="51"/>
  <c r="BX77" i="51"/>
  <c r="BX78" i="51"/>
  <c r="BX80" i="51" s="1"/>
  <c r="BX96" i="51" s="1"/>
  <c r="BW77" i="51"/>
  <c r="BW78" i="51"/>
  <c r="BW80" i="51" s="1"/>
  <c r="BW96" i="51" s="1"/>
  <c r="BW102" i="51"/>
  <c r="BW104" i="51"/>
  <c r="BX100" i="51" s="1"/>
  <c r="BV105" i="51"/>
  <c r="BU108" i="51"/>
  <c r="BU107" i="51"/>
  <c r="BZ66" i="51"/>
  <c r="BZ212" i="53" l="1"/>
  <c r="BZ123" i="53"/>
  <c r="BZ159" i="53"/>
  <c r="CC194" i="53"/>
  <c r="CC158" i="53"/>
  <c r="CC122" i="53"/>
  <c r="CA123" i="52"/>
  <c r="CD194" i="52"/>
  <c r="CD158" i="52"/>
  <c r="CD122" i="52"/>
  <c r="BZ148" i="52"/>
  <c r="BZ147" i="52"/>
  <c r="BZ149" i="52" s="1"/>
  <c r="BZ160" i="52" s="1"/>
  <c r="BZ113" i="52"/>
  <c r="CA198" i="53"/>
  <c r="CA199" i="53" s="1"/>
  <c r="CA201" i="53" s="1"/>
  <c r="CA188" i="53"/>
  <c r="CA191" i="53"/>
  <c r="CA162" i="53"/>
  <c r="CA163" i="53" s="1"/>
  <c r="CA165" i="53" s="1"/>
  <c r="CA155" i="53"/>
  <c r="CA152" i="53"/>
  <c r="CA159" i="53" s="1"/>
  <c r="CA126" i="53"/>
  <c r="CA116" i="53"/>
  <c r="CA119" i="53"/>
  <c r="CB182" i="53"/>
  <c r="CB177" i="53"/>
  <c r="CB210" i="53"/>
  <c r="CB190" i="53"/>
  <c r="CB192" i="53"/>
  <c r="CB187" i="53"/>
  <c r="CB141" i="53"/>
  <c r="CB146" i="53"/>
  <c r="CB140" i="53"/>
  <c r="CB105" i="53"/>
  <c r="CB109" i="53" s="1"/>
  <c r="CB110" i="53"/>
  <c r="CB156" i="53"/>
  <c r="CB151" i="53"/>
  <c r="CB154" i="53"/>
  <c r="CB120" i="53"/>
  <c r="CB118" i="53"/>
  <c r="CB115" i="53"/>
  <c r="CC203" i="53"/>
  <c r="CC180" i="53"/>
  <c r="CC167" i="53"/>
  <c r="CC144" i="53"/>
  <c r="CC127" i="53"/>
  <c r="CC129" i="53" s="1"/>
  <c r="CC131" i="53"/>
  <c r="CC179" i="53"/>
  <c r="CC174" i="53"/>
  <c r="CC140" i="53"/>
  <c r="CC108" i="53"/>
  <c r="CC186" i="53"/>
  <c r="CC138" i="53"/>
  <c r="CC142" i="53"/>
  <c r="CC189" i="53"/>
  <c r="CC107" i="53"/>
  <c r="CC193" i="53"/>
  <c r="CC150" i="53"/>
  <c r="CC153" i="53"/>
  <c r="CC106" i="53"/>
  <c r="CC104" i="53"/>
  <c r="CC102" i="53"/>
  <c r="CC121" i="53"/>
  <c r="CC114" i="53"/>
  <c r="CC7" i="53"/>
  <c r="CC117" i="53"/>
  <c r="CD6" i="53"/>
  <c r="CC157" i="53"/>
  <c r="BX197" i="53"/>
  <c r="BX214" i="53"/>
  <c r="BY196" i="53"/>
  <c r="BY214" i="53" s="1"/>
  <c r="BY213" i="53"/>
  <c r="CA210" i="53"/>
  <c r="CA182" i="53"/>
  <c r="CA177" i="53"/>
  <c r="CA176" i="53"/>
  <c r="CA140" i="53"/>
  <c r="CA146" i="53"/>
  <c r="CA141" i="53"/>
  <c r="CA105" i="53"/>
  <c r="CA110" i="53"/>
  <c r="BZ160" i="53"/>
  <c r="BZ161" i="53" s="1"/>
  <c r="BU204" i="53"/>
  <c r="BV200" i="53" s="1"/>
  <c r="BU202" i="53"/>
  <c r="BT216" i="53"/>
  <c r="BT205" i="53"/>
  <c r="BS206" i="53"/>
  <c r="BT206" i="53" s="1"/>
  <c r="BS217" i="53"/>
  <c r="BS207" i="53"/>
  <c r="BW168" i="53"/>
  <c r="BX164" i="53" s="1"/>
  <c r="BW166" i="53"/>
  <c r="BV169" i="53"/>
  <c r="BU171" i="53"/>
  <c r="BU170" i="52"/>
  <c r="BV170" i="52" s="1"/>
  <c r="BU171" i="52"/>
  <c r="BW196" i="52"/>
  <c r="BW212" i="52"/>
  <c r="BW160" i="52"/>
  <c r="BZ213" i="52"/>
  <c r="CB126" i="52"/>
  <c r="CB119" i="52"/>
  <c r="CB116" i="52"/>
  <c r="CB123" i="52" s="1"/>
  <c r="CB198" i="52"/>
  <c r="CB199" i="52" s="1"/>
  <c r="CB201" i="52" s="1"/>
  <c r="CB191" i="52"/>
  <c r="CB188" i="52"/>
  <c r="CB195" i="52" s="1"/>
  <c r="CB177" i="52"/>
  <c r="CB182" i="52"/>
  <c r="CB176" i="52"/>
  <c r="CB210" i="52"/>
  <c r="CB110" i="52"/>
  <c r="CB105" i="52"/>
  <c r="CB140" i="52"/>
  <c r="CB146" i="52"/>
  <c r="CB141" i="52"/>
  <c r="CB162" i="52"/>
  <c r="CB163" i="52" s="1"/>
  <c r="CB165" i="52" s="1"/>
  <c r="CB152" i="52"/>
  <c r="CB155" i="52"/>
  <c r="CC120" i="52"/>
  <c r="CC118" i="52"/>
  <c r="CC115" i="52"/>
  <c r="CC187" i="52"/>
  <c r="CC192" i="52"/>
  <c r="CC190" i="52"/>
  <c r="CD143" i="52"/>
  <c r="CD102" i="52"/>
  <c r="CD103" i="52" s="1"/>
  <c r="CD203" i="52"/>
  <c r="CD167" i="52"/>
  <c r="CD104" i="52"/>
  <c r="CD108" i="52"/>
  <c r="CD186" i="52"/>
  <c r="CD7" i="52"/>
  <c r="CD193" i="52"/>
  <c r="CD180" i="52"/>
  <c r="CD107" i="52"/>
  <c r="CD179" i="52"/>
  <c r="CD144" i="52"/>
  <c r="CD174" i="52"/>
  <c r="CD189" i="52"/>
  <c r="CD114" i="52"/>
  <c r="CD106" i="52"/>
  <c r="CD117" i="52"/>
  <c r="CD121" i="52"/>
  <c r="CD138" i="52"/>
  <c r="CD150" i="52"/>
  <c r="CD153" i="52"/>
  <c r="CD157" i="52"/>
  <c r="CE6" i="52"/>
  <c r="CD127" i="52"/>
  <c r="CD129" i="52" s="1"/>
  <c r="CD131" i="52"/>
  <c r="CC151" i="52"/>
  <c r="CC154" i="52"/>
  <c r="CC156" i="52"/>
  <c r="BW132" i="52"/>
  <c r="BX128" i="52" s="1"/>
  <c r="BW130" i="52"/>
  <c r="BV133" i="52"/>
  <c r="BU135" i="52"/>
  <c r="BU204" i="52"/>
  <c r="BV200" i="52" s="1"/>
  <c r="BU202" i="52"/>
  <c r="BT216" i="52"/>
  <c r="BT205" i="52"/>
  <c r="BS217" i="52"/>
  <c r="BS206" i="52"/>
  <c r="BS207" i="52"/>
  <c r="BR219" i="52"/>
  <c r="BY183" i="52"/>
  <c r="BY184" i="52"/>
  <c r="BY147" i="52"/>
  <c r="BY148" i="52"/>
  <c r="BZ124" i="52"/>
  <c r="BY124" i="52"/>
  <c r="CA147" i="52"/>
  <c r="CA148" i="52"/>
  <c r="CA111" i="52"/>
  <c r="CA112" i="52"/>
  <c r="CA211" i="52"/>
  <c r="CA183" i="52"/>
  <c r="CA184" i="52"/>
  <c r="CC175" i="52"/>
  <c r="CC103" i="52"/>
  <c r="CC139" i="52"/>
  <c r="BZ181" i="52"/>
  <c r="BW135" i="53"/>
  <c r="BX133" i="53"/>
  <c r="BY130" i="53"/>
  <c r="BY132" i="53"/>
  <c r="BZ128" i="53" s="1"/>
  <c r="BZ166" i="52"/>
  <c r="BZ168" i="52"/>
  <c r="CA164" i="52" s="1"/>
  <c r="CC6" i="51"/>
  <c r="CB64" i="51"/>
  <c r="CB65" i="51"/>
  <c r="CB68" i="51"/>
  <c r="CB70" i="51"/>
  <c r="CB72" i="51"/>
  <c r="CB73" i="51"/>
  <c r="CB99" i="51"/>
  <c r="CB101" i="51" s="1"/>
  <c r="CB7" i="51"/>
  <c r="CB74" i="51"/>
  <c r="CB79" i="51" s="1"/>
  <c r="CB81" i="51"/>
  <c r="CB82" i="51" s="1"/>
  <c r="CB85" i="51"/>
  <c r="CB86" i="51"/>
  <c r="CB87" i="51"/>
  <c r="CB88" i="51"/>
  <c r="CB89" i="51"/>
  <c r="CB90" i="51"/>
  <c r="CB91" i="51"/>
  <c r="CB92" i="51"/>
  <c r="CB93" i="51"/>
  <c r="CB94" i="51"/>
  <c r="CB103" i="51"/>
  <c r="CA67" i="51"/>
  <c r="CA69" i="51"/>
  <c r="CA83" i="51"/>
  <c r="CA84" i="51"/>
  <c r="BZ71" i="51"/>
  <c r="BZ75" i="51" s="1"/>
  <c r="BZ76" i="51"/>
  <c r="BZ98" i="51"/>
  <c r="BZ95" i="51"/>
  <c r="BY75" i="51"/>
  <c r="BX102" i="51"/>
  <c r="BX104" i="51"/>
  <c r="BY100" i="51" s="1"/>
  <c r="BV107" i="51"/>
  <c r="BV108" i="51"/>
  <c r="BW105" i="51"/>
  <c r="CA66" i="51"/>
  <c r="CA123" i="53" l="1"/>
  <c r="CA195" i="53"/>
  <c r="CD194" i="53"/>
  <c r="CD158" i="53"/>
  <c r="CD122" i="53"/>
  <c r="CB159" i="52"/>
  <c r="CE194" i="52"/>
  <c r="CE158" i="52"/>
  <c r="CE122" i="52"/>
  <c r="CA113" i="52"/>
  <c r="BY197" i="53"/>
  <c r="CB198" i="53"/>
  <c r="CB199" i="53" s="1"/>
  <c r="CB201" i="53" s="1"/>
  <c r="CB188" i="53"/>
  <c r="CB195" i="53" s="1"/>
  <c r="CB191" i="53"/>
  <c r="CB112" i="53"/>
  <c r="CB111" i="53"/>
  <c r="CB113" i="53" s="1"/>
  <c r="CB162" i="53"/>
  <c r="CB163" i="53" s="1"/>
  <c r="CB165" i="53" s="1"/>
  <c r="CB155" i="53"/>
  <c r="CB152" i="53"/>
  <c r="CB159" i="53" s="1"/>
  <c r="CB126" i="53"/>
  <c r="CB119" i="53"/>
  <c r="CB116" i="53"/>
  <c r="CB123" i="53" s="1"/>
  <c r="CC175" i="53"/>
  <c r="CC192" i="53"/>
  <c r="CC190" i="53"/>
  <c r="CC187" i="53"/>
  <c r="CC139" i="53"/>
  <c r="CC156" i="53"/>
  <c r="CC154" i="53"/>
  <c r="CC151" i="53"/>
  <c r="CC103" i="53"/>
  <c r="CC120" i="53"/>
  <c r="CC118" i="53"/>
  <c r="CC115" i="53"/>
  <c r="CD203" i="53"/>
  <c r="CD180" i="53"/>
  <c r="CD167" i="53"/>
  <c r="CD144" i="53"/>
  <c r="CD127" i="53"/>
  <c r="CD129" i="53" s="1"/>
  <c r="CD131" i="53"/>
  <c r="CD179" i="53"/>
  <c r="CD174" i="53"/>
  <c r="CD175" i="53" s="1"/>
  <c r="CD176" i="53" s="1"/>
  <c r="CD143" i="53"/>
  <c r="CD140" i="53"/>
  <c r="CD108" i="53"/>
  <c r="CD189" i="53"/>
  <c r="CD138" i="53"/>
  <c r="CD139" i="53" s="1"/>
  <c r="CD142" i="53"/>
  <c r="CD186" i="53"/>
  <c r="CD102" i="53"/>
  <c r="CD103" i="53" s="1"/>
  <c r="CD193" i="53"/>
  <c r="CD150" i="53"/>
  <c r="CD153" i="53"/>
  <c r="CD104" i="53"/>
  <c r="CD107" i="53"/>
  <c r="CD106" i="53"/>
  <c r="CD117" i="53"/>
  <c r="CD114" i="53"/>
  <c r="CD121" i="53"/>
  <c r="CD7" i="53"/>
  <c r="CD157" i="53"/>
  <c r="CE6" i="53"/>
  <c r="CB178" i="53"/>
  <c r="CB181" i="53" s="1"/>
  <c r="CA178" i="53"/>
  <c r="CA181" i="53" s="1"/>
  <c r="CB142" i="53"/>
  <c r="CB145" i="53" s="1"/>
  <c r="CA142" i="53"/>
  <c r="CA145" i="53" s="1"/>
  <c r="CA109" i="53"/>
  <c r="BZ196" i="53"/>
  <c r="BZ213" i="53"/>
  <c r="BZ124" i="53"/>
  <c r="BV204" i="53"/>
  <c r="BW200" i="53" s="1"/>
  <c r="BV202" i="53"/>
  <c r="BU216" i="53"/>
  <c r="BU205" i="53"/>
  <c r="BT217" i="53"/>
  <c r="BT207" i="53"/>
  <c r="BT219" i="53" s="1"/>
  <c r="BS219" i="53"/>
  <c r="BX168" i="53"/>
  <c r="BY164" i="53" s="1"/>
  <c r="BX166" i="53"/>
  <c r="BW169" i="53"/>
  <c r="BV170" i="53"/>
  <c r="BV171" i="53"/>
  <c r="CA149" i="52"/>
  <c r="CA185" i="52"/>
  <c r="CA196" i="52"/>
  <c r="BW197" i="52"/>
  <c r="BX197" i="52" s="1"/>
  <c r="BW161" i="52"/>
  <c r="BX161" i="52" s="1"/>
  <c r="BW169" i="52"/>
  <c r="BW214" i="52"/>
  <c r="CA213" i="52"/>
  <c r="CB178" i="52"/>
  <c r="CB109" i="52"/>
  <c r="CB142" i="52"/>
  <c r="CC126" i="52"/>
  <c r="CC119" i="52"/>
  <c r="CC116" i="52"/>
  <c r="CC123" i="52" s="1"/>
  <c r="CC198" i="52"/>
  <c r="CC199" i="52" s="1"/>
  <c r="CC201" i="52" s="1"/>
  <c r="CC191" i="52"/>
  <c r="CC188" i="52"/>
  <c r="CC195" i="52" s="1"/>
  <c r="CD105" i="52"/>
  <c r="CD109" i="52" s="1"/>
  <c r="CD110" i="52"/>
  <c r="CD187" i="52"/>
  <c r="CD192" i="52"/>
  <c r="CD190" i="52"/>
  <c r="CD118" i="52"/>
  <c r="CD115" i="52"/>
  <c r="CD120" i="52"/>
  <c r="CD156" i="52"/>
  <c r="CD154" i="52"/>
  <c r="CD151" i="52"/>
  <c r="CE189" i="52"/>
  <c r="CE114" i="52"/>
  <c r="CE144" i="52"/>
  <c r="CE179" i="52"/>
  <c r="CE193" i="52"/>
  <c r="CE7" i="52"/>
  <c r="CE143" i="52"/>
  <c r="CE107" i="52"/>
  <c r="CE104" i="52"/>
  <c r="CE167" i="52"/>
  <c r="CE106" i="52"/>
  <c r="CE108" i="52"/>
  <c r="CE186" i="52"/>
  <c r="CE203" i="52"/>
  <c r="CE180" i="52"/>
  <c r="CE174" i="52"/>
  <c r="CE175" i="52" s="1"/>
  <c r="CE176" i="52" s="1"/>
  <c r="CE102" i="52"/>
  <c r="CE131" i="52"/>
  <c r="CE157" i="52"/>
  <c r="CF6" i="52"/>
  <c r="CE117" i="52"/>
  <c r="CE121" i="52"/>
  <c r="CE138" i="52"/>
  <c r="CE139" i="52" s="1"/>
  <c r="CE140" i="52" s="1"/>
  <c r="CE150" i="52"/>
  <c r="CE153" i="52"/>
  <c r="CE127" i="52"/>
  <c r="CE129" i="52" s="1"/>
  <c r="CC162" i="52"/>
  <c r="CC163" i="52" s="1"/>
  <c r="CC165" i="52" s="1"/>
  <c r="CC155" i="52"/>
  <c r="CC152" i="52"/>
  <c r="CC159" i="52" s="1"/>
  <c r="BX130" i="52"/>
  <c r="BX131" i="52"/>
  <c r="BX132" i="52" s="1"/>
  <c r="BY128" i="52" s="1"/>
  <c r="BW133" i="52"/>
  <c r="BV135" i="52"/>
  <c r="BV204" i="52"/>
  <c r="BW200" i="52" s="1"/>
  <c r="BV202" i="52"/>
  <c r="BU205" i="52"/>
  <c r="BU216" i="52"/>
  <c r="BT217" i="52"/>
  <c r="BT207" i="52"/>
  <c r="BS219" i="52"/>
  <c r="BY185" i="52"/>
  <c r="BY149" i="52"/>
  <c r="CA124" i="52"/>
  <c r="CC176" i="52"/>
  <c r="CC177" i="52"/>
  <c r="CC182" i="52"/>
  <c r="CC110" i="52"/>
  <c r="CC210" i="52"/>
  <c r="CC105" i="52"/>
  <c r="CC146" i="52"/>
  <c r="CC141" i="52"/>
  <c r="CC140" i="52"/>
  <c r="BZ184" i="52"/>
  <c r="BZ183" i="52"/>
  <c r="BZ211" i="52"/>
  <c r="BT206" i="52"/>
  <c r="CD175" i="52"/>
  <c r="CD139" i="52"/>
  <c r="BX135" i="53"/>
  <c r="BY133" i="53"/>
  <c r="BZ130" i="53"/>
  <c r="BZ132" i="53"/>
  <c r="CA128" i="53" s="1"/>
  <c r="BZ169" i="52"/>
  <c r="CA166" i="52"/>
  <c r="CA168" i="52"/>
  <c r="CB164" i="52" s="1"/>
  <c r="CB66" i="51"/>
  <c r="CD6" i="51"/>
  <c r="CC7" i="51"/>
  <c r="CC65" i="51"/>
  <c r="CC68" i="51"/>
  <c r="CC70" i="51"/>
  <c r="CC72" i="51"/>
  <c r="CC73" i="51"/>
  <c r="CC64" i="51"/>
  <c r="CC74" i="51"/>
  <c r="CC79" i="51" s="1"/>
  <c r="CC81" i="51"/>
  <c r="CC82" i="51" s="1"/>
  <c r="CC85" i="51"/>
  <c r="CC86" i="51"/>
  <c r="CC87" i="51"/>
  <c r="CC88" i="51"/>
  <c r="CC89" i="51"/>
  <c r="CC90" i="51"/>
  <c r="CC91" i="51"/>
  <c r="CC92" i="51"/>
  <c r="CC93" i="51"/>
  <c r="CC94" i="51"/>
  <c r="CC103" i="51"/>
  <c r="CC99" i="51"/>
  <c r="CC101" i="51" s="1"/>
  <c r="CB67" i="51"/>
  <c r="CB69" i="51"/>
  <c r="CB83" i="51"/>
  <c r="CB84" i="51"/>
  <c r="CA71" i="51"/>
  <c r="CA76" i="51"/>
  <c r="CA98" i="51"/>
  <c r="CA95" i="51"/>
  <c r="BZ77" i="51"/>
  <c r="BZ78" i="51"/>
  <c r="BY77" i="51"/>
  <c r="BY78" i="51"/>
  <c r="BX105" i="51"/>
  <c r="BY102" i="51"/>
  <c r="BY104" i="51"/>
  <c r="BZ100" i="51" s="1"/>
  <c r="BW107" i="51"/>
  <c r="BW108" i="51"/>
  <c r="BW170" i="53" l="1"/>
  <c r="CE194" i="53"/>
  <c r="CE158" i="53"/>
  <c r="CE122" i="53"/>
  <c r="CF194" i="52"/>
  <c r="CF158" i="52"/>
  <c r="CF122" i="52"/>
  <c r="BU206" i="52"/>
  <c r="CD210" i="52"/>
  <c r="CB211" i="53"/>
  <c r="CC176" i="53"/>
  <c r="CC182" i="53"/>
  <c r="CC177" i="53"/>
  <c r="CC198" i="53"/>
  <c r="CC199" i="53" s="1"/>
  <c r="CC201" i="53" s="1"/>
  <c r="CC188" i="53"/>
  <c r="CC191" i="53"/>
  <c r="CC141" i="53"/>
  <c r="CC146" i="53"/>
  <c r="CC162" i="53"/>
  <c r="CC163" i="53" s="1"/>
  <c r="CC165" i="53" s="1"/>
  <c r="CC155" i="53"/>
  <c r="CC152" i="53"/>
  <c r="CC159" i="53" s="1"/>
  <c r="CC210" i="53"/>
  <c r="CC105" i="53"/>
  <c r="CC110" i="53"/>
  <c r="CC126" i="53"/>
  <c r="CC119" i="53"/>
  <c r="CC116" i="53"/>
  <c r="CC123" i="53" s="1"/>
  <c r="CD177" i="53"/>
  <c r="CD182" i="53"/>
  <c r="CD210" i="53"/>
  <c r="CD141" i="53"/>
  <c r="CD145" i="53" s="1"/>
  <c r="CD146" i="53"/>
  <c r="CD192" i="53"/>
  <c r="CD190" i="53"/>
  <c r="CD187" i="53"/>
  <c r="CD105" i="53"/>
  <c r="CD109" i="53" s="1"/>
  <c r="CD110" i="53"/>
  <c r="CD156" i="53"/>
  <c r="CD154" i="53"/>
  <c r="CD151" i="53"/>
  <c r="CD120" i="53"/>
  <c r="CD118" i="53"/>
  <c r="CD115" i="53"/>
  <c r="CE203" i="53"/>
  <c r="CE180" i="53"/>
  <c r="CE167" i="53"/>
  <c r="CE144" i="53"/>
  <c r="CE127" i="53"/>
  <c r="CE129" i="53" s="1"/>
  <c r="CE131" i="53"/>
  <c r="CE179" i="53"/>
  <c r="CE174" i="53"/>
  <c r="CE108" i="53"/>
  <c r="CE189" i="53"/>
  <c r="CE138" i="53"/>
  <c r="CE143" i="53"/>
  <c r="CE140" i="53"/>
  <c r="CE142" i="53"/>
  <c r="CE186" i="53"/>
  <c r="CE107" i="53"/>
  <c r="CE104" i="53"/>
  <c r="CE102" i="53"/>
  <c r="CE193" i="53"/>
  <c r="CE153" i="53"/>
  <c r="CE150" i="53"/>
  <c r="CE106" i="53"/>
  <c r="CE121" i="53"/>
  <c r="CE7" i="53"/>
  <c r="CE117" i="53"/>
  <c r="CE114" i="53"/>
  <c r="CE157" i="53"/>
  <c r="CF6" i="53"/>
  <c r="CB183" i="53"/>
  <c r="CB184" i="53"/>
  <c r="CB185" i="53" s="1"/>
  <c r="CB196" i="53" s="1"/>
  <c r="CA184" i="53"/>
  <c r="CA183" i="53"/>
  <c r="CB147" i="53"/>
  <c r="CB148" i="53"/>
  <c r="CB149" i="53"/>
  <c r="CA147" i="53"/>
  <c r="CA148" i="53"/>
  <c r="CA149" i="53"/>
  <c r="CA112" i="53"/>
  <c r="CA111" i="53"/>
  <c r="CA211" i="53"/>
  <c r="BZ197" i="53"/>
  <c r="BZ214" i="53"/>
  <c r="CB124" i="53"/>
  <c r="CA213" i="53"/>
  <c r="BW204" i="53"/>
  <c r="BX200" i="53" s="1"/>
  <c r="BW202" i="53"/>
  <c r="BV216" i="53"/>
  <c r="BV205" i="53"/>
  <c r="BU206" i="53"/>
  <c r="BU217" i="53"/>
  <c r="BU207" i="53"/>
  <c r="BY166" i="53"/>
  <c r="BY168" i="53"/>
  <c r="BZ164" i="53" s="1"/>
  <c r="BX169" i="53"/>
  <c r="BW171" i="53"/>
  <c r="CA160" i="52"/>
  <c r="CA212" i="52"/>
  <c r="BW170" i="52"/>
  <c r="BX170" i="52" s="1"/>
  <c r="BW171" i="52"/>
  <c r="CB181" i="52"/>
  <c r="CB112" i="52"/>
  <c r="CB111" i="52"/>
  <c r="CB113" i="52" s="1"/>
  <c r="CB145" i="52"/>
  <c r="CB211" i="52" s="1"/>
  <c r="CB213" i="52"/>
  <c r="CD112" i="52"/>
  <c r="CD111" i="52"/>
  <c r="CD113" i="52" s="1"/>
  <c r="CD198" i="52"/>
  <c r="CD199" i="52" s="1"/>
  <c r="CD201" i="52" s="1"/>
  <c r="CD191" i="52"/>
  <c r="CD188" i="52"/>
  <c r="CD195" i="52" s="1"/>
  <c r="CD126" i="52"/>
  <c r="CD119" i="52"/>
  <c r="CD116" i="52"/>
  <c r="CD162" i="52"/>
  <c r="CD163" i="52" s="1"/>
  <c r="CD165" i="52" s="1"/>
  <c r="CD152" i="52"/>
  <c r="CD155" i="52"/>
  <c r="CE120" i="52"/>
  <c r="CE115" i="52"/>
  <c r="CE118" i="52"/>
  <c r="CE192" i="52"/>
  <c r="CE187" i="52"/>
  <c r="CE190" i="52"/>
  <c r="CE177" i="52"/>
  <c r="CE182" i="52"/>
  <c r="CE103" i="52"/>
  <c r="CF179" i="52"/>
  <c r="CF186" i="52"/>
  <c r="CF174" i="52"/>
  <c r="CF102" i="52"/>
  <c r="CF193" i="52"/>
  <c r="CF203" i="52"/>
  <c r="CF108" i="52"/>
  <c r="CF104" i="52"/>
  <c r="CF180" i="52"/>
  <c r="CF143" i="52"/>
  <c r="CF167" i="52"/>
  <c r="CF107" i="52"/>
  <c r="CF7" i="52"/>
  <c r="CF106" i="52"/>
  <c r="CF114" i="52"/>
  <c r="CF144" i="52"/>
  <c r="CF189" i="52"/>
  <c r="CF117" i="52"/>
  <c r="CF121" i="52"/>
  <c r="CF138" i="52"/>
  <c r="CF150" i="52"/>
  <c r="CF153" i="52"/>
  <c r="CF127" i="52"/>
  <c r="CF129" i="52" s="1"/>
  <c r="CF131" i="52"/>
  <c r="CF157" i="52"/>
  <c r="CG6" i="52"/>
  <c r="CE141" i="52"/>
  <c r="CE146" i="52"/>
  <c r="CE154" i="52"/>
  <c r="CE151" i="52"/>
  <c r="CE156" i="52"/>
  <c r="BY132" i="52"/>
  <c r="BZ128" i="52" s="1"/>
  <c r="BY130" i="52"/>
  <c r="BW135" i="52"/>
  <c r="BW204" i="52"/>
  <c r="BX200" i="52" s="1"/>
  <c r="BW202" i="52"/>
  <c r="BV216" i="52"/>
  <c r="BV205" i="52"/>
  <c r="BU217" i="52"/>
  <c r="BU207" i="52"/>
  <c r="BT219" i="52"/>
  <c r="BY196" i="52"/>
  <c r="BY212" i="52"/>
  <c r="BY160" i="52"/>
  <c r="CD177" i="52"/>
  <c r="CD182" i="52"/>
  <c r="CD176" i="52"/>
  <c r="CD141" i="52"/>
  <c r="CD146" i="52"/>
  <c r="CD140" i="52"/>
  <c r="CD142" i="52" s="1"/>
  <c r="CC213" i="52"/>
  <c r="CC178" i="52"/>
  <c r="CC109" i="52"/>
  <c r="CC142" i="52"/>
  <c r="CE142" i="52"/>
  <c r="BZ185" i="52"/>
  <c r="BY135" i="53"/>
  <c r="BZ133" i="53"/>
  <c r="CA132" i="53"/>
  <c r="CB128" i="53" s="1"/>
  <c r="CA130" i="53"/>
  <c r="BZ171" i="52"/>
  <c r="CB166" i="52"/>
  <c r="CB168" i="52"/>
  <c r="CC164" i="52" s="1"/>
  <c r="BZ80" i="51"/>
  <c r="BZ96" i="51" s="1"/>
  <c r="BY80" i="51"/>
  <c r="BY96" i="51" s="1"/>
  <c r="BY105" i="51" s="1"/>
  <c r="CE6" i="51"/>
  <c r="CD64" i="51"/>
  <c r="CD65" i="51"/>
  <c r="CD68" i="51"/>
  <c r="CD70" i="51"/>
  <c r="CD72" i="51"/>
  <c r="CD73" i="51"/>
  <c r="CD7" i="51"/>
  <c r="CD74" i="51"/>
  <c r="CD79" i="51" s="1"/>
  <c r="CD81" i="51"/>
  <c r="CD82" i="51" s="1"/>
  <c r="CD85" i="51"/>
  <c r="CD99" i="51"/>
  <c r="CD101" i="51" s="1"/>
  <c r="CD86" i="51"/>
  <c r="CD87" i="51"/>
  <c r="CD88" i="51"/>
  <c r="CD89" i="51"/>
  <c r="CD90" i="51"/>
  <c r="CD91" i="51"/>
  <c r="CD92" i="51"/>
  <c r="CD93" i="51"/>
  <c r="CD94" i="51"/>
  <c r="CD103" i="51"/>
  <c r="CC66" i="51"/>
  <c r="CC67" i="51"/>
  <c r="CC69" i="51"/>
  <c r="CC83" i="51"/>
  <c r="CC84" i="51"/>
  <c r="CB71" i="51"/>
  <c r="CB75" i="51" s="1"/>
  <c r="CB76" i="51"/>
  <c r="CB98" i="51"/>
  <c r="CB95" i="51"/>
  <c r="CA75" i="51"/>
  <c r="BX108" i="51"/>
  <c r="BX107" i="51"/>
  <c r="BZ102" i="51"/>
  <c r="BZ104" i="51"/>
  <c r="CA100" i="51" s="1"/>
  <c r="CC195" i="53" l="1"/>
  <c r="CA113" i="53"/>
  <c r="CA185" i="53"/>
  <c r="CF194" i="53"/>
  <c r="CF158" i="53"/>
  <c r="CF122" i="53"/>
  <c r="CD123" i="52"/>
  <c r="CD124" i="52" s="1"/>
  <c r="CD159" i="52"/>
  <c r="CG194" i="52"/>
  <c r="CG158" i="52"/>
  <c r="CG122" i="52"/>
  <c r="CD145" i="52"/>
  <c r="BV206" i="53"/>
  <c r="CB213" i="53"/>
  <c r="CD178" i="53"/>
  <c r="CD181" i="53" s="1"/>
  <c r="CC178" i="53"/>
  <c r="CC181" i="53" s="1"/>
  <c r="CC109" i="53"/>
  <c r="CD148" i="53"/>
  <c r="CD147" i="53"/>
  <c r="CD149" i="53" s="1"/>
  <c r="CD198" i="53"/>
  <c r="CD199" i="53" s="1"/>
  <c r="CD201" i="53" s="1"/>
  <c r="CD188" i="53"/>
  <c r="CD191" i="53"/>
  <c r="CD112" i="53"/>
  <c r="CD111" i="53"/>
  <c r="CD113" i="53" s="1"/>
  <c r="CD211" i="53"/>
  <c r="CD162" i="53"/>
  <c r="CD163" i="53" s="1"/>
  <c r="CD165" i="53" s="1"/>
  <c r="CD155" i="53"/>
  <c r="CD152" i="53"/>
  <c r="CD159" i="53" s="1"/>
  <c r="CD126" i="53"/>
  <c r="CD119" i="53"/>
  <c r="CD116" i="53"/>
  <c r="CD123" i="53" s="1"/>
  <c r="CE175" i="53"/>
  <c r="CE139" i="53"/>
  <c r="CE192" i="53"/>
  <c r="CE190" i="53"/>
  <c r="CE187" i="53"/>
  <c r="CE103" i="53"/>
  <c r="CE156" i="53"/>
  <c r="CE154" i="53"/>
  <c r="CE151" i="53"/>
  <c r="CE120" i="53"/>
  <c r="CE118" i="53"/>
  <c r="CE115" i="53"/>
  <c r="CF203" i="53"/>
  <c r="CF180" i="53"/>
  <c r="CF167" i="53"/>
  <c r="CF131" i="53"/>
  <c r="CF127" i="53"/>
  <c r="CF129" i="53" s="1"/>
  <c r="CF144" i="53"/>
  <c r="CF179" i="53"/>
  <c r="CF174" i="53"/>
  <c r="CF189" i="53"/>
  <c r="CF108" i="53"/>
  <c r="CF186" i="53"/>
  <c r="CF138" i="53"/>
  <c r="CF140" i="53"/>
  <c r="CF143" i="53"/>
  <c r="CF142" i="53"/>
  <c r="CF102" i="53"/>
  <c r="CF103" i="53" s="1"/>
  <c r="CF193" i="53"/>
  <c r="CF153" i="53"/>
  <c r="CF150" i="53"/>
  <c r="CF106" i="53"/>
  <c r="CF107" i="53"/>
  <c r="CF104" i="53"/>
  <c r="CF117" i="53"/>
  <c r="CF121" i="53"/>
  <c r="CF7" i="53"/>
  <c r="CF114" i="53"/>
  <c r="CF157" i="53"/>
  <c r="CG6" i="53"/>
  <c r="CA196" i="53"/>
  <c r="CA160" i="53"/>
  <c r="CA212" i="53"/>
  <c r="CA124" i="53"/>
  <c r="CA133" i="53" s="1"/>
  <c r="CB160" i="53"/>
  <c r="CB214" i="53" s="1"/>
  <c r="CB212" i="53"/>
  <c r="BX204" i="53"/>
  <c r="BY200" i="53" s="1"/>
  <c r="BX202" i="53"/>
  <c r="BW216" i="53"/>
  <c r="BW205" i="53"/>
  <c r="BV217" i="53"/>
  <c r="BV207" i="53"/>
  <c r="BV219" i="53" s="1"/>
  <c r="BU219" i="53"/>
  <c r="BY169" i="53"/>
  <c r="BZ168" i="53"/>
  <c r="CA164" i="53" s="1"/>
  <c r="BZ166" i="53"/>
  <c r="BX170" i="53"/>
  <c r="BY170" i="53" s="1"/>
  <c r="BX171" i="53"/>
  <c r="CA214" i="52"/>
  <c r="CA169" i="52"/>
  <c r="CA171" i="52" s="1"/>
  <c r="CD178" i="52"/>
  <c r="CD181" i="52" s="1"/>
  <c r="CE178" i="52"/>
  <c r="CE181" i="52" s="1"/>
  <c r="CB183" i="52"/>
  <c r="CB184" i="52"/>
  <c r="CB124" i="52"/>
  <c r="CB148" i="52"/>
  <c r="CB147" i="52"/>
  <c r="CE126" i="52"/>
  <c r="CE119" i="52"/>
  <c r="CE116" i="52"/>
  <c r="CE123" i="52" s="1"/>
  <c r="CE198" i="52"/>
  <c r="CE199" i="52" s="1"/>
  <c r="CE201" i="52" s="1"/>
  <c r="CE191" i="52"/>
  <c r="CE188" i="52"/>
  <c r="CE195" i="52" s="1"/>
  <c r="CE105" i="52"/>
  <c r="CE110" i="52"/>
  <c r="CE210" i="52"/>
  <c r="CF192" i="52"/>
  <c r="CF190" i="52"/>
  <c r="CF187" i="52"/>
  <c r="CF175" i="52"/>
  <c r="CF120" i="52"/>
  <c r="CF118" i="52"/>
  <c r="CF115" i="52"/>
  <c r="CF139" i="52"/>
  <c r="CF154" i="52"/>
  <c r="CF156" i="52"/>
  <c r="CF151" i="52"/>
  <c r="CG189" i="52"/>
  <c r="CG179" i="52"/>
  <c r="CG180" i="52"/>
  <c r="CG114" i="52"/>
  <c r="CG106" i="52"/>
  <c r="CG144" i="52"/>
  <c r="CG7" i="52"/>
  <c r="CG167" i="52"/>
  <c r="CG108" i="52"/>
  <c r="CG107" i="52"/>
  <c r="CG143" i="52"/>
  <c r="CG104" i="52"/>
  <c r="CG203" i="52"/>
  <c r="CG193" i="52"/>
  <c r="CG174" i="52"/>
  <c r="CG175" i="52" s="1"/>
  <c r="CG176" i="52" s="1"/>
  <c r="CG186" i="52"/>
  <c r="CG102" i="52"/>
  <c r="CG103" i="52" s="1"/>
  <c r="CG157" i="52"/>
  <c r="CH6" i="52"/>
  <c r="CG117" i="52"/>
  <c r="CG121" i="52"/>
  <c r="CG138" i="52"/>
  <c r="CG139" i="52" s="1"/>
  <c r="CG140" i="52" s="1"/>
  <c r="CG150" i="52"/>
  <c r="CG153" i="52"/>
  <c r="CG127" i="52"/>
  <c r="CG129" i="52" s="1"/>
  <c r="CG131" i="52"/>
  <c r="CE162" i="52"/>
  <c r="CE163" i="52" s="1"/>
  <c r="CE165" i="52" s="1"/>
  <c r="CE155" i="52"/>
  <c r="CE152" i="52"/>
  <c r="CE159" i="52" s="1"/>
  <c r="BZ130" i="52"/>
  <c r="BZ132" i="52"/>
  <c r="CA128" i="52" s="1"/>
  <c r="BY133" i="52"/>
  <c r="BX202" i="52"/>
  <c r="BX204" i="52"/>
  <c r="BY200" i="52" s="1"/>
  <c r="BW216" i="52"/>
  <c r="BW205" i="52"/>
  <c r="BV206" i="52"/>
  <c r="BW206" i="52" s="1"/>
  <c r="BV217" i="52"/>
  <c r="BV207" i="52"/>
  <c r="BU219" i="52"/>
  <c r="BY197" i="52"/>
  <c r="BY161" i="52"/>
  <c r="BZ161" i="52" s="1"/>
  <c r="CA161" i="52" s="1"/>
  <c r="BY214" i="52"/>
  <c r="BY169" i="52"/>
  <c r="CC111" i="52"/>
  <c r="CC112" i="52"/>
  <c r="BZ196" i="52"/>
  <c r="BZ212" i="52"/>
  <c r="CE145" i="52"/>
  <c r="CF103" i="52"/>
  <c r="CC181" i="52"/>
  <c r="CC145" i="52"/>
  <c r="CC211" i="52" s="1"/>
  <c r="BZ135" i="53"/>
  <c r="CB130" i="53"/>
  <c r="CB132" i="53"/>
  <c r="CC128" i="53" s="1"/>
  <c r="CC166" i="52"/>
  <c r="CC168" i="52"/>
  <c r="CD164" i="52" s="1"/>
  <c r="CD66" i="51"/>
  <c r="BY108" i="51"/>
  <c r="BY107" i="51"/>
  <c r="CF6" i="51"/>
  <c r="CE99" i="51"/>
  <c r="CE101" i="51" s="1"/>
  <c r="CE65" i="51"/>
  <c r="CE68" i="51"/>
  <c r="CE70" i="51"/>
  <c r="CE72" i="51"/>
  <c r="CE73" i="51"/>
  <c r="CE7" i="51"/>
  <c r="CE64" i="51"/>
  <c r="CE74" i="51"/>
  <c r="CE79" i="51" s="1"/>
  <c r="CE81" i="51"/>
  <c r="CE82" i="51" s="1"/>
  <c r="CE85" i="51"/>
  <c r="CE86" i="51"/>
  <c r="CE87" i="51"/>
  <c r="CE88" i="51"/>
  <c r="CE89" i="51"/>
  <c r="CE90" i="51"/>
  <c r="CE91" i="51"/>
  <c r="CE92" i="51"/>
  <c r="CE93" i="51"/>
  <c r="CE94" i="51"/>
  <c r="CE103" i="51"/>
  <c r="CD67" i="51"/>
  <c r="CD69" i="51"/>
  <c r="CD83" i="51"/>
  <c r="CD84" i="51"/>
  <c r="CC71" i="51"/>
  <c r="CC76" i="51"/>
  <c r="CC98" i="51"/>
  <c r="CC95" i="51"/>
  <c r="CB77" i="51"/>
  <c r="CB78" i="51"/>
  <c r="CA77" i="51"/>
  <c r="CA78" i="51"/>
  <c r="CA80" i="51"/>
  <c r="CA96" i="51" s="1"/>
  <c r="BZ105" i="51"/>
  <c r="CA104" i="51"/>
  <c r="CB100" i="51" s="1"/>
  <c r="CA102" i="51"/>
  <c r="CD195" i="53" l="1"/>
  <c r="CG194" i="53"/>
  <c r="CG158" i="53"/>
  <c r="CG122" i="53"/>
  <c r="CH194" i="52"/>
  <c r="CH158" i="52"/>
  <c r="CH122" i="52"/>
  <c r="CD147" i="52"/>
  <c r="CD148" i="52"/>
  <c r="CD183" i="52"/>
  <c r="CD184" i="52"/>
  <c r="CD211" i="52"/>
  <c r="CC113" i="52"/>
  <c r="CD183" i="53"/>
  <c r="CD184" i="53"/>
  <c r="CD185" i="53"/>
  <c r="CC183" i="53"/>
  <c r="CC184" i="53"/>
  <c r="CC112" i="53"/>
  <c r="CC111" i="53"/>
  <c r="CC113" i="53" s="1"/>
  <c r="CD212" i="53"/>
  <c r="CD124" i="53"/>
  <c r="CE176" i="53"/>
  <c r="CE177" i="53"/>
  <c r="CE182" i="53"/>
  <c r="CE141" i="53"/>
  <c r="CE146" i="53"/>
  <c r="CE198" i="53"/>
  <c r="CE199" i="53" s="1"/>
  <c r="CE201" i="53" s="1"/>
  <c r="CE188" i="53"/>
  <c r="CE191" i="53"/>
  <c r="CE210" i="53"/>
  <c r="CE105" i="53"/>
  <c r="CE110" i="53"/>
  <c r="CE162" i="53"/>
  <c r="CE163" i="53" s="1"/>
  <c r="CE165" i="53" s="1"/>
  <c r="CE155" i="53"/>
  <c r="CE152" i="53"/>
  <c r="CE159" i="53" s="1"/>
  <c r="CE126" i="53"/>
  <c r="CE119" i="53"/>
  <c r="CE116" i="53"/>
  <c r="CE123" i="53" s="1"/>
  <c r="CF190" i="53"/>
  <c r="CF187" i="53"/>
  <c r="CF192" i="53"/>
  <c r="CF110" i="53"/>
  <c r="CF105" i="53"/>
  <c r="CF109" i="53" s="1"/>
  <c r="CF156" i="53"/>
  <c r="CF154" i="53"/>
  <c r="CF151" i="53"/>
  <c r="CF120" i="53"/>
  <c r="CF118" i="53"/>
  <c r="CF115" i="53"/>
  <c r="CG203" i="53"/>
  <c r="CG180" i="53"/>
  <c r="CG167" i="53"/>
  <c r="CG144" i="53"/>
  <c r="CG131" i="53"/>
  <c r="CG127" i="53"/>
  <c r="CG129" i="53" s="1"/>
  <c r="CG179" i="53"/>
  <c r="CG174" i="53"/>
  <c r="CG175" i="53" s="1"/>
  <c r="CG143" i="53"/>
  <c r="CG142" i="53"/>
  <c r="CG108" i="53"/>
  <c r="CG189" i="53"/>
  <c r="CG186" i="53"/>
  <c r="CG138" i="53"/>
  <c r="CG139" i="53" s="1"/>
  <c r="CG140" i="53"/>
  <c r="CG104" i="53"/>
  <c r="CG102" i="53"/>
  <c r="CG193" i="53"/>
  <c r="CG150" i="53"/>
  <c r="CG153" i="53"/>
  <c r="CG106" i="53"/>
  <c r="CG107" i="53"/>
  <c r="CG121" i="53"/>
  <c r="CG114" i="53"/>
  <c r="CG117" i="53"/>
  <c r="CG7" i="53"/>
  <c r="CH6" i="53"/>
  <c r="CG157" i="53"/>
  <c r="CA197" i="53"/>
  <c r="CA214" i="53"/>
  <c r="CA161" i="53"/>
  <c r="CB161" i="53" s="1"/>
  <c r="CC213" i="53"/>
  <c r="CF175" i="53"/>
  <c r="CF139" i="53"/>
  <c r="CF210" i="53" s="1"/>
  <c r="BY204" i="53"/>
  <c r="BZ200" i="53" s="1"/>
  <c r="BY202" i="53"/>
  <c r="BX216" i="53"/>
  <c r="BX205" i="53"/>
  <c r="BW217" i="53"/>
  <c r="BW206" i="53"/>
  <c r="BW207" i="53"/>
  <c r="BY171" i="53"/>
  <c r="CA166" i="53"/>
  <c r="CA168" i="53"/>
  <c r="CB164" i="53" s="1"/>
  <c r="BZ169" i="53"/>
  <c r="BZ197" i="52"/>
  <c r="CA197" i="52" s="1"/>
  <c r="CB185" i="52"/>
  <c r="CB149" i="52"/>
  <c r="CD213" i="52"/>
  <c r="CE109" i="52"/>
  <c r="CF198" i="52"/>
  <c r="CF199" i="52" s="1"/>
  <c r="CF201" i="52" s="1"/>
  <c r="CF191" i="52"/>
  <c r="CF188" i="52"/>
  <c r="CF195" i="52" s="1"/>
  <c r="CF182" i="52"/>
  <c r="CF177" i="52"/>
  <c r="CF176" i="52"/>
  <c r="CF126" i="52"/>
  <c r="CF119" i="52"/>
  <c r="CF116" i="52"/>
  <c r="CF123" i="52" s="1"/>
  <c r="CF140" i="52"/>
  <c r="CF146" i="52"/>
  <c r="CF141" i="52"/>
  <c r="CF162" i="52"/>
  <c r="CF163" i="52" s="1"/>
  <c r="CF165" i="52" s="1"/>
  <c r="CF152" i="52"/>
  <c r="CF155" i="52"/>
  <c r="CG118" i="52"/>
  <c r="CG120" i="52"/>
  <c r="CG115" i="52"/>
  <c r="CG182" i="52"/>
  <c r="CG177" i="52"/>
  <c r="CG190" i="52"/>
  <c r="CG187" i="52"/>
  <c r="CG192" i="52"/>
  <c r="CG210" i="52"/>
  <c r="CG105" i="52"/>
  <c r="CG109" i="52" s="1"/>
  <c r="CG110" i="52"/>
  <c r="CH108" i="52"/>
  <c r="CH143" i="52"/>
  <c r="CH114" i="52"/>
  <c r="CH174" i="52"/>
  <c r="CH179" i="52"/>
  <c r="CH186" i="52"/>
  <c r="CH144" i="52"/>
  <c r="CH203" i="52"/>
  <c r="CH107" i="52"/>
  <c r="CH102" i="52"/>
  <c r="CH193" i="52"/>
  <c r="CH7" i="52"/>
  <c r="CH106" i="52"/>
  <c r="CH167" i="52"/>
  <c r="CH104" i="52"/>
  <c r="CH189" i="52"/>
  <c r="CH180" i="52"/>
  <c r="CH117" i="52"/>
  <c r="CH121" i="52"/>
  <c r="CH138" i="52"/>
  <c r="CH150" i="52"/>
  <c r="CH153" i="52"/>
  <c r="CH127" i="52"/>
  <c r="CH129" i="52" s="1"/>
  <c r="CH157" i="52"/>
  <c r="CI6" i="52"/>
  <c r="CH131" i="52"/>
  <c r="CG146" i="52"/>
  <c r="CG141" i="52"/>
  <c r="CG154" i="52"/>
  <c r="CG156" i="52"/>
  <c r="CG151" i="52"/>
  <c r="BZ133" i="52"/>
  <c r="CA132" i="52"/>
  <c r="CB128" i="52" s="1"/>
  <c r="CA130" i="52"/>
  <c r="BY135" i="52"/>
  <c r="BX216" i="52"/>
  <c r="BX205" i="52"/>
  <c r="BY204" i="52"/>
  <c r="BZ200" i="52" s="1"/>
  <c r="BY202" i="52"/>
  <c r="BW217" i="52"/>
  <c r="BW207" i="52"/>
  <c r="BV219" i="52"/>
  <c r="BY170" i="52"/>
  <c r="BZ170" i="52" s="1"/>
  <c r="CA170" i="52" s="1"/>
  <c r="BY171" i="52"/>
  <c r="CC124" i="52"/>
  <c r="BZ214" i="52"/>
  <c r="CE183" i="52"/>
  <c r="CE184" i="52"/>
  <c r="CE147" i="52"/>
  <c r="CE148" i="52"/>
  <c r="CF210" i="52"/>
  <c r="CF110" i="52"/>
  <c r="CF105" i="52"/>
  <c r="CC184" i="52"/>
  <c r="CC183" i="52"/>
  <c r="CC148" i="52"/>
  <c r="CC147" i="52"/>
  <c r="CC149" i="52" s="1"/>
  <c r="CC160" i="52" s="1"/>
  <c r="CC169" i="52" s="1"/>
  <c r="CB133" i="53"/>
  <c r="CC132" i="53"/>
  <c r="CD128" i="53" s="1"/>
  <c r="CC130" i="53"/>
  <c r="CA135" i="53"/>
  <c r="CD166" i="52"/>
  <c r="CD168" i="52"/>
  <c r="CE164" i="52" s="1"/>
  <c r="CB80" i="51"/>
  <c r="CB96" i="51" s="1"/>
  <c r="CA105" i="51"/>
  <c r="CG6" i="51"/>
  <c r="CF7" i="51"/>
  <c r="CF64" i="51"/>
  <c r="CF65" i="51"/>
  <c r="CF68" i="51"/>
  <c r="CF70" i="51"/>
  <c r="CF72" i="51"/>
  <c r="CF73" i="51"/>
  <c r="CF74" i="51"/>
  <c r="CF79" i="51" s="1"/>
  <c r="CF81" i="51"/>
  <c r="CF82" i="51" s="1"/>
  <c r="CF85" i="51"/>
  <c r="CF86" i="51"/>
  <c r="CF87" i="51"/>
  <c r="CF88" i="51"/>
  <c r="CF89" i="51"/>
  <c r="CF90" i="51"/>
  <c r="CF91" i="51"/>
  <c r="CF92" i="51"/>
  <c r="CF93" i="51"/>
  <c r="CF94" i="51"/>
  <c r="CF103" i="51"/>
  <c r="CF99" i="51"/>
  <c r="CF101" i="51" s="1"/>
  <c r="CE66" i="51"/>
  <c r="CE67" i="51"/>
  <c r="CE69" i="51"/>
  <c r="CE83" i="51"/>
  <c r="CE84" i="51"/>
  <c r="CD71" i="51"/>
  <c r="CD76" i="51"/>
  <c r="CD98" i="51"/>
  <c r="CD95" i="51"/>
  <c r="CC75" i="51"/>
  <c r="BZ108" i="51"/>
  <c r="BZ107" i="51"/>
  <c r="CB102" i="51"/>
  <c r="CB104" i="51"/>
  <c r="CC100" i="51" s="1"/>
  <c r="G104" i="43"/>
  <c r="I104" i="43"/>
  <c r="CE195" i="53" l="1"/>
  <c r="CH194" i="53"/>
  <c r="CH158" i="53"/>
  <c r="CH122" i="53"/>
  <c r="CF159" i="52"/>
  <c r="CD149" i="52"/>
  <c r="CD185" i="52"/>
  <c r="CD196" i="52" s="1"/>
  <c r="CI194" i="52"/>
  <c r="CI158" i="52"/>
  <c r="CI122" i="52"/>
  <c r="CC185" i="53"/>
  <c r="CC196" i="53"/>
  <c r="CC124" i="53"/>
  <c r="CC133" i="53" s="1"/>
  <c r="CE178" i="53"/>
  <c r="CE181" i="53" s="1"/>
  <c r="CE145" i="53"/>
  <c r="CE109" i="53"/>
  <c r="CF198" i="53"/>
  <c r="CF199" i="53" s="1"/>
  <c r="CF201" i="53" s="1"/>
  <c r="CF188" i="53"/>
  <c r="CF191" i="53"/>
  <c r="CF112" i="53"/>
  <c r="CF111" i="53"/>
  <c r="CF113" i="53" s="1"/>
  <c r="CF162" i="53"/>
  <c r="CF163" i="53" s="1"/>
  <c r="CF165" i="53" s="1"/>
  <c r="CF155" i="53"/>
  <c r="CF152" i="53"/>
  <c r="CF159" i="53" s="1"/>
  <c r="CF126" i="53"/>
  <c r="CF119" i="53"/>
  <c r="CF116" i="53"/>
  <c r="CF123" i="53" s="1"/>
  <c r="CG177" i="53"/>
  <c r="CG182" i="53"/>
  <c r="CG190" i="53"/>
  <c r="CG187" i="53"/>
  <c r="CG192" i="53"/>
  <c r="CG141" i="53"/>
  <c r="CG146" i="53"/>
  <c r="CG103" i="53"/>
  <c r="CG210" i="53" s="1"/>
  <c r="CG156" i="53"/>
  <c r="CG154" i="53"/>
  <c r="CG151" i="53"/>
  <c r="CG120" i="53"/>
  <c r="CG118" i="53"/>
  <c r="CG115" i="53"/>
  <c r="CH203" i="53"/>
  <c r="CH180" i="53"/>
  <c r="CH167" i="53"/>
  <c r="CH144" i="53"/>
  <c r="CH131" i="53"/>
  <c r="CH127" i="53"/>
  <c r="CH129" i="53" s="1"/>
  <c r="CH179" i="53"/>
  <c r="CH174" i="53"/>
  <c r="CH108" i="53"/>
  <c r="CH189" i="53"/>
  <c r="CH186" i="53"/>
  <c r="CH143" i="53"/>
  <c r="CH138" i="53"/>
  <c r="CH140" i="53"/>
  <c r="CH142" i="53"/>
  <c r="CH104" i="53"/>
  <c r="CH107" i="53"/>
  <c r="CH106" i="53"/>
  <c r="CH102" i="53"/>
  <c r="CH193" i="53"/>
  <c r="CH153" i="53"/>
  <c r="CH150" i="53"/>
  <c r="CH117" i="53"/>
  <c r="CH114" i="53"/>
  <c r="CH7" i="53"/>
  <c r="CH121" i="53"/>
  <c r="CH157" i="53"/>
  <c r="CI6" i="53"/>
  <c r="CB197" i="53"/>
  <c r="CD160" i="53"/>
  <c r="CF177" i="53"/>
  <c r="CF182" i="53"/>
  <c r="CF176" i="53"/>
  <c r="CF178" i="53" s="1"/>
  <c r="CF181" i="53" s="1"/>
  <c r="CF146" i="53"/>
  <c r="CF141" i="53"/>
  <c r="CF145" i="53" s="1"/>
  <c r="BX206" i="53"/>
  <c r="CD196" i="53"/>
  <c r="CD214" i="53" s="1"/>
  <c r="CD213" i="53"/>
  <c r="CG176" i="53"/>
  <c r="BZ204" i="53"/>
  <c r="CA200" i="53" s="1"/>
  <c r="BZ202" i="53"/>
  <c r="BY216" i="53"/>
  <c r="BY205" i="53"/>
  <c r="BX217" i="53"/>
  <c r="BX207" i="53"/>
  <c r="BX219" i="53" s="1"/>
  <c r="BW219" i="53"/>
  <c r="CA169" i="53"/>
  <c r="CB168" i="53"/>
  <c r="CC164" i="53" s="1"/>
  <c r="CB166" i="53"/>
  <c r="BZ170" i="53"/>
  <c r="BZ171" i="53"/>
  <c r="CB196" i="52"/>
  <c r="CB212" i="52"/>
  <c r="CB160" i="52"/>
  <c r="CE211" i="52"/>
  <c r="CE112" i="52"/>
  <c r="CE111" i="52"/>
  <c r="CE113" i="52" s="1"/>
  <c r="CG178" i="52"/>
  <c r="CG181" i="52" s="1"/>
  <c r="CF178" i="52"/>
  <c r="CG142" i="52"/>
  <c r="CG145" i="52" s="1"/>
  <c r="CG211" i="52" s="1"/>
  <c r="CF142" i="52"/>
  <c r="CG126" i="52"/>
  <c r="CG116" i="52"/>
  <c r="CG119" i="52"/>
  <c r="CG198" i="52"/>
  <c r="CG199" i="52" s="1"/>
  <c r="CG201" i="52" s="1"/>
  <c r="CG191" i="52"/>
  <c r="CG188" i="52"/>
  <c r="CG195" i="52" s="1"/>
  <c r="CG112" i="52"/>
  <c r="CG111" i="52"/>
  <c r="CG113" i="52" s="1"/>
  <c r="CH115" i="52"/>
  <c r="CH118" i="52"/>
  <c r="CH120" i="52"/>
  <c r="CH175" i="52"/>
  <c r="CH187" i="52"/>
  <c r="CH192" i="52"/>
  <c r="CH190" i="52"/>
  <c r="CH103" i="52"/>
  <c r="CH139" i="52"/>
  <c r="CH154" i="52"/>
  <c r="CH156" i="52"/>
  <c r="CH151" i="52"/>
  <c r="CI180" i="52"/>
  <c r="CI174" i="52"/>
  <c r="CI179" i="52"/>
  <c r="CI167" i="52"/>
  <c r="CI104" i="52"/>
  <c r="CI189" i="52"/>
  <c r="CI106" i="52"/>
  <c r="CI7" i="52"/>
  <c r="CI193" i="52"/>
  <c r="CI107" i="52"/>
  <c r="CI203" i="52"/>
  <c r="CI142" i="52"/>
  <c r="CI114" i="52"/>
  <c r="CI144" i="52"/>
  <c r="CI186" i="52"/>
  <c r="CI108" i="52"/>
  <c r="CI140" i="52"/>
  <c r="CI102" i="52"/>
  <c r="CI127" i="52"/>
  <c r="CI129" i="52" s="1"/>
  <c r="CI157" i="52"/>
  <c r="CJ6" i="52"/>
  <c r="CI117" i="52"/>
  <c r="CI121" i="52"/>
  <c r="CI138" i="52"/>
  <c r="CI150" i="52"/>
  <c r="CI153" i="52"/>
  <c r="CI131" i="52"/>
  <c r="CG162" i="52"/>
  <c r="CG163" i="52" s="1"/>
  <c r="CG165" i="52" s="1"/>
  <c r="CG152" i="52"/>
  <c r="CG155" i="52"/>
  <c r="CE213" i="52"/>
  <c r="BZ135" i="52"/>
  <c r="CB132" i="52"/>
  <c r="CC128" i="52" s="1"/>
  <c r="CB130" i="52"/>
  <c r="CA133" i="52"/>
  <c r="BX206" i="52"/>
  <c r="BX207" i="52"/>
  <c r="BZ202" i="52"/>
  <c r="BZ204" i="52"/>
  <c r="CA200" i="52" s="1"/>
  <c r="BY216" i="52"/>
  <c r="BY205" i="52"/>
  <c r="BW219" i="52"/>
  <c r="CD212" i="52"/>
  <c r="CD160" i="52"/>
  <c r="CE185" i="52"/>
  <c r="CE149" i="52"/>
  <c r="CE160" i="52" s="1"/>
  <c r="CF109" i="52"/>
  <c r="CC185" i="52"/>
  <c r="CB135" i="53"/>
  <c r="CD130" i="53"/>
  <c r="CD132" i="53"/>
  <c r="CE128" i="53" s="1"/>
  <c r="CC171" i="52"/>
  <c r="CE166" i="52"/>
  <c r="CE168" i="52"/>
  <c r="CF164" i="52" s="1"/>
  <c r="CF66" i="51"/>
  <c r="CA107" i="51"/>
  <c r="CA108" i="51"/>
  <c r="CH6" i="51"/>
  <c r="CG65" i="51"/>
  <c r="CG68" i="51"/>
  <c r="CG70" i="51"/>
  <c r="CG72" i="51"/>
  <c r="CG73" i="51"/>
  <c r="CG7" i="51"/>
  <c r="CG64" i="51"/>
  <c r="CG74" i="51"/>
  <c r="CG79" i="51" s="1"/>
  <c r="CG81" i="51"/>
  <c r="CG82" i="51" s="1"/>
  <c r="CG85" i="51"/>
  <c r="CG99" i="51"/>
  <c r="CG101" i="51" s="1"/>
  <c r="CG86" i="51"/>
  <c r="CG87" i="51"/>
  <c r="CG88" i="51"/>
  <c r="CG89" i="51"/>
  <c r="CG90" i="51"/>
  <c r="CG91" i="51"/>
  <c r="CG92" i="51"/>
  <c r="CG93" i="51"/>
  <c r="CG94" i="51"/>
  <c r="CG103" i="51"/>
  <c r="CF67" i="51"/>
  <c r="CF69" i="51"/>
  <c r="CF83" i="51"/>
  <c r="CF84" i="51"/>
  <c r="CE71" i="51"/>
  <c r="CE76" i="51"/>
  <c r="CE98" i="51"/>
  <c r="CE95" i="51"/>
  <c r="CC77" i="51"/>
  <c r="CC78" i="51"/>
  <c r="CB105" i="51"/>
  <c r="CC104" i="51"/>
  <c r="CD100" i="51" s="1"/>
  <c r="CC102" i="51"/>
  <c r="CD75" i="51"/>
  <c r="H104" i="43"/>
  <c r="J104" i="43"/>
  <c r="K104" i="43"/>
  <c r="L104" i="43"/>
  <c r="M104" i="43"/>
  <c r="N104" i="43"/>
  <c r="O104" i="43"/>
  <c r="P104" i="43"/>
  <c r="Q104" i="43"/>
  <c r="R104" i="43"/>
  <c r="S104" i="43"/>
  <c r="T104" i="43"/>
  <c r="U104" i="43"/>
  <c r="V104" i="43"/>
  <c r="W104" i="43"/>
  <c r="X104" i="43"/>
  <c r="Y104" i="43"/>
  <c r="Z104" i="43"/>
  <c r="E29" i="43"/>
  <c r="CF195" i="53" l="1"/>
  <c r="CI194" i="53"/>
  <c r="CI158" i="53"/>
  <c r="CI122" i="53"/>
  <c r="CG123" i="52"/>
  <c r="CG124" i="52" s="1"/>
  <c r="CG159" i="52"/>
  <c r="CJ194" i="52"/>
  <c r="CJ158" i="52"/>
  <c r="CJ122" i="52"/>
  <c r="CC197" i="53"/>
  <c r="CA170" i="53"/>
  <c r="CD197" i="53"/>
  <c r="CF211" i="53"/>
  <c r="CF183" i="53"/>
  <c r="CF184" i="53"/>
  <c r="CF185" i="53"/>
  <c r="CE183" i="53"/>
  <c r="CE184" i="53"/>
  <c r="CE185" i="53"/>
  <c r="CE148" i="53"/>
  <c r="CE147" i="53"/>
  <c r="CE149" i="53" s="1"/>
  <c r="CE160" i="53" s="1"/>
  <c r="CE112" i="53"/>
  <c r="CE111" i="53"/>
  <c r="CE113" i="53" s="1"/>
  <c r="CE211" i="53"/>
  <c r="CF124" i="53"/>
  <c r="CG198" i="53"/>
  <c r="CG199" i="53" s="1"/>
  <c r="CG201" i="53" s="1"/>
  <c r="CG188" i="53"/>
  <c r="CG195" i="53" s="1"/>
  <c r="CG191" i="53"/>
  <c r="CG105" i="53"/>
  <c r="CG110" i="53"/>
  <c r="CG162" i="53"/>
  <c r="CG163" i="53" s="1"/>
  <c r="CG165" i="53" s="1"/>
  <c r="CG155" i="53"/>
  <c r="CG152" i="53"/>
  <c r="CG159" i="53" s="1"/>
  <c r="CG126" i="53"/>
  <c r="CG119" i="53"/>
  <c r="CG116" i="53"/>
  <c r="CG123" i="53" s="1"/>
  <c r="CH175" i="53"/>
  <c r="CH187" i="53"/>
  <c r="CH192" i="53"/>
  <c r="CH190" i="53"/>
  <c r="CH139" i="53"/>
  <c r="CH156" i="53"/>
  <c r="CH154" i="53"/>
  <c r="CH151" i="53"/>
  <c r="CH120" i="53"/>
  <c r="CH118" i="53"/>
  <c r="CH115" i="53"/>
  <c r="CI203" i="53"/>
  <c r="CI180" i="53"/>
  <c r="CI167" i="53"/>
  <c r="CI144" i="53"/>
  <c r="CI131" i="53"/>
  <c r="CI127" i="53"/>
  <c r="CI129" i="53" s="1"/>
  <c r="CI179" i="53"/>
  <c r="CI174" i="53"/>
  <c r="CI175" i="53" s="1"/>
  <c r="CI176" i="53" s="1"/>
  <c r="CI189" i="53"/>
  <c r="CI138" i="53"/>
  <c r="CI139" i="53" s="1"/>
  <c r="CI140" i="53"/>
  <c r="CI142" i="53"/>
  <c r="CI143" i="53"/>
  <c r="CI108" i="53"/>
  <c r="CI186" i="53"/>
  <c r="CI107" i="53"/>
  <c r="CI106" i="53"/>
  <c r="CI104" i="53"/>
  <c r="CI102" i="53"/>
  <c r="CI103" i="53" s="1"/>
  <c r="CI193" i="53"/>
  <c r="CI153" i="53"/>
  <c r="CI150" i="53"/>
  <c r="CI114" i="53"/>
  <c r="CI121" i="53"/>
  <c r="CI117" i="53"/>
  <c r="CI7" i="53"/>
  <c r="CI157" i="53"/>
  <c r="CJ6" i="53"/>
  <c r="CF147" i="53"/>
  <c r="CF148" i="53"/>
  <c r="CE213" i="53"/>
  <c r="CG178" i="53"/>
  <c r="CG181" i="53" s="1"/>
  <c r="CG145" i="53"/>
  <c r="CH103" i="53"/>
  <c r="CA202" i="53"/>
  <c r="CA204" i="53"/>
  <c r="CB200" i="53" s="1"/>
  <c r="BZ216" i="53"/>
  <c r="BZ205" i="53"/>
  <c r="BY217" i="53"/>
  <c r="BY206" i="53"/>
  <c r="BY207" i="53"/>
  <c r="CA171" i="53"/>
  <c r="CC166" i="53"/>
  <c r="CC168" i="53"/>
  <c r="CD164" i="53" s="1"/>
  <c r="CB169" i="53"/>
  <c r="CE169" i="52"/>
  <c r="CE171" i="52" s="1"/>
  <c r="BY206" i="52"/>
  <c r="CB197" i="52"/>
  <c r="CB214" i="52"/>
  <c r="CB161" i="52"/>
  <c r="CC161" i="52" s="1"/>
  <c r="CD161" i="52" s="1"/>
  <c r="CE161" i="52" s="1"/>
  <c r="CB169" i="52"/>
  <c r="CE212" i="52"/>
  <c r="CE124" i="52"/>
  <c r="CG184" i="52"/>
  <c r="CG183" i="52"/>
  <c r="CG185" i="52" s="1"/>
  <c r="CF181" i="52"/>
  <c r="CG148" i="52"/>
  <c r="CG147" i="52"/>
  <c r="CG149" i="52" s="1"/>
  <c r="CG212" i="52" s="1"/>
  <c r="CF145" i="52"/>
  <c r="CF211" i="52" s="1"/>
  <c r="CH126" i="52"/>
  <c r="CH119" i="52"/>
  <c r="CH116" i="52"/>
  <c r="CH123" i="52" s="1"/>
  <c r="CH176" i="52"/>
  <c r="CH177" i="52"/>
  <c r="CH182" i="52"/>
  <c r="CH198" i="52"/>
  <c r="CH199" i="52" s="1"/>
  <c r="CH201" i="52" s="1"/>
  <c r="CH191" i="52"/>
  <c r="CH188" i="52"/>
  <c r="CH195" i="52" s="1"/>
  <c r="CH105" i="52"/>
  <c r="CH210" i="52"/>
  <c r="CH110" i="52"/>
  <c r="CH140" i="52"/>
  <c r="CH142" i="52" s="1"/>
  <c r="CH146" i="52"/>
  <c r="CH141" i="52"/>
  <c r="CH162" i="52"/>
  <c r="CH163" i="52" s="1"/>
  <c r="CH165" i="52" s="1"/>
  <c r="CH152" i="52"/>
  <c r="CH155" i="52"/>
  <c r="CI115" i="52"/>
  <c r="CI118" i="52"/>
  <c r="CI120" i="52"/>
  <c r="CI187" i="52"/>
  <c r="CI192" i="52"/>
  <c r="CI190" i="52"/>
  <c r="CJ144" i="52"/>
  <c r="CJ203" i="52"/>
  <c r="CJ180" i="52"/>
  <c r="CJ107" i="52"/>
  <c r="CJ104" i="52"/>
  <c r="CJ106" i="52"/>
  <c r="CJ189" i="52"/>
  <c r="CJ142" i="52"/>
  <c r="CJ193" i="52"/>
  <c r="CJ179" i="52"/>
  <c r="CJ186" i="52"/>
  <c r="CJ174" i="52"/>
  <c r="CJ108" i="52"/>
  <c r="CJ102" i="52"/>
  <c r="CJ7" i="52"/>
  <c r="CJ140" i="52"/>
  <c r="CJ143" i="52"/>
  <c r="CJ114" i="52"/>
  <c r="CJ167" i="52"/>
  <c r="CJ117" i="52"/>
  <c r="CJ121" i="52"/>
  <c r="CJ138" i="52"/>
  <c r="CJ150" i="52"/>
  <c r="CJ153" i="52"/>
  <c r="CJ127" i="52"/>
  <c r="CJ129" i="52" s="1"/>
  <c r="CJ157" i="52"/>
  <c r="CK6" i="52"/>
  <c r="CJ131" i="52"/>
  <c r="CI154" i="52"/>
  <c r="CI156" i="52"/>
  <c r="CI151" i="52"/>
  <c r="CC132" i="52"/>
  <c r="CD128" i="52" s="1"/>
  <c r="CC130" i="52"/>
  <c r="CB133" i="52"/>
  <c r="CA135" i="52"/>
  <c r="BZ216" i="52"/>
  <c r="BZ205" i="52"/>
  <c r="CA204" i="52"/>
  <c r="CB200" i="52" s="1"/>
  <c r="CA202" i="52"/>
  <c r="BY217" i="52"/>
  <c r="BY207" i="52"/>
  <c r="CF111" i="52"/>
  <c r="CF112" i="52"/>
  <c r="CF113" i="52" s="1"/>
  <c r="CC212" i="52"/>
  <c r="CC196" i="52"/>
  <c r="CC214" i="52" s="1"/>
  <c r="CI175" i="52"/>
  <c r="CI103" i="52"/>
  <c r="CI139" i="52"/>
  <c r="CD214" i="52"/>
  <c r="CD169" i="52"/>
  <c r="CD171" i="52" s="1"/>
  <c r="CE196" i="52"/>
  <c r="CF213" i="52"/>
  <c r="CD133" i="53"/>
  <c r="CE132" i="53"/>
  <c r="CF128" i="53" s="1"/>
  <c r="CE130" i="53"/>
  <c r="CC135" i="53"/>
  <c r="CF166" i="52"/>
  <c r="CF168" i="52"/>
  <c r="CG164" i="52" s="1"/>
  <c r="CC80" i="51"/>
  <c r="CC96" i="51" s="1"/>
  <c r="CC105" i="51" s="1"/>
  <c r="CI6" i="51"/>
  <c r="CH99" i="51"/>
  <c r="CH101" i="51" s="1"/>
  <c r="CH7" i="51"/>
  <c r="CH64" i="51"/>
  <c r="CH65" i="51"/>
  <c r="CH68" i="51"/>
  <c r="CH70" i="51"/>
  <c r="CH72" i="51"/>
  <c r="CH73" i="51"/>
  <c r="CH74" i="51"/>
  <c r="CH79" i="51" s="1"/>
  <c r="CH81" i="51"/>
  <c r="CH82" i="51" s="1"/>
  <c r="CH85" i="51"/>
  <c r="CH86" i="51"/>
  <c r="CH87" i="51"/>
  <c r="CH88" i="51"/>
  <c r="CH89" i="51"/>
  <c r="CH90" i="51"/>
  <c r="CH91" i="51"/>
  <c r="CH92" i="51"/>
  <c r="CH93" i="51"/>
  <c r="CH94" i="51"/>
  <c r="CH103" i="51"/>
  <c r="CG66" i="51"/>
  <c r="CG67" i="51"/>
  <c r="CG69" i="51"/>
  <c r="CG83" i="51"/>
  <c r="CG84" i="51"/>
  <c r="CF71" i="51"/>
  <c r="CF76" i="51"/>
  <c r="CF98" i="51"/>
  <c r="CF95" i="51"/>
  <c r="CB108" i="51"/>
  <c r="CB107" i="51"/>
  <c r="CD104" i="51"/>
  <c r="CE100" i="51" s="1"/>
  <c r="CD102" i="51"/>
  <c r="CD78" i="51"/>
  <c r="CD77" i="51"/>
  <c r="CD80" i="51" s="1"/>
  <c r="CD96" i="51" s="1"/>
  <c r="CE75" i="51"/>
  <c r="E31" i="43"/>
  <c r="BZ206" i="53" l="1"/>
  <c r="CJ194" i="53"/>
  <c r="CJ158" i="53"/>
  <c r="CJ122" i="53"/>
  <c r="CH159" i="52"/>
  <c r="CK194" i="52"/>
  <c r="CK158" i="52"/>
  <c r="CK122" i="52"/>
  <c r="CF149" i="53"/>
  <c r="CE196" i="53"/>
  <c r="CE212" i="53"/>
  <c r="CE124" i="53"/>
  <c r="CE133" i="53" s="1"/>
  <c r="CG109" i="53"/>
  <c r="CH176" i="53"/>
  <c r="CH182" i="53"/>
  <c r="CH177" i="53"/>
  <c r="CH210" i="53"/>
  <c r="CH198" i="53"/>
  <c r="CH199" i="53" s="1"/>
  <c r="CH201" i="53" s="1"/>
  <c r="CH188" i="53"/>
  <c r="CH191" i="53"/>
  <c r="CH141" i="53"/>
  <c r="CH146" i="53"/>
  <c r="CH162" i="53"/>
  <c r="CH163" i="53" s="1"/>
  <c r="CH165" i="53" s="1"/>
  <c r="CH155" i="53"/>
  <c r="CH152" i="53"/>
  <c r="CH159" i="53" s="1"/>
  <c r="CH126" i="53"/>
  <c r="CH119" i="53"/>
  <c r="CH116" i="53"/>
  <c r="CH123" i="53" s="1"/>
  <c r="CI177" i="53"/>
  <c r="CI182" i="53"/>
  <c r="CI210" i="53"/>
  <c r="CI141" i="53"/>
  <c r="CI145" i="53" s="1"/>
  <c r="CI146" i="53"/>
  <c r="CI190" i="53"/>
  <c r="CI192" i="53"/>
  <c r="CI187" i="53"/>
  <c r="CI105" i="53"/>
  <c r="CI110" i="53"/>
  <c r="CI156" i="53"/>
  <c r="CI154" i="53"/>
  <c r="CI151" i="53"/>
  <c r="CI120" i="53"/>
  <c r="CI118" i="53"/>
  <c r="CI115" i="53"/>
  <c r="CJ203" i="53"/>
  <c r="CJ180" i="53"/>
  <c r="CJ167" i="53"/>
  <c r="CJ144" i="53"/>
  <c r="CJ127" i="53"/>
  <c r="CJ129" i="53" s="1"/>
  <c r="CJ131" i="53"/>
  <c r="CJ179" i="53"/>
  <c r="CJ174" i="53"/>
  <c r="CJ138" i="53"/>
  <c r="CJ142" i="53"/>
  <c r="CJ143" i="53"/>
  <c r="CJ140" i="53"/>
  <c r="CJ108" i="53"/>
  <c r="CJ189" i="53"/>
  <c r="CJ186" i="53"/>
  <c r="CJ104" i="53"/>
  <c r="CJ106" i="53"/>
  <c r="CJ102" i="53"/>
  <c r="CJ193" i="53"/>
  <c r="CJ153" i="53"/>
  <c r="CJ150" i="53"/>
  <c r="CJ107" i="53"/>
  <c r="CJ121" i="53"/>
  <c r="CJ7" i="53"/>
  <c r="CJ117" i="53"/>
  <c r="CJ114" i="53"/>
  <c r="CK6" i="53"/>
  <c r="CJ157" i="53"/>
  <c r="CG184" i="53"/>
  <c r="CG183" i="53"/>
  <c r="CG185" i="53" s="1"/>
  <c r="CG148" i="53"/>
  <c r="CG147" i="53"/>
  <c r="CH105" i="53"/>
  <c r="CH109" i="53" s="1"/>
  <c r="CH110" i="53"/>
  <c r="CF196" i="53"/>
  <c r="CF213" i="53"/>
  <c r="CF212" i="53"/>
  <c r="CF160" i="53"/>
  <c r="CA216" i="53"/>
  <c r="CA205" i="53"/>
  <c r="CB204" i="53"/>
  <c r="CC200" i="53" s="1"/>
  <c r="CB202" i="53"/>
  <c r="BZ217" i="53"/>
  <c r="BZ207" i="53"/>
  <c r="BZ219" i="53" s="1"/>
  <c r="BY219" i="53"/>
  <c r="CD168" i="53"/>
  <c r="CE164" i="53" s="1"/>
  <c r="CD166" i="53"/>
  <c r="CB170" i="53"/>
  <c r="CB171" i="53"/>
  <c r="CC197" i="52"/>
  <c r="CD197" i="52" s="1"/>
  <c r="CE197" i="52" s="1"/>
  <c r="CE214" i="52"/>
  <c r="CG196" i="52"/>
  <c r="CB170" i="52"/>
  <c r="CC170" i="52" s="1"/>
  <c r="CD170" i="52" s="1"/>
  <c r="CE170" i="52" s="1"/>
  <c r="CB171" i="52"/>
  <c r="CF184" i="52"/>
  <c r="CF183" i="52"/>
  <c r="CF148" i="52"/>
  <c r="CF147" i="52"/>
  <c r="CH178" i="52"/>
  <c r="CH109" i="52"/>
  <c r="CI126" i="52"/>
  <c r="CI119" i="52"/>
  <c r="CI116" i="52"/>
  <c r="CI123" i="52" s="1"/>
  <c r="CI198" i="52"/>
  <c r="CI199" i="52" s="1"/>
  <c r="CI201" i="52" s="1"/>
  <c r="CI191" i="52"/>
  <c r="CI188" i="52"/>
  <c r="CI195" i="52" s="1"/>
  <c r="CJ187" i="52"/>
  <c r="CJ192" i="52"/>
  <c r="CJ190" i="52"/>
  <c r="CJ115" i="52"/>
  <c r="CJ118" i="52"/>
  <c r="CJ120" i="52"/>
  <c r="CJ154" i="52"/>
  <c r="CJ156" i="52"/>
  <c r="CJ151" i="52"/>
  <c r="CK107" i="52"/>
  <c r="CK180" i="52"/>
  <c r="CK104" i="52"/>
  <c r="CK167" i="52"/>
  <c r="CK102" i="52"/>
  <c r="CK103" i="52" s="1"/>
  <c r="CK203" i="52"/>
  <c r="CK140" i="52"/>
  <c r="CK144" i="52"/>
  <c r="CK108" i="52"/>
  <c r="CK7" i="52"/>
  <c r="CK106" i="52"/>
  <c r="CK142" i="52"/>
  <c r="CK193" i="52"/>
  <c r="CK114" i="52"/>
  <c r="CK189" i="52"/>
  <c r="CK186" i="52"/>
  <c r="CK179" i="52"/>
  <c r="CK174" i="52"/>
  <c r="CK175" i="52" s="1"/>
  <c r="CK176" i="52" s="1"/>
  <c r="CK143" i="52"/>
  <c r="CK127" i="52"/>
  <c r="CK129" i="52" s="1"/>
  <c r="CK157" i="52"/>
  <c r="CL6" i="52"/>
  <c r="CK117" i="52"/>
  <c r="CK121" i="52"/>
  <c r="CK138" i="52"/>
  <c r="CK139" i="52" s="1"/>
  <c r="CK150" i="52"/>
  <c r="CK153" i="52"/>
  <c r="CK131" i="52"/>
  <c r="CI162" i="52"/>
  <c r="CI163" i="52" s="1"/>
  <c r="CI165" i="52" s="1"/>
  <c r="CI155" i="52"/>
  <c r="CI152" i="52"/>
  <c r="CI159" i="52" s="1"/>
  <c r="CD132" i="52"/>
  <c r="CE128" i="52" s="1"/>
  <c r="CD130" i="52"/>
  <c r="CC133" i="52"/>
  <c r="CB135" i="52"/>
  <c r="BZ206" i="52"/>
  <c r="BZ217" i="52"/>
  <c r="BZ207" i="52"/>
  <c r="BZ219" i="52" s="1"/>
  <c r="CB204" i="52"/>
  <c r="CC200" i="52" s="1"/>
  <c r="CB202" i="52"/>
  <c r="CA216" i="52"/>
  <c r="CA205" i="52"/>
  <c r="BY219" i="52"/>
  <c r="CF124" i="52"/>
  <c r="CG213" i="52"/>
  <c r="CI176" i="52"/>
  <c r="CI177" i="52"/>
  <c r="CI182" i="52"/>
  <c r="CI105" i="52"/>
  <c r="CI210" i="52"/>
  <c r="CI110" i="52"/>
  <c r="CI146" i="52"/>
  <c r="CI141" i="52"/>
  <c r="CG160" i="52"/>
  <c r="CH145" i="52"/>
  <c r="CJ175" i="52"/>
  <c r="CJ103" i="52"/>
  <c r="CJ139" i="52"/>
  <c r="CD135" i="53"/>
  <c r="CF130" i="53"/>
  <c r="CF132" i="53"/>
  <c r="CG128" i="53" s="1"/>
  <c r="CG166" i="52"/>
  <c r="CG168" i="52"/>
  <c r="CH164" i="52" s="1"/>
  <c r="CH66" i="51"/>
  <c r="CD105" i="51"/>
  <c r="CC107" i="51"/>
  <c r="CC108" i="51"/>
  <c r="CJ6" i="51"/>
  <c r="CI7" i="51"/>
  <c r="CI65" i="51"/>
  <c r="CI68" i="51"/>
  <c r="CI70" i="51"/>
  <c r="CI72" i="51"/>
  <c r="CI73" i="51"/>
  <c r="CI99" i="51"/>
  <c r="CI101" i="51" s="1"/>
  <c r="CI64" i="51"/>
  <c r="CI74" i="51"/>
  <c r="CI79" i="51" s="1"/>
  <c r="CI81" i="51"/>
  <c r="CI82" i="51" s="1"/>
  <c r="CI85" i="51"/>
  <c r="CI86" i="51"/>
  <c r="CI87" i="51"/>
  <c r="CI88" i="51"/>
  <c r="CI89" i="51"/>
  <c r="CI90" i="51"/>
  <c r="CI91" i="51"/>
  <c r="CI92" i="51"/>
  <c r="CI93" i="51"/>
  <c r="CI94" i="51"/>
  <c r="CI103" i="51"/>
  <c r="CH67" i="51"/>
  <c r="CH69" i="51"/>
  <c r="CH83" i="51"/>
  <c r="CH84" i="51"/>
  <c r="CG71" i="51"/>
  <c r="CG76" i="51"/>
  <c r="CG98" i="51"/>
  <c r="CG95" i="51"/>
  <c r="CE102" i="51"/>
  <c r="CE104" i="51"/>
  <c r="CF100" i="51" s="1"/>
  <c r="CE78" i="51"/>
  <c r="CE77" i="51"/>
  <c r="CE80" i="51" s="1"/>
  <c r="CE96" i="51" s="1"/>
  <c r="CE105" i="51" s="1"/>
  <c r="CF75" i="51"/>
  <c r="CH195" i="53" l="1"/>
  <c r="CG149" i="53"/>
  <c r="CK194" i="53"/>
  <c r="CK158" i="53"/>
  <c r="CK122" i="53"/>
  <c r="CL194" i="52"/>
  <c r="CL158" i="52"/>
  <c r="CL122" i="52"/>
  <c r="CG214" i="52"/>
  <c r="CG160" i="53"/>
  <c r="CE197" i="53"/>
  <c r="CE214" i="53"/>
  <c r="CG112" i="53"/>
  <c r="CG111" i="53"/>
  <c r="CG113" i="53" s="1"/>
  <c r="CG211" i="53"/>
  <c r="CI178" i="53"/>
  <c r="CI181" i="53" s="1"/>
  <c r="CH178" i="53"/>
  <c r="CH181" i="53" s="1"/>
  <c r="CH145" i="53"/>
  <c r="CH211" i="53" s="1"/>
  <c r="CI147" i="53"/>
  <c r="CI148" i="53"/>
  <c r="CI198" i="53"/>
  <c r="CI199" i="53" s="1"/>
  <c r="CI201" i="53" s="1"/>
  <c r="CI188" i="53"/>
  <c r="CI191" i="53"/>
  <c r="CI162" i="53"/>
  <c r="CI163" i="53" s="1"/>
  <c r="CI165" i="53" s="1"/>
  <c r="CI155" i="53"/>
  <c r="CI152" i="53"/>
  <c r="CI159" i="53" s="1"/>
  <c r="CI126" i="53"/>
  <c r="CI119" i="53"/>
  <c r="CI116" i="53"/>
  <c r="CJ175" i="53"/>
  <c r="CJ139" i="53"/>
  <c r="CJ187" i="53"/>
  <c r="CJ192" i="53"/>
  <c r="CJ190" i="53"/>
  <c r="CJ103" i="53"/>
  <c r="CJ156" i="53"/>
  <c r="CJ154" i="53"/>
  <c r="CJ151" i="53"/>
  <c r="CJ120" i="53"/>
  <c r="CJ118" i="53"/>
  <c r="CJ115" i="53"/>
  <c r="CK203" i="53"/>
  <c r="CK180" i="53"/>
  <c r="CK167" i="53"/>
  <c r="CK144" i="53"/>
  <c r="CK131" i="53"/>
  <c r="CK127" i="53"/>
  <c r="CK129" i="53" s="1"/>
  <c r="CK179" i="53"/>
  <c r="CK174" i="53"/>
  <c r="CK186" i="53"/>
  <c r="CK189" i="53"/>
  <c r="CK138" i="53"/>
  <c r="CK143" i="53"/>
  <c r="CK140" i="53"/>
  <c r="CK142" i="53"/>
  <c r="CK108" i="53"/>
  <c r="CK104" i="53"/>
  <c r="CK106" i="53"/>
  <c r="CK102" i="53"/>
  <c r="CK193" i="53"/>
  <c r="CK150" i="53"/>
  <c r="CK153" i="53"/>
  <c r="CK107" i="53"/>
  <c r="CK117" i="53"/>
  <c r="CK7" i="53"/>
  <c r="CK114" i="53"/>
  <c r="CK121" i="53"/>
  <c r="CK157" i="53"/>
  <c r="CL6" i="53"/>
  <c r="CH111" i="53"/>
  <c r="CH112" i="53"/>
  <c r="CH113" i="53"/>
  <c r="CG213" i="53"/>
  <c r="CF214" i="53"/>
  <c r="CI109" i="53"/>
  <c r="CG196" i="53"/>
  <c r="CA217" i="53"/>
  <c r="CA206" i="53"/>
  <c r="CA207" i="53"/>
  <c r="CC204" i="53"/>
  <c r="CD200" i="53" s="1"/>
  <c r="CC202" i="53"/>
  <c r="CB216" i="53"/>
  <c r="CB205" i="53"/>
  <c r="CE166" i="53"/>
  <c r="CE168" i="53"/>
  <c r="CF164" i="53" s="1"/>
  <c r="CD169" i="53"/>
  <c r="CH213" i="52"/>
  <c r="CF185" i="52"/>
  <c r="CF149" i="52"/>
  <c r="CH181" i="52"/>
  <c r="CH211" i="52" s="1"/>
  <c r="CH112" i="52"/>
  <c r="CH111" i="52"/>
  <c r="CJ198" i="52"/>
  <c r="CJ199" i="52" s="1"/>
  <c r="CJ201" i="52" s="1"/>
  <c r="CJ191" i="52"/>
  <c r="CJ188" i="52"/>
  <c r="CJ195" i="52" s="1"/>
  <c r="CJ126" i="52"/>
  <c r="CJ116" i="52"/>
  <c r="CJ119" i="52"/>
  <c r="CJ162" i="52"/>
  <c r="CJ163" i="52" s="1"/>
  <c r="CJ165" i="52" s="1"/>
  <c r="CJ155" i="52"/>
  <c r="CJ152" i="52"/>
  <c r="CJ159" i="52" s="1"/>
  <c r="CK210" i="52"/>
  <c r="CK105" i="52"/>
  <c r="CK109" i="52" s="1"/>
  <c r="CK110" i="52"/>
  <c r="CK118" i="52"/>
  <c r="CK120" i="52"/>
  <c r="CK115" i="52"/>
  <c r="CK190" i="52"/>
  <c r="CK187" i="52"/>
  <c r="CK192" i="52"/>
  <c r="CK182" i="52"/>
  <c r="CK177" i="52"/>
  <c r="CL7" i="52"/>
  <c r="CL144" i="52"/>
  <c r="CL142" i="52"/>
  <c r="CL193" i="52"/>
  <c r="CL114" i="52"/>
  <c r="CL140" i="52"/>
  <c r="CL186" i="52"/>
  <c r="CL203" i="52"/>
  <c r="CL102" i="52"/>
  <c r="CL189" i="52"/>
  <c r="CL180" i="52"/>
  <c r="CL179" i="52"/>
  <c r="CL104" i="52"/>
  <c r="CL174" i="52"/>
  <c r="CL143" i="52"/>
  <c r="CL108" i="52"/>
  <c r="CL107" i="52"/>
  <c r="CL167" i="52"/>
  <c r="CL106" i="52"/>
  <c r="CL117" i="52"/>
  <c r="CL121" i="52"/>
  <c r="CL138" i="52"/>
  <c r="CL150" i="52"/>
  <c r="CL153" i="52"/>
  <c r="CL157" i="52"/>
  <c r="CM6" i="52"/>
  <c r="CL127" i="52"/>
  <c r="CL129" i="52" s="1"/>
  <c r="CL131" i="52"/>
  <c r="CK141" i="52"/>
  <c r="CK145" i="52" s="1"/>
  <c r="CK146" i="52"/>
  <c r="CK154" i="52"/>
  <c r="CK156" i="52"/>
  <c r="CK151" i="52"/>
  <c r="CE132" i="52"/>
  <c r="CF128" i="52" s="1"/>
  <c r="CE130" i="52"/>
  <c r="CD133" i="52"/>
  <c r="CC135" i="52"/>
  <c r="CC204" i="52"/>
  <c r="CD200" i="52" s="1"/>
  <c r="CC202" i="52"/>
  <c r="CB216" i="52"/>
  <c r="CB205" i="52"/>
  <c r="CA217" i="52"/>
  <c r="CA207" i="52"/>
  <c r="CH147" i="52"/>
  <c r="CH148" i="52"/>
  <c r="CJ177" i="52"/>
  <c r="CJ182" i="52"/>
  <c r="CJ176" i="52"/>
  <c r="CJ110" i="52"/>
  <c r="CJ210" i="52"/>
  <c r="CJ105" i="52"/>
  <c r="CJ141" i="52"/>
  <c r="CJ146" i="52"/>
  <c r="CA206" i="52"/>
  <c r="CI178" i="52"/>
  <c r="CI181" i="52" s="1"/>
  <c r="CI109" i="52"/>
  <c r="CF133" i="53"/>
  <c r="CG130" i="53"/>
  <c r="CG132" i="53"/>
  <c r="CH128" i="53" s="1"/>
  <c r="CE135" i="53"/>
  <c r="CH166" i="52"/>
  <c r="CH168" i="52"/>
  <c r="CI164" i="52" s="1"/>
  <c r="CG169" i="52"/>
  <c r="CG171" i="52" s="1"/>
  <c r="CD107" i="51"/>
  <c r="CD108" i="51"/>
  <c r="CK6" i="51"/>
  <c r="CJ99" i="51"/>
  <c r="CJ101" i="51" s="1"/>
  <c r="CJ64" i="51"/>
  <c r="CJ65" i="51"/>
  <c r="CJ68" i="51"/>
  <c r="CJ70" i="51"/>
  <c r="CJ72" i="51"/>
  <c r="CJ73" i="51"/>
  <c r="CJ7" i="51"/>
  <c r="CJ74" i="51"/>
  <c r="CJ79" i="51" s="1"/>
  <c r="CJ81" i="51"/>
  <c r="CJ82" i="51" s="1"/>
  <c r="CJ85" i="51"/>
  <c r="CJ86" i="51"/>
  <c r="CJ87" i="51"/>
  <c r="CJ88" i="51"/>
  <c r="CJ89" i="51"/>
  <c r="CJ90" i="51"/>
  <c r="CJ91" i="51"/>
  <c r="CJ92" i="51"/>
  <c r="CJ93" i="51"/>
  <c r="CJ94" i="51"/>
  <c r="CJ103" i="51"/>
  <c r="CI66" i="51"/>
  <c r="CI67" i="51"/>
  <c r="CI69" i="51"/>
  <c r="CI83" i="51"/>
  <c r="CI84" i="51"/>
  <c r="CH71" i="51"/>
  <c r="CH75" i="51" s="1"/>
  <c r="CH76" i="51"/>
  <c r="CH98" i="51"/>
  <c r="CH95" i="51"/>
  <c r="CF102" i="51"/>
  <c r="CF104" i="51"/>
  <c r="CG100" i="51" s="1"/>
  <c r="CE107" i="51"/>
  <c r="CE108" i="51"/>
  <c r="CF78" i="51"/>
  <c r="CF77" i="51"/>
  <c r="CG75" i="51"/>
  <c r="CI195" i="53" l="1"/>
  <c r="CI123" i="53"/>
  <c r="CL194" i="53"/>
  <c r="CL158" i="53"/>
  <c r="CL122" i="53"/>
  <c r="CJ123" i="52"/>
  <c r="CM194" i="52"/>
  <c r="CM158" i="52"/>
  <c r="CM122" i="52"/>
  <c r="CH113" i="52"/>
  <c r="CH124" i="52" s="1"/>
  <c r="CF197" i="53"/>
  <c r="CG212" i="53"/>
  <c r="CG124" i="53"/>
  <c r="CI183" i="53"/>
  <c r="CI184" i="53"/>
  <c r="CI185" i="53"/>
  <c r="CH183" i="53"/>
  <c r="CH184" i="53"/>
  <c r="CH185" i="53" s="1"/>
  <c r="CH147" i="53"/>
  <c r="CH148" i="53"/>
  <c r="CJ176" i="53"/>
  <c r="CJ177" i="53"/>
  <c r="CJ182" i="53"/>
  <c r="CJ141" i="53"/>
  <c r="CJ146" i="53"/>
  <c r="CJ198" i="53"/>
  <c r="CJ199" i="53" s="1"/>
  <c r="CJ201" i="53" s="1"/>
  <c r="CJ188" i="53"/>
  <c r="CJ195" i="53" s="1"/>
  <c r="CJ191" i="53"/>
  <c r="CJ210" i="53"/>
  <c r="CJ105" i="53"/>
  <c r="CJ110" i="53"/>
  <c r="CJ162" i="53"/>
  <c r="CJ163" i="53" s="1"/>
  <c r="CJ165" i="53" s="1"/>
  <c r="CJ155" i="53"/>
  <c r="CJ152" i="53"/>
  <c r="CJ159" i="53" s="1"/>
  <c r="CJ126" i="53"/>
  <c r="CJ119" i="53"/>
  <c r="CJ116" i="53"/>
  <c r="CJ123" i="53" s="1"/>
  <c r="CK190" i="53"/>
  <c r="CK187" i="53"/>
  <c r="CK192" i="53"/>
  <c r="CK156" i="53"/>
  <c r="CK154" i="53"/>
  <c r="CK151" i="53"/>
  <c r="CK120" i="53"/>
  <c r="CK118" i="53"/>
  <c r="CK115" i="53"/>
  <c r="CL203" i="53"/>
  <c r="CL180" i="53"/>
  <c r="CL167" i="53"/>
  <c r="CL144" i="53"/>
  <c r="CL131" i="53"/>
  <c r="CL127" i="53"/>
  <c r="CL129" i="53" s="1"/>
  <c r="CL179" i="53"/>
  <c r="CL174" i="53"/>
  <c r="CL108" i="53"/>
  <c r="CL189" i="53"/>
  <c r="CL143" i="53"/>
  <c r="CL138" i="53"/>
  <c r="CL142" i="53"/>
  <c r="CL140" i="53"/>
  <c r="CL186" i="53"/>
  <c r="CL107" i="53"/>
  <c r="CL104" i="53"/>
  <c r="CL106" i="53"/>
  <c r="CL102" i="53"/>
  <c r="CL193" i="53"/>
  <c r="CL153" i="53"/>
  <c r="CL150" i="53"/>
  <c r="CL7" i="53"/>
  <c r="CL117" i="53"/>
  <c r="CL114" i="53"/>
  <c r="CL121" i="53"/>
  <c r="CL157" i="53"/>
  <c r="CM6" i="53"/>
  <c r="CH124" i="53"/>
  <c r="CI211" i="53"/>
  <c r="CI111" i="53"/>
  <c r="CI112" i="53"/>
  <c r="CH213" i="53"/>
  <c r="CI149" i="53"/>
  <c r="CI160" i="53" s="1"/>
  <c r="CK175" i="53"/>
  <c r="CK139" i="53"/>
  <c r="CK103" i="53"/>
  <c r="CA219" i="53"/>
  <c r="CD204" i="53"/>
  <c r="CE200" i="53" s="1"/>
  <c r="CD202" i="53"/>
  <c r="CC216" i="53"/>
  <c r="CC205" i="53"/>
  <c r="CB217" i="53"/>
  <c r="CB207" i="53"/>
  <c r="CE169" i="53"/>
  <c r="CF168" i="53"/>
  <c r="CG164" i="53" s="1"/>
  <c r="CF166" i="53"/>
  <c r="CD171" i="53"/>
  <c r="CB206" i="53"/>
  <c r="CF196" i="52"/>
  <c r="CF212" i="52"/>
  <c r="CF160" i="52"/>
  <c r="CH184" i="52"/>
  <c r="CH183" i="52"/>
  <c r="CK112" i="52"/>
  <c r="CK111" i="52"/>
  <c r="CK113" i="52" s="1"/>
  <c r="CK126" i="52"/>
  <c r="CK119" i="52"/>
  <c r="CK116" i="52"/>
  <c r="CK123" i="52" s="1"/>
  <c r="CK198" i="52"/>
  <c r="CK199" i="52" s="1"/>
  <c r="CK201" i="52" s="1"/>
  <c r="CK191" i="52"/>
  <c r="CK188" i="52"/>
  <c r="CK195" i="52" s="1"/>
  <c r="CL120" i="52"/>
  <c r="CL118" i="52"/>
  <c r="CL115" i="52"/>
  <c r="CL192" i="52"/>
  <c r="CL190" i="52"/>
  <c r="CL187" i="52"/>
  <c r="CL103" i="52"/>
  <c r="CL175" i="52"/>
  <c r="CL139" i="52"/>
  <c r="CL154" i="52"/>
  <c r="CL156" i="52"/>
  <c r="CL151" i="52"/>
  <c r="CM107" i="52"/>
  <c r="CM167" i="52"/>
  <c r="CM142" i="52"/>
  <c r="CM180" i="52"/>
  <c r="CM104" i="52"/>
  <c r="CM7" i="52"/>
  <c r="CM102" i="52"/>
  <c r="CM143" i="52"/>
  <c r="CM144" i="52"/>
  <c r="CM174" i="52"/>
  <c r="CM189" i="52"/>
  <c r="CM203" i="52"/>
  <c r="CM140" i="52"/>
  <c r="CM193" i="52"/>
  <c r="CM186" i="52"/>
  <c r="CM114" i="52"/>
  <c r="CM108" i="52"/>
  <c r="CM179" i="52"/>
  <c r="CM106" i="52"/>
  <c r="CM131" i="52"/>
  <c r="CM157" i="52"/>
  <c r="CN6" i="52"/>
  <c r="CM117" i="52"/>
  <c r="CM121" i="52"/>
  <c r="CM138" i="52"/>
  <c r="CM150" i="52"/>
  <c r="CM153" i="52"/>
  <c r="CM127" i="52"/>
  <c r="CM129" i="52" s="1"/>
  <c r="CK147" i="52"/>
  <c r="CK148" i="52"/>
  <c r="CK162" i="52"/>
  <c r="CK163" i="52" s="1"/>
  <c r="CK165" i="52" s="1"/>
  <c r="CK155" i="52"/>
  <c r="CK152" i="52"/>
  <c r="CK159" i="52" s="1"/>
  <c r="CI213" i="52"/>
  <c r="CF132" i="52"/>
  <c r="CG128" i="52" s="1"/>
  <c r="CF130" i="52"/>
  <c r="CE133" i="52"/>
  <c r="CD135" i="52"/>
  <c r="CD204" i="52"/>
  <c r="CE200" i="52" s="1"/>
  <c r="CD202" i="52"/>
  <c r="CC216" i="52"/>
  <c r="CC205" i="52"/>
  <c r="CB217" i="52"/>
  <c r="CB207" i="52"/>
  <c r="CB219" i="52" s="1"/>
  <c r="CA219" i="52"/>
  <c r="CI183" i="52"/>
  <c r="CI184" i="52"/>
  <c r="CI111" i="52"/>
  <c r="CI112" i="52"/>
  <c r="CI113" i="52" s="1"/>
  <c r="CH149" i="52"/>
  <c r="CB206" i="52"/>
  <c r="CJ178" i="52"/>
  <c r="CJ181" i="52" s="1"/>
  <c r="CK178" i="52"/>
  <c r="CJ109" i="52"/>
  <c r="CJ145" i="52"/>
  <c r="CF135" i="53"/>
  <c r="CH130" i="53"/>
  <c r="CH132" i="53"/>
  <c r="CI128" i="53" s="1"/>
  <c r="CI166" i="52"/>
  <c r="CI168" i="52"/>
  <c r="CJ164" i="52" s="1"/>
  <c r="CJ66" i="51"/>
  <c r="CF80" i="51"/>
  <c r="CF96" i="51" s="1"/>
  <c r="CF105" i="51" s="1"/>
  <c r="CL6" i="51"/>
  <c r="CK7" i="51"/>
  <c r="CK65" i="51"/>
  <c r="CK68" i="51"/>
  <c r="CK70" i="51"/>
  <c r="CK72" i="51"/>
  <c r="CK73" i="51"/>
  <c r="CK64" i="51"/>
  <c r="CK74" i="51"/>
  <c r="CK79" i="51" s="1"/>
  <c r="CK81" i="51"/>
  <c r="CK82" i="51" s="1"/>
  <c r="CK85" i="51"/>
  <c r="CK86" i="51"/>
  <c r="CK87" i="51"/>
  <c r="CK88" i="51"/>
  <c r="CK89" i="51"/>
  <c r="CK90" i="51"/>
  <c r="CK91" i="51"/>
  <c r="CK92" i="51"/>
  <c r="CK93" i="51"/>
  <c r="CK94" i="51"/>
  <c r="CK99" i="51"/>
  <c r="CK101" i="51" s="1"/>
  <c r="CK103" i="51"/>
  <c r="CJ67" i="51"/>
  <c r="CJ69" i="51"/>
  <c r="CJ83" i="51"/>
  <c r="CJ84" i="51"/>
  <c r="CI71" i="51"/>
  <c r="CI76" i="51"/>
  <c r="CI98" i="51"/>
  <c r="CI95" i="51"/>
  <c r="CH77" i="51"/>
  <c r="CH78" i="51"/>
  <c r="CH80" i="51" s="1"/>
  <c r="CH96" i="51" s="1"/>
  <c r="CG102" i="51"/>
  <c r="CG104" i="51"/>
  <c r="CH100" i="51" s="1"/>
  <c r="CG78" i="51"/>
  <c r="CG77" i="51"/>
  <c r="CG80" i="51" s="1"/>
  <c r="CG96" i="51" s="1"/>
  <c r="CM194" i="53" l="1"/>
  <c r="CM158" i="53"/>
  <c r="CM122" i="53"/>
  <c r="CN194" i="52"/>
  <c r="CN158" i="52"/>
  <c r="CN122" i="52"/>
  <c r="CK149" i="52"/>
  <c r="CI185" i="52"/>
  <c r="CI196" i="52" s="1"/>
  <c r="CG214" i="53"/>
  <c r="CG133" i="53"/>
  <c r="CG135" i="53" s="1"/>
  <c r="CI196" i="53"/>
  <c r="CH196" i="53"/>
  <c r="CJ178" i="53"/>
  <c r="CJ181" i="53" s="1"/>
  <c r="CJ145" i="53"/>
  <c r="CJ109" i="53"/>
  <c r="CK198" i="53"/>
  <c r="CK199" i="53" s="1"/>
  <c r="CK201" i="53" s="1"/>
  <c r="CK188" i="53"/>
  <c r="CK191" i="53"/>
  <c r="CK162" i="53"/>
  <c r="CK163" i="53" s="1"/>
  <c r="CK165" i="53" s="1"/>
  <c r="CK155" i="53"/>
  <c r="CK152" i="53"/>
  <c r="CK159" i="53" s="1"/>
  <c r="CK126" i="53"/>
  <c r="CK119" i="53"/>
  <c r="CK116" i="53"/>
  <c r="CK123" i="53" s="1"/>
  <c r="CL192" i="53"/>
  <c r="CL187" i="53"/>
  <c r="CL190" i="53"/>
  <c r="CL156" i="53"/>
  <c r="CL154" i="53"/>
  <c r="CL151" i="53"/>
  <c r="CL120" i="53"/>
  <c r="CL118" i="53"/>
  <c r="CL115" i="53"/>
  <c r="CM203" i="53"/>
  <c r="CM180" i="53"/>
  <c r="CM167" i="53"/>
  <c r="CM144" i="53"/>
  <c r="CM131" i="53"/>
  <c r="CM127" i="53"/>
  <c r="CM129" i="53" s="1"/>
  <c r="CM179" i="53"/>
  <c r="CM174" i="53"/>
  <c r="CM175" i="53" s="1"/>
  <c r="CM176" i="53" s="1"/>
  <c r="CM108" i="53"/>
  <c r="CM186" i="53"/>
  <c r="CM138" i="53"/>
  <c r="CM139" i="53" s="1"/>
  <c r="CM142" i="53"/>
  <c r="CM143" i="53"/>
  <c r="CM140" i="53"/>
  <c r="CM189" i="53"/>
  <c r="CM106" i="53"/>
  <c r="CM102" i="53"/>
  <c r="CM103" i="53" s="1"/>
  <c r="CM193" i="53"/>
  <c r="CM153" i="53"/>
  <c r="CM150" i="53"/>
  <c r="CM104" i="53"/>
  <c r="CM107" i="53"/>
  <c r="CM121" i="53"/>
  <c r="CM114" i="53"/>
  <c r="CM7" i="53"/>
  <c r="CM117" i="53"/>
  <c r="CM157" i="53"/>
  <c r="CN6" i="53"/>
  <c r="CI213" i="53"/>
  <c r="CK210" i="53"/>
  <c r="CK182" i="53"/>
  <c r="CK177" i="53"/>
  <c r="CK176" i="53"/>
  <c r="CK146" i="53"/>
  <c r="CK141" i="53"/>
  <c r="CK105" i="53"/>
  <c r="CK110" i="53"/>
  <c r="CH149" i="53"/>
  <c r="CI113" i="53"/>
  <c r="CG197" i="53"/>
  <c r="CL175" i="53"/>
  <c r="CL139" i="53"/>
  <c r="CL103" i="53"/>
  <c r="CE204" i="53"/>
  <c r="CF200" i="53" s="1"/>
  <c r="CE202" i="53"/>
  <c r="CD216" i="53"/>
  <c r="CD205" i="53"/>
  <c r="CC207" i="53"/>
  <c r="CE171" i="53"/>
  <c r="CG168" i="53"/>
  <c r="CH164" i="53" s="1"/>
  <c r="CG166" i="53"/>
  <c r="CF169" i="53"/>
  <c r="CC206" i="53"/>
  <c r="CD206" i="53" s="1"/>
  <c r="CB219" i="53"/>
  <c r="CF197" i="52"/>
  <c r="CG197" i="52" s="1"/>
  <c r="CF214" i="52"/>
  <c r="CF169" i="52"/>
  <c r="CF161" i="52"/>
  <c r="CG161" i="52" s="1"/>
  <c r="CH185" i="52"/>
  <c r="CJ213" i="52"/>
  <c r="CK124" i="52"/>
  <c r="CL126" i="52"/>
  <c r="CL116" i="52"/>
  <c r="CL119" i="52"/>
  <c r="CL198" i="52"/>
  <c r="CL199" i="52" s="1"/>
  <c r="CL201" i="52" s="1"/>
  <c r="CL191" i="52"/>
  <c r="CL188" i="52"/>
  <c r="CL195" i="52" s="1"/>
  <c r="CL210" i="52"/>
  <c r="CL110" i="52"/>
  <c r="CL105" i="52"/>
  <c r="CL176" i="52"/>
  <c r="CL182" i="52"/>
  <c r="CL177" i="52"/>
  <c r="CL141" i="52"/>
  <c r="CL146" i="52"/>
  <c r="CL162" i="52"/>
  <c r="CL163" i="52" s="1"/>
  <c r="CL165" i="52" s="1"/>
  <c r="CL155" i="52"/>
  <c r="CL152" i="52"/>
  <c r="CL159" i="52" s="1"/>
  <c r="CM192" i="52"/>
  <c r="CM190" i="52"/>
  <c r="CM187" i="52"/>
  <c r="CM115" i="52"/>
  <c r="CM120" i="52"/>
  <c r="CM118" i="52"/>
  <c r="CN106" i="52"/>
  <c r="CN7" i="52"/>
  <c r="CN203" i="52"/>
  <c r="CN107" i="52"/>
  <c r="CN140" i="52"/>
  <c r="CN104" i="52"/>
  <c r="CN193" i="52"/>
  <c r="CN108" i="52"/>
  <c r="CN186" i="52"/>
  <c r="CN179" i="52"/>
  <c r="CN114" i="52"/>
  <c r="CN174" i="52"/>
  <c r="CN143" i="52"/>
  <c r="CN189" i="52"/>
  <c r="CN144" i="52"/>
  <c r="CN180" i="52"/>
  <c r="CN142" i="52"/>
  <c r="CN167" i="52"/>
  <c r="CN102" i="52"/>
  <c r="CN117" i="52"/>
  <c r="CN121" i="52"/>
  <c r="CN138" i="52"/>
  <c r="CN150" i="52"/>
  <c r="CN153" i="52"/>
  <c r="CN127" i="52"/>
  <c r="CN129" i="52" s="1"/>
  <c r="CN131" i="52"/>
  <c r="CN157" i="52"/>
  <c r="CO6" i="52"/>
  <c r="CM151" i="52"/>
  <c r="CM156" i="52"/>
  <c r="CM154" i="52"/>
  <c r="CG132" i="52"/>
  <c r="CH128" i="52" s="1"/>
  <c r="CG130" i="52"/>
  <c r="CF133" i="52"/>
  <c r="CE135" i="52"/>
  <c r="CE204" i="52"/>
  <c r="CF200" i="52" s="1"/>
  <c r="CE202" i="52"/>
  <c r="CD216" i="52"/>
  <c r="CD205" i="52"/>
  <c r="CC217" i="52"/>
  <c r="CC207" i="52"/>
  <c r="CI124" i="52"/>
  <c r="CJ184" i="52"/>
  <c r="CJ183" i="52"/>
  <c r="CK181" i="52"/>
  <c r="CJ111" i="52"/>
  <c r="CJ112" i="52"/>
  <c r="CJ211" i="52"/>
  <c r="CJ148" i="52"/>
  <c r="CJ147" i="52"/>
  <c r="CC206" i="52"/>
  <c r="CM103" i="52"/>
  <c r="CM175" i="52"/>
  <c r="CM139" i="52"/>
  <c r="CH160" i="52"/>
  <c r="CH212" i="52"/>
  <c r="CH133" i="53"/>
  <c r="CI132" i="53"/>
  <c r="CJ128" i="53" s="1"/>
  <c r="CI130" i="53"/>
  <c r="CJ166" i="52"/>
  <c r="CJ168" i="52"/>
  <c r="CK164" i="52" s="1"/>
  <c r="CG105" i="51"/>
  <c r="CF107" i="51"/>
  <c r="CF108" i="51"/>
  <c r="CM6" i="51"/>
  <c r="CL7" i="51"/>
  <c r="CL64" i="51"/>
  <c r="CL65" i="51"/>
  <c r="CL68" i="51"/>
  <c r="CL70" i="51"/>
  <c r="CL72" i="51"/>
  <c r="CL73" i="51"/>
  <c r="CL74" i="51"/>
  <c r="CL79" i="51" s="1"/>
  <c r="CL81" i="51"/>
  <c r="CL82" i="51" s="1"/>
  <c r="CL85" i="51"/>
  <c r="CL99" i="51"/>
  <c r="CL101" i="51" s="1"/>
  <c r="CL86" i="51"/>
  <c r="CL87" i="51"/>
  <c r="CL88" i="51"/>
  <c r="CL89" i="51"/>
  <c r="CL90" i="51"/>
  <c r="CL91" i="51"/>
  <c r="CL92" i="51"/>
  <c r="CL93" i="51"/>
  <c r="CL94" i="51"/>
  <c r="CL103" i="51"/>
  <c r="CK66" i="51"/>
  <c r="CK67" i="51"/>
  <c r="CK69" i="51"/>
  <c r="CK83" i="51"/>
  <c r="CK84" i="51"/>
  <c r="CJ71" i="51"/>
  <c r="CJ75" i="51" s="1"/>
  <c r="CJ76" i="51"/>
  <c r="CJ98" i="51"/>
  <c r="CJ95" i="51"/>
  <c r="CI75" i="51"/>
  <c r="CH102" i="51"/>
  <c r="CH104" i="51"/>
  <c r="CI100" i="51" s="1"/>
  <c r="CK195" i="53" l="1"/>
  <c r="CN194" i="53"/>
  <c r="CN158" i="53"/>
  <c r="CN122" i="53"/>
  <c r="CL123" i="52"/>
  <c r="CL213" i="52" s="1"/>
  <c r="CJ113" i="52"/>
  <c r="CO194" i="52"/>
  <c r="CO158" i="52"/>
  <c r="CO122" i="52"/>
  <c r="CK160" i="52"/>
  <c r="CJ149" i="52"/>
  <c r="CJ160" i="52" s="1"/>
  <c r="CJ169" i="52" s="1"/>
  <c r="CJ171" i="52" s="1"/>
  <c r="CH197" i="53"/>
  <c r="CJ183" i="53"/>
  <c r="CJ184" i="53"/>
  <c r="CJ185" i="53" s="1"/>
  <c r="CJ148" i="53"/>
  <c r="CJ147" i="53"/>
  <c r="CJ149" i="53" s="1"/>
  <c r="CJ160" i="53" s="1"/>
  <c r="CJ112" i="53"/>
  <c r="CJ111" i="53"/>
  <c r="CJ113" i="53" s="1"/>
  <c r="CJ211" i="53"/>
  <c r="CL198" i="53"/>
  <c r="CL199" i="53" s="1"/>
  <c r="CL201" i="53" s="1"/>
  <c r="CL188" i="53"/>
  <c r="CL195" i="53" s="1"/>
  <c r="CL191" i="53"/>
  <c r="CL162" i="53"/>
  <c r="CL163" i="53" s="1"/>
  <c r="CL165" i="53" s="1"/>
  <c r="CL155" i="53"/>
  <c r="CL152" i="53"/>
  <c r="CL159" i="53" s="1"/>
  <c r="CL126" i="53"/>
  <c r="CL119" i="53"/>
  <c r="CL116" i="53"/>
  <c r="CL123" i="53" s="1"/>
  <c r="CM177" i="53"/>
  <c r="CM182" i="53"/>
  <c r="CM210" i="53"/>
  <c r="CM190" i="53"/>
  <c r="CM192" i="53"/>
  <c r="CM187" i="53"/>
  <c r="CM141" i="53"/>
  <c r="CM145" i="53" s="1"/>
  <c r="CM146" i="53"/>
  <c r="CM110" i="53"/>
  <c r="CM105" i="53"/>
  <c r="CM109" i="53" s="1"/>
  <c r="CM156" i="53"/>
  <c r="CM154" i="53"/>
  <c r="CM151" i="53"/>
  <c r="CM120" i="53"/>
  <c r="CM118" i="53"/>
  <c r="CM115" i="53"/>
  <c r="CN203" i="53"/>
  <c r="CN180" i="53"/>
  <c r="CN163" i="53"/>
  <c r="CN127" i="53"/>
  <c r="CN129" i="53" s="1"/>
  <c r="CN131" i="53"/>
  <c r="CN179" i="53"/>
  <c r="CN174" i="53"/>
  <c r="CN189" i="53"/>
  <c r="CN186" i="53"/>
  <c r="CN138" i="53"/>
  <c r="CN142" i="53"/>
  <c r="CN143" i="53"/>
  <c r="CN140" i="53"/>
  <c r="CN108" i="53"/>
  <c r="CN102" i="53"/>
  <c r="CN193" i="53"/>
  <c r="CN150" i="53"/>
  <c r="CN153" i="53"/>
  <c r="CN106" i="53"/>
  <c r="CN104" i="53"/>
  <c r="CN107" i="53"/>
  <c r="CN121" i="53"/>
  <c r="CN114" i="53"/>
  <c r="CN117" i="53"/>
  <c r="CN7" i="53"/>
  <c r="CO6" i="53"/>
  <c r="CN157" i="53"/>
  <c r="CH212" i="53"/>
  <c r="CH160" i="53"/>
  <c r="CH214" i="53" s="1"/>
  <c r="CI124" i="53"/>
  <c r="CI212" i="53"/>
  <c r="CL210" i="53"/>
  <c r="CL177" i="53"/>
  <c r="CL182" i="53"/>
  <c r="CL176" i="53"/>
  <c r="CL146" i="53"/>
  <c r="CL141" i="53"/>
  <c r="CL105" i="53"/>
  <c r="CL110" i="53"/>
  <c r="CJ213" i="53"/>
  <c r="CK178" i="53"/>
  <c r="CK181" i="53" s="1"/>
  <c r="CK145" i="53"/>
  <c r="CK109" i="53"/>
  <c r="CF204" i="53"/>
  <c r="CG200" i="53" s="1"/>
  <c r="CF202" i="53"/>
  <c r="CE216" i="53"/>
  <c r="CE205" i="53"/>
  <c r="CD217" i="53"/>
  <c r="CD207" i="53"/>
  <c r="CH168" i="53"/>
  <c r="CI164" i="53" s="1"/>
  <c r="CH166" i="53"/>
  <c r="CG169" i="53"/>
  <c r="CF171" i="53"/>
  <c r="CH161" i="52"/>
  <c r="CF171" i="52"/>
  <c r="CF170" i="52"/>
  <c r="CG170" i="52" s="1"/>
  <c r="CH196" i="52"/>
  <c r="CH214" i="52" s="1"/>
  <c r="CK213" i="52"/>
  <c r="CL109" i="52"/>
  <c r="CL178" i="52"/>
  <c r="CL145" i="52"/>
  <c r="CM198" i="52"/>
  <c r="CM199" i="52" s="1"/>
  <c r="CM201" i="52" s="1"/>
  <c r="CM191" i="52"/>
  <c r="CM188" i="52"/>
  <c r="CM195" i="52" s="1"/>
  <c r="CM126" i="52"/>
  <c r="CM116" i="52"/>
  <c r="CM123" i="52" s="1"/>
  <c r="CM119" i="52"/>
  <c r="CN192" i="52"/>
  <c r="CN190" i="52"/>
  <c r="CN187" i="52"/>
  <c r="CN120" i="52"/>
  <c r="CN118" i="52"/>
  <c r="CN115" i="52"/>
  <c r="CN151" i="52"/>
  <c r="CN156" i="52"/>
  <c r="CN154" i="52"/>
  <c r="CO167" i="52"/>
  <c r="CO142" i="52"/>
  <c r="CO144" i="52"/>
  <c r="CO189" i="52"/>
  <c r="CO143" i="52"/>
  <c r="CO179" i="52"/>
  <c r="CO174" i="52"/>
  <c r="CO114" i="52"/>
  <c r="CO180" i="52"/>
  <c r="CO104" i="52"/>
  <c r="CO193" i="52"/>
  <c r="CO107" i="52"/>
  <c r="CO140" i="52"/>
  <c r="CO106" i="52"/>
  <c r="CO108" i="52"/>
  <c r="CO7" i="52"/>
  <c r="CO186" i="52"/>
  <c r="CO102" i="52"/>
  <c r="CO103" i="52" s="1"/>
  <c r="CO203" i="52"/>
  <c r="CO117" i="52"/>
  <c r="CO121" i="52"/>
  <c r="CO138" i="52"/>
  <c r="CO150" i="52"/>
  <c r="CO153" i="52"/>
  <c r="CP6" i="52"/>
  <c r="CO127" i="52"/>
  <c r="CO129" i="52" s="1"/>
  <c r="CO131" i="52"/>
  <c r="CO157" i="52"/>
  <c r="CM162" i="52"/>
  <c r="CM163" i="52" s="1"/>
  <c r="CM165" i="52" s="1"/>
  <c r="CM155" i="52"/>
  <c r="CM152" i="52"/>
  <c r="CM159" i="52" s="1"/>
  <c r="CH132" i="52"/>
  <c r="CI128" i="52" s="1"/>
  <c r="CH130" i="52"/>
  <c r="CG133" i="52"/>
  <c r="CF135" i="52"/>
  <c r="CF204" i="52"/>
  <c r="CG200" i="52" s="1"/>
  <c r="CF202" i="52"/>
  <c r="CE216" i="52"/>
  <c r="CE205" i="52"/>
  <c r="CD217" i="52"/>
  <c r="CD207" i="52"/>
  <c r="CC219" i="52"/>
  <c r="CK211" i="52"/>
  <c r="CK183" i="52"/>
  <c r="CK184" i="52"/>
  <c r="CJ124" i="52"/>
  <c r="CM105" i="52"/>
  <c r="CM110" i="52"/>
  <c r="CM210" i="52"/>
  <c r="CM176" i="52"/>
  <c r="CM177" i="52"/>
  <c r="CM182" i="52"/>
  <c r="CM141" i="52"/>
  <c r="CM146" i="52"/>
  <c r="CH169" i="52"/>
  <c r="CH171" i="52" s="1"/>
  <c r="CD206" i="52"/>
  <c r="CN175" i="52"/>
  <c r="CN103" i="52"/>
  <c r="CN139" i="52"/>
  <c r="CJ185" i="52"/>
  <c r="CH135" i="53"/>
  <c r="CJ130" i="53"/>
  <c r="CJ132" i="53"/>
  <c r="CK128" i="53" s="1"/>
  <c r="CK166" i="52"/>
  <c r="CK168" i="52"/>
  <c r="CL164" i="52" s="1"/>
  <c r="CL66" i="51"/>
  <c r="CG107" i="51"/>
  <c r="CG108" i="51"/>
  <c r="CN6" i="51"/>
  <c r="CM65" i="51"/>
  <c r="CM68" i="51"/>
  <c r="CM70" i="51"/>
  <c r="CM72" i="51"/>
  <c r="CM73" i="51"/>
  <c r="CM99" i="51"/>
  <c r="CM101" i="51" s="1"/>
  <c r="CM7" i="51"/>
  <c r="CM64" i="51"/>
  <c r="CM74" i="51"/>
  <c r="CM79" i="51" s="1"/>
  <c r="CM81" i="51"/>
  <c r="CM82" i="51" s="1"/>
  <c r="CM85" i="51"/>
  <c r="CM86" i="51"/>
  <c r="CM87" i="51"/>
  <c r="CM88" i="51"/>
  <c r="CM89" i="51"/>
  <c r="CM90" i="51"/>
  <c r="CM91" i="51"/>
  <c r="CM92" i="51"/>
  <c r="CM93" i="51"/>
  <c r="CM94" i="51"/>
  <c r="CM103" i="51"/>
  <c r="CL67" i="51"/>
  <c r="CL69" i="51"/>
  <c r="CL83" i="51"/>
  <c r="CL84" i="51"/>
  <c r="CK71" i="51"/>
  <c r="CK76" i="51"/>
  <c r="CK98" i="51"/>
  <c r="CK95" i="51"/>
  <c r="CJ77" i="51"/>
  <c r="CJ78" i="51"/>
  <c r="CJ80" i="51" s="1"/>
  <c r="CJ96" i="51" s="1"/>
  <c r="CI77" i="51"/>
  <c r="CI78" i="51"/>
  <c r="CH105" i="51"/>
  <c r="CI102" i="51"/>
  <c r="CI104" i="51"/>
  <c r="CJ100" i="51" s="1"/>
  <c r="CO194" i="53" l="1"/>
  <c r="CO158" i="53"/>
  <c r="CO122" i="53"/>
  <c r="CP194" i="52"/>
  <c r="CP158" i="52"/>
  <c r="CP122" i="52"/>
  <c r="AS73" i="51"/>
  <c r="AS75" i="51" s="1"/>
  <c r="AZ74" i="51"/>
  <c r="CJ196" i="52"/>
  <c r="CJ214" i="52" s="1"/>
  <c r="CJ212" i="52"/>
  <c r="CH170" i="52"/>
  <c r="CI197" i="53"/>
  <c r="CJ196" i="53"/>
  <c r="CJ212" i="53"/>
  <c r="CJ124" i="53"/>
  <c r="CJ133" i="53" s="1"/>
  <c r="CM198" i="53"/>
  <c r="CM199" i="53" s="1"/>
  <c r="CM201" i="53" s="1"/>
  <c r="CM188" i="53"/>
  <c r="CM195" i="53" s="1"/>
  <c r="CM191" i="53"/>
  <c r="CM148" i="53"/>
  <c r="CM147" i="53"/>
  <c r="CM111" i="53"/>
  <c r="CM112" i="53"/>
  <c r="CM113" i="53"/>
  <c r="CM162" i="53"/>
  <c r="CM163" i="53" s="1"/>
  <c r="CM155" i="53"/>
  <c r="CM152" i="53"/>
  <c r="CM159" i="53" s="1"/>
  <c r="CM126" i="53"/>
  <c r="CM119" i="53"/>
  <c r="CM116" i="53"/>
  <c r="CM123" i="53" s="1"/>
  <c r="CN175" i="53"/>
  <c r="CN190" i="53"/>
  <c r="CN192" i="53"/>
  <c r="CN187" i="53"/>
  <c r="CN139" i="53"/>
  <c r="CN103" i="53"/>
  <c r="CN156" i="53"/>
  <c r="CN154" i="53"/>
  <c r="CN151" i="53"/>
  <c r="CN120" i="53"/>
  <c r="CN118" i="53"/>
  <c r="CN115" i="53"/>
  <c r="CO203" i="53"/>
  <c r="CO180" i="53"/>
  <c r="CO163" i="53"/>
  <c r="CO165" i="53" s="1"/>
  <c r="CO167" i="53"/>
  <c r="CO131" i="53"/>
  <c r="CO144" i="53"/>
  <c r="CO127" i="53"/>
  <c r="CO129" i="53" s="1"/>
  <c r="CO179" i="53"/>
  <c r="CO174" i="53"/>
  <c r="CO108" i="53"/>
  <c r="CO186" i="53"/>
  <c r="CO189" i="53"/>
  <c r="CO138" i="53"/>
  <c r="CO143" i="53"/>
  <c r="CO142" i="53"/>
  <c r="CO140" i="53"/>
  <c r="CO102" i="53"/>
  <c r="CO193" i="53"/>
  <c r="CO150" i="53"/>
  <c r="CO153" i="53"/>
  <c r="CO104" i="53"/>
  <c r="CO106" i="53"/>
  <c r="CO107" i="53"/>
  <c r="CO121" i="53"/>
  <c r="CO7" i="53"/>
  <c r="CO117" i="53"/>
  <c r="CO114" i="53"/>
  <c r="CP6" i="53"/>
  <c r="CO157" i="53"/>
  <c r="CK213" i="53"/>
  <c r="CK184" i="53"/>
  <c r="CK183" i="53"/>
  <c r="CK185" i="53" s="1"/>
  <c r="CK147" i="53"/>
  <c r="CK148" i="53"/>
  <c r="CK149" i="53"/>
  <c r="CK160" i="53" s="1"/>
  <c r="CK211" i="53"/>
  <c r="CK112" i="53"/>
  <c r="CK111" i="53"/>
  <c r="CK113" i="53" s="1"/>
  <c r="CI214" i="53"/>
  <c r="CI133" i="53"/>
  <c r="CI135" i="53" s="1"/>
  <c r="CL178" i="53"/>
  <c r="CL181" i="53" s="1"/>
  <c r="CM178" i="53"/>
  <c r="CM181" i="53" s="1"/>
  <c r="CM211" i="53" s="1"/>
  <c r="CL145" i="53"/>
  <c r="CL109" i="53"/>
  <c r="CG204" i="53"/>
  <c r="CH200" i="53" s="1"/>
  <c r="CG202" i="53"/>
  <c r="CF216" i="53"/>
  <c r="CF205" i="53"/>
  <c r="CE206" i="53"/>
  <c r="CF206" i="53" s="1"/>
  <c r="CE217" i="53"/>
  <c r="CE207" i="53"/>
  <c r="CD219" i="53"/>
  <c r="CI168" i="53"/>
  <c r="CJ164" i="53" s="1"/>
  <c r="CI166" i="53"/>
  <c r="CH169" i="53"/>
  <c r="CG171" i="53"/>
  <c r="CH197" i="52"/>
  <c r="CI197" i="52" s="1"/>
  <c r="CL112" i="52"/>
  <c r="CL111" i="52"/>
  <c r="CL113" i="52" s="1"/>
  <c r="CL181" i="52"/>
  <c r="CL211" i="52" s="1"/>
  <c r="CL147" i="52"/>
  <c r="CL148" i="52"/>
  <c r="CN198" i="52"/>
  <c r="CN199" i="52" s="1"/>
  <c r="CN201" i="52" s="1"/>
  <c r="CN191" i="52"/>
  <c r="CN188" i="52"/>
  <c r="CN195" i="52" s="1"/>
  <c r="CN126" i="52"/>
  <c r="CN116" i="52"/>
  <c r="CN119" i="52"/>
  <c r="CN162" i="52"/>
  <c r="CN163" i="52" s="1"/>
  <c r="CN165" i="52" s="1"/>
  <c r="CN155" i="52"/>
  <c r="CN152" i="52"/>
  <c r="CN159" i="52" s="1"/>
  <c r="CO120" i="52"/>
  <c r="CO118" i="52"/>
  <c r="CO115" i="52"/>
  <c r="CO192" i="52"/>
  <c r="CO190" i="52"/>
  <c r="CO187" i="52"/>
  <c r="CO110" i="52"/>
  <c r="CO105" i="52"/>
  <c r="CO109" i="52" s="1"/>
  <c r="CO151" i="52"/>
  <c r="CO156" i="52"/>
  <c r="CO154" i="52"/>
  <c r="CP107" i="52"/>
  <c r="CP140" i="52"/>
  <c r="CP189" i="52"/>
  <c r="CP144" i="52"/>
  <c r="CP114" i="52"/>
  <c r="CP142" i="52"/>
  <c r="CP102" i="52"/>
  <c r="CP143" i="52"/>
  <c r="CP186" i="52"/>
  <c r="CP7" i="52"/>
  <c r="CP193" i="52"/>
  <c r="CP108" i="52"/>
  <c r="CP106" i="52"/>
  <c r="CP104" i="52"/>
  <c r="CP180" i="52"/>
  <c r="CP203" i="52"/>
  <c r="CP179" i="52"/>
  <c r="CP167" i="52"/>
  <c r="CP174" i="52"/>
  <c r="CP175" i="52" s="1"/>
  <c r="CP176" i="52" s="1"/>
  <c r="CQ6" i="52"/>
  <c r="CP117" i="52"/>
  <c r="CP121" i="52"/>
  <c r="CP138" i="52"/>
  <c r="CP150" i="52"/>
  <c r="CP153" i="52"/>
  <c r="CP127" i="52"/>
  <c r="CP129" i="52" s="1"/>
  <c r="CP131" i="52"/>
  <c r="CP157" i="52"/>
  <c r="CI132" i="52"/>
  <c r="CJ128" i="52" s="1"/>
  <c r="CI130" i="52"/>
  <c r="CH133" i="52"/>
  <c r="CG135" i="52"/>
  <c r="CG204" i="52"/>
  <c r="CH200" i="52" s="1"/>
  <c r="CG202" i="52"/>
  <c r="CF216" i="52"/>
  <c r="CF205" i="52"/>
  <c r="CE217" i="52"/>
  <c r="CE207" i="52"/>
  <c r="CN176" i="52"/>
  <c r="CN178" i="52" s="1"/>
  <c r="CN177" i="52"/>
  <c r="CN182" i="52"/>
  <c r="CN105" i="52"/>
  <c r="CN109" i="52" s="1"/>
  <c r="CN110" i="52"/>
  <c r="CN210" i="52"/>
  <c r="CN141" i="52"/>
  <c r="CN145" i="52" s="1"/>
  <c r="CN146" i="52"/>
  <c r="CK185" i="52"/>
  <c r="CE206" i="52"/>
  <c r="CO175" i="52"/>
  <c r="CO139" i="52"/>
  <c r="CO210" i="52" s="1"/>
  <c r="CD219" i="52"/>
  <c r="CM109" i="52"/>
  <c r="CM178" i="52"/>
  <c r="CM145" i="52"/>
  <c r="CK132" i="53"/>
  <c r="CL128" i="53" s="1"/>
  <c r="CK130" i="53"/>
  <c r="CL166" i="52"/>
  <c r="CL168" i="52"/>
  <c r="CM164" i="52" s="1"/>
  <c r="CK169" i="52"/>
  <c r="CI80" i="51"/>
  <c r="CI96" i="51" s="1"/>
  <c r="CI105" i="51" s="1"/>
  <c r="BE74" i="51"/>
  <c r="AT73" i="51"/>
  <c r="D140" i="51"/>
  <c r="CN7" i="51"/>
  <c r="CN64" i="51"/>
  <c r="CN65" i="51"/>
  <c r="CN68" i="51"/>
  <c r="CN70" i="51"/>
  <c r="CN72" i="51"/>
  <c r="H72" i="51" s="1"/>
  <c r="CN73" i="51"/>
  <c r="CN74" i="51"/>
  <c r="CN79" i="51" s="1"/>
  <c r="CN81" i="51"/>
  <c r="CN82" i="51" s="1"/>
  <c r="CN85" i="51"/>
  <c r="H85" i="51" s="1"/>
  <c r="CN86" i="51"/>
  <c r="H86" i="51" s="1"/>
  <c r="CN87" i="51"/>
  <c r="H87" i="51" s="1"/>
  <c r="CN88" i="51"/>
  <c r="H88" i="51" s="1"/>
  <c r="CN89" i="51"/>
  <c r="H89" i="51" s="1"/>
  <c r="CN90" i="51"/>
  <c r="H90" i="51" s="1"/>
  <c r="CN91" i="51"/>
  <c r="H91" i="51" s="1"/>
  <c r="CN92" i="51"/>
  <c r="H92" i="51" s="1"/>
  <c r="CN93" i="51"/>
  <c r="H93" i="51" s="1"/>
  <c r="CN94" i="51"/>
  <c r="H94" i="51" s="1"/>
  <c r="CN103" i="51"/>
  <c r="H103" i="51" s="1"/>
  <c r="CN99" i="51"/>
  <c r="CN101" i="51" s="1"/>
  <c r="H101" i="51" s="1"/>
  <c r="CM66" i="51"/>
  <c r="CM67" i="51"/>
  <c r="CM69" i="51"/>
  <c r="CM83" i="51"/>
  <c r="CM84" i="51"/>
  <c r="CL71" i="51"/>
  <c r="CL75" i="51" s="1"/>
  <c r="CL76" i="51"/>
  <c r="CL98" i="51"/>
  <c r="CL95" i="51"/>
  <c r="CK75" i="51"/>
  <c r="CH107" i="51"/>
  <c r="CH108" i="51"/>
  <c r="CJ104" i="51"/>
  <c r="CK100" i="51" s="1"/>
  <c r="CJ102" i="51"/>
  <c r="CP194" i="53" l="1"/>
  <c r="CP158" i="53"/>
  <c r="CP122" i="53"/>
  <c r="CN123" i="52"/>
  <c r="CQ194" i="52"/>
  <c r="CQ158" i="52"/>
  <c r="CQ122" i="52"/>
  <c r="AS77" i="51"/>
  <c r="AS78" i="51"/>
  <c r="AZ75" i="51"/>
  <c r="AZ79" i="51"/>
  <c r="CJ197" i="52"/>
  <c r="CM149" i="53"/>
  <c r="CM160" i="53" s="1"/>
  <c r="CJ214" i="53"/>
  <c r="CN165" i="53"/>
  <c r="CM165" i="53"/>
  <c r="CN176" i="53"/>
  <c r="CN177" i="53"/>
  <c r="CN182" i="53"/>
  <c r="CN198" i="53"/>
  <c r="CN199" i="53" s="1"/>
  <c r="CN201" i="53" s="1"/>
  <c r="CN188" i="53"/>
  <c r="CN191" i="53"/>
  <c r="CN141" i="53"/>
  <c r="CN146" i="53"/>
  <c r="CN210" i="53"/>
  <c r="CN110" i="53"/>
  <c r="CN105" i="53"/>
  <c r="CN162" i="53"/>
  <c r="CN155" i="53"/>
  <c r="CN152" i="53"/>
  <c r="CN159" i="53" s="1"/>
  <c r="CN126" i="53"/>
  <c r="CN119" i="53"/>
  <c r="CN116" i="53"/>
  <c r="CN123" i="53" s="1"/>
  <c r="CO192" i="53"/>
  <c r="CO190" i="53"/>
  <c r="CO187" i="53"/>
  <c r="CO156" i="53"/>
  <c r="CO154" i="53"/>
  <c r="CO151" i="53"/>
  <c r="CO120" i="53"/>
  <c r="CO118" i="53"/>
  <c r="CO115" i="53"/>
  <c r="CP203" i="53"/>
  <c r="CP180" i="53"/>
  <c r="CP163" i="53"/>
  <c r="CP165" i="53" s="1"/>
  <c r="CP167" i="53"/>
  <c r="CP144" i="53"/>
  <c r="CP131" i="53"/>
  <c r="CP127" i="53"/>
  <c r="CP129" i="53" s="1"/>
  <c r="CP179" i="53"/>
  <c r="CP174" i="53"/>
  <c r="CP175" i="53" s="1"/>
  <c r="CP186" i="53"/>
  <c r="CP138" i="53"/>
  <c r="CP139" i="53" s="1"/>
  <c r="CP143" i="53"/>
  <c r="CP140" i="53"/>
  <c r="CP142" i="53"/>
  <c r="CP108" i="53"/>
  <c r="CP189" i="53"/>
  <c r="CP104" i="53"/>
  <c r="CP102" i="53"/>
  <c r="CP193" i="53"/>
  <c r="CP153" i="53"/>
  <c r="CP150" i="53"/>
  <c r="CP106" i="53"/>
  <c r="CP107" i="53"/>
  <c r="CP7" i="53"/>
  <c r="CP114" i="53"/>
  <c r="CP121" i="53"/>
  <c r="CP117" i="53"/>
  <c r="CP157" i="53"/>
  <c r="CQ6" i="53"/>
  <c r="CK212" i="53"/>
  <c r="CK124" i="53"/>
  <c r="CK133" i="53" s="1"/>
  <c r="CL183" i="53"/>
  <c r="CL184" i="53"/>
  <c r="CL185" i="53"/>
  <c r="CM184" i="53"/>
  <c r="CM183" i="53"/>
  <c r="CM185" i="53" s="1"/>
  <c r="CL147" i="53"/>
  <c r="CL148" i="53"/>
  <c r="CL149" i="53"/>
  <c r="CL160" i="53" s="1"/>
  <c r="CL211" i="53"/>
  <c r="CL112" i="53"/>
  <c r="CL111" i="53"/>
  <c r="CL113" i="53" s="1"/>
  <c r="CJ197" i="53"/>
  <c r="CL213" i="53"/>
  <c r="CM124" i="53"/>
  <c r="CO175" i="53"/>
  <c r="CO139" i="53"/>
  <c r="CO103" i="53"/>
  <c r="CK196" i="53"/>
  <c r="CH204" i="53"/>
  <c r="CI200" i="53" s="1"/>
  <c r="CH202" i="53"/>
  <c r="CG216" i="53"/>
  <c r="CG205" i="53"/>
  <c r="CF217" i="53"/>
  <c r="CF207" i="53"/>
  <c r="CE219" i="53"/>
  <c r="CJ166" i="53"/>
  <c r="CJ168" i="53"/>
  <c r="CK164" i="53" s="1"/>
  <c r="CI169" i="53"/>
  <c r="CH171" i="53"/>
  <c r="CL149" i="52"/>
  <c r="CL160" i="52" s="1"/>
  <c r="CL169" i="52" s="1"/>
  <c r="CL171" i="52" s="1"/>
  <c r="CL124" i="52"/>
  <c r="CL184" i="52"/>
  <c r="CL183" i="52"/>
  <c r="CO126" i="52"/>
  <c r="CO116" i="52"/>
  <c r="CO119" i="52"/>
  <c r="CO198" i="52"/>
  <c r="CO199" i="52" s="1"/>
  <c r="CO201" i="52" s="1"/>
  <c r="CO191" i="52"/>
  <c r="CO188" i="52"/>
  <c r="CO195" i="52" s="1"/>
  <c r="CO112" i="52"/>
  <c r="CO111" i="52"/>
  <c r="CO113" i="52" s="1"/>
  <c r="CO162" i="52"/>
  <c r="CO163" i="52" s="1"/>
  <c r="CO165" i="52" s="1"/>
  <c r="CO155" i="52"/>
  <c r="CO152" i="52"/>
  <c r="CO159" i="52" s="1"/>
  <c r="CP118" i="52"/>
  <c r="CP120" i="52"/>
  <c r="CP115" i="52"/>
  <c r="CP103" i="52"/>
  <c r="CP192" i="52"/>
  <c r="CP190" i="52"/>
  <c r="CP187" i="52"/>
  <c r="CP182" i="52"/>
  <c r="CP177" i="52"/>
  <c r="CQ107" i="52"/>
  <c r="CQ179" i="52"/>
  <c r="CQ203" i="52"/>
  <c r="CQ104" i="52"/>
  <c r="CQ193" i="52"/>
  <c r="CQ114" i="52"/>
  <c r="CQ108" i="52"/>
  <c r="CQ143" i="52"/>
  <c r="CQ106" i="52"/>
  <c r="CQ102" i="52"/>
  <c r="CQ142" i="52"/>
  <c r="CQ7" i="52"/>
  <c r="CQ186" i="52"/>
  <c r="CQ144" i="52"/>
  <c r="CQ167" i="52"/>
  <c r="CQ140" i="52"/>
  <c r="CQ189" i="52"/>
  <c r="CQ180" i="52"/>
  <c r="CQ174" i="52"/>
  <c r="CQ117" i="52"/>
  <c r="CQ121" i="52"/>
  <c r="CQ138" i="52"/>
  <c r="CQ150" i="52"/>
  <c r="CQ153" i="52"/>
  <c r="CQ127" i="52"/>
  <c r="CQ129" i="52" s="1"/>
  <c r="CQ131" i="52"/>
  <c r="CR6" i="52"/>
  <c r="CQ157" i="52"/>
  <c r="CP156" i="52"/>
  <c r="CP154" i="52"/>
  <c r="CP151" i="52"/>
  <c r="CJ132" i="52"/>
  <c r="CK128" i="52" s="1"/>
  <c r="CJ130" i="52"/>
  <c r="CI133" i="52"/>
  <c r="CH135" i="52"/>
  <c r="CH204" i="52"/>
  <c r="CI200" i="52" s="1"/>
  <c r="CH202" i="52"/>
  <c r="CG216" i="52"/>
  <c r="CG205" i="52"/>
  <c r="CF217" i="52"/>
  <c r="CF207" i="52"/>
  <c r="CE219" i="52"/>
  <c r="CN112" i="52"/>
  <c r="CN111" i="52"/>
  <c r="CN113" i="52" s="1"/>
  <c r="CN147" i="52"/>
  <c r="CN148" i="52"/>
  <c r="CK196" i="52"/>
  <c r="CK212" i="52"/>
  <c r="CM213" i="52"/>
  <c r="CO177" i="52"/>
  <c r="CO182" i="52"/>
  <c r="CO176" i="52"/>
  <c r="CO141" i="52"/>
  <c r="CO146" i="52"/>
  <c r="CM111" i="52"/>
  <c r="CM112" i="52"/>
  <c r="CM148" i="52"/>
  <c r="CM147" i="52"/>
  <c r="CM149" i="52" s="1"/>
  <c r="CM160" i="52" s="1"/>
  <c r="CN181" i="52"/>
  <c r="CN211" i="52" s="1"/>
  <c r="CF206" i="52"/>
  <c r="CP139" i="52"/>
  <c r="CM181" i="52"/>
  <c r="CM211" i="52" s="1"/>
  <c r="CJ135" i="53"/>
  <c r="CL130" i="53"/>
  <c r="CL132" i="53"/>
  <c r="CM128" i="53" s="1"/>
  <c r="CM166" i="52"/>
  <c r="CM168" i="52"/>
  <c r="CN164" i="52" s="1"/>
  <c r="CK171" i="52"/>
  <c r="CI108" i="51"/>
  <c r="CI107" i="51"/>
  <c r="H74" i="51"/>
  <c r="BE79" i="51"/>
  <c r="H79" i="51" s="1"/>
  <c r="BE75" i="51"/>
  <c r="H73" i="51"/>
  <c r="AT75" i="51"/>
  <c r="H65" i="51"/>
  <c r="CN67" i="51"/>
  <c r="H67" i="51" s="1"/>
  <c r="CN69" i="51"/>
  <c r="H82" i="51"/>
  <c r="CN83" i="51"/>
  <c r="H83" i="51" s="1"/>
  <c r="CN84" i="51"/>
  <c r="H84" i="51" s="1"/>
  <c r="CM71" i="51"/>
  <c r="CM76" i="51"/>
  <c r="CM98" i="51"/>
  <c r="CM95" i="51"/>
  <c r="CL77" i="51"/>
  <c r="CL78" i="51"/>
  <c r="CK77" i="51"/>
  <c r="CK78" i="51"/>
  <c r="CK104" i="51"/>
  <c r="CL100" i="51" s="1"/>
  <c r="CK102" i="51"/>
  <c r="CJ105" i="51"/>
  <c r="CN66" i="51"/>
  <c r="CN195" i="53" l="1"/>
  <c r="CQ194" i="53"/>
  <c r="CQ158" i="53"/>
  <c r="CQ122" i="53"/>
  <c r="CO123" i="52"/>
  <c r="CO124" i="52" s="1"/>
  <c r="CM113" i="52"/>
  <c r="CR194" i="52"/>
  <c r="CR158" i="52"/>
  <c r="CR122" i="52"/>
  <c r="AZ78" i="51"/>
  <c r="AZ77" i="51"/>
  <c r="AS80" i="51"/>
  <c r="AS96" i="51" s="1"/>
  <c r="CN213" i="52"/>
  <c r="CN178" i="53"/>
  <c r="CN181" i="53" s="1"/>
  <c r="CN109" i="53"/>
  <c r="CO198" i="53"/>
  <c r="CO199" i="53" s="1"/>
  <c r="CO201" i="53" s="1"/>
  <c r="CO188" i="53"/>
  <c r="CO195" i="53" s="1"/>
  <c r="CO191" i="53"/>
  <c r="CO162" i="53"/>
  <c r="CO155" i="53"/>
  <c r="CO152" i="53"/>
  <c r="CO159" i="53" s="1"/>
  <c r="CO126" i="53"/>
  <c r="CO119" i="53"/>
  <c r="CO116" i="53"/>
  <c r="CO123" i="53" s="1"/>
  <c r="CP182" i="53"/>
  <c r="CP177" i="53"/>
  <c r="CP176" i="53"/>
  <c r="CP190" i="53"/>
  <c r="CP192" i="53"/>
  <c r="CP187" i="53"/>
  <c r="CP141" i="53"/>
  <c r="CP146" i="53"/>
  <c r="CP156" i="53"/>
  <c r="CP154" i="53"/>
  <c r="CP151" i="53"/>
  <c r="CP120" i="53"/>
  <c r="CP118" i="53"/>
  <c r="CP115" i="53"/>
  <c r="CQ203" i="53"/>
  <c r="CQ180" i="53"/>
  <c r="CQ167" i="53"/>
  <c r="CQ163" i="53"/>
  <c r="CQ165" i="53" s="1"/>
  <c r="CQ144" i="53"/>
  <c r="CQ127" i="53"/>
  <c r="CQ129" i="53" s="1"/>
  <c r="CQ131" i="53"/>
  <c r="CQ179" i="53"/>
  <c r="CQ174" i="53"/>
  <c r="CQ189" i="53"/>
  <c r="CQ186" i="53"/>
  <c r="CQ138" i="53"/>
  <c r="CQ142" i="53"/>
  <c r="CQ143" i="53"/>
  <c r="CQ140" i="53"/>
  <c r="CQ108" i="53"/>
  <c r="CQ102" i="53"/>
  <c r="CQ193" i="53"/>
  <c r="CQ150" i="53"/>
  <c r="CQ153" i="53"/>
  <c r="CQ107" i="53"/>
  <c r="CQ106" i="53"/>
  <c r="CQ104" i="53"/>
  <c r="CQ121" i="53"/>
  <c r="CQ114" i="53"/>
  <c r="CQ7" i="53"/>
  <c r="CQ117" i="53"/>
  <c r="CR6" i="53"/>
  <c r="CQ157" i="53"/>
  <c r="CL212" i="53"/>
  <c r="CL124" i="53"/>
  <c r="CL133" i="53" s="1"/>
  <c r="CM213" i="53"/>
  <c r="CO210" i="53"/>
  <c r="CO182" i="53"/>
  <c r="CO177" i="53"/>
  <c r="CO176" i="53"/>
  <c r="CO178" i="53" s="1"/>
  <c r="CO181" i="53" s="1"/>
  <c r="CO146" i="53"/>
  <c r="CO141" i="53"/>
  <c r="CO145" i="53" s="1"/>
  <c r="CO110" i="53"/>
  <c r="CO105" i="53"/>
  <c r="CO109" i="53" s="1"/>
  <c r="CK197" i="53"/>
  <c r="CK214" i="53"/>
  <c r="CP103" i="53"/>
  <c r="CL196" i="53"/>
  <c r="CM212" i="53"/>
  <c r="CM196" i="53"/>
  <c r="CM214" i="53" s="1"/>
  <c r="CI204" i="53"/>
  <c r="CJ200" i="53" s="1"/>
  <c r="CI202" i="53"/>
  <c r="CH216" i="53"/>
  <c r="CH205" i="53"/>
  <c r="CG217" i="53"/>
  <c r="CG206" i="53"/>
  <c r="CG207" i="53"/>
  <c r="CF219" i="53"/>
  <c r="CJ169" i="53"/>
  <c r="CK168" i="53"/>
  <c r="CL164" i="53" s="1"/>
  <c r="CK166" i="53"/>
  <c r="CI171" i="53"/>
  <c r="CL185" i="52"/>
  <c r="CP126" i="52"/>
  <c r="CP119" i="52"/>
  <c r="CP116" i="52"/>
  <c r="CP123" i="52" s="1"/>
  <c r="CP210" i="52"/>
  <c r="CP110" i="52"/>
  <c r="CP105" i="52"/>
  <c r="CP198" i="52"/>
  <c r="CP199" i="52" s="1"/>
  <c r="CP201" i="52" s="1"/>
  <c r="CP191" i="52"/>
  <c r="CP188" i="52"/>
  <c r="CP195" i="52" s="1"/>
  <c r="CQ120" i="52"/>
  <c r="CQ118" i="52"/>
  <c r="CQ115" i="52"/>
  <c r="CQ192" i="52"/>
  <c r="CQ190" i="52"/>
  <c r="CQ187" i="52"/>
  <c r="CQ175" i="52"/>
  <c r="CQ154" i="52"/>
  <c r="CQ151" i="52"/>
  <c r="CQ156" i="52"/>
  <c r="CR180" i="52"/>
  <c r="CR179" i="52"/>
  <c r="CR143" i="52"/>
  <c r="CR106" i="52"/>
  <c r="CR102" i="52"/>
  <c r="CR7" i="52"/>
  <c r="CR186" i="52"/>
  <c r="CR144" i="52"/>
  <c r="CR174" i="52"/>
  <c r="CR140" i="52"/>
  <c r="CR189" i="52"/>
  <c r="CR167" i="52"/>
  <c r="CR108" i="52"/>
  <c r="CR114" i="52"/>
  <c r="CR104" i="52"/>
  <c r="CR193" i="52"/>
  <c r="CR203" i="52"/>
  <c r="CR107" i="52"/>
  <c r="CR142" i="52"/>
  <c r="CR127" i="52"/>
  <c r="CR129" i="52" s="1"/>
  <c r="CS6" i="52"/>
  <c r="CR117" i="52"/>
  <c r="CR121" i="52"/>
  <c r="CR138" i="52"/>
  <c r="CR150" i="52"/>
  <c r="CR153" i="52"/>
  <c r="CR131" i="52"/>
  <c r="CR157" i="52"/>
  <c r="CP162" i="52"/>
  <c r="CP163" i="52" s="1"/>
  <c r="CP165" i="52" s="1"/>
  <c r="CP155" i="52"/>
  <c r="CP152" i="52"/>
  <c r="CP159" i="52" s="1"/>
  <c r="CK132" i="52"/>
  <c r="CL128" i="52" s="1"/>
  <c r="CK130" i="52"/>
  <c r="CJ133" i="52"/>
  <c r="CI135" i="52"/>
  <c r="CI204" i="52"/>
  <c r="CJ200" i="52" s="1"/>
  <c r="CI202" i="52"/>
  <c r="CH205" i="52"/>
  <c r="CH216" i="52"/>
  <c r="CG217" i="52"/>
  <c r="CG207" i="52"/>
  <c r="CF219" i="52"/>
  <c r="CN124" i="52"/>
  <c r="CK197" i="52"/>
  <c r="CK214" i="52"/>
  <c r="CO178" i="52"/>
  <c r="CP178" i="52"/>
  <c r="CP181" i="52" s="1"/>
  <c r="CO145" i="52"/>
  <c r="CM124" i="52"/>
  <c r="CN184" i="52"/>
  <c r="CN183" i="52"/>
  <c r="CN185" i="52" s="1"/>
  <c r="CN196" i="52" s="1"/>
  <c r="CP146" i="52"/>
  <c r="CP141" i="52"/>
  <c r="CM184" i="52"/>
  <c r="CM183" i="52"/>
  <c r="CN149" i="52"/>
  <c r="CG206" i="52"/>
  <c r="CQ103" i="52"/>
  <c r="CQ139" i="52"/>
  <c r="CM132" i="53"/>
  <c r="CN128" i="53" s="1"/>
  <c r="CM130" i="53"/>
  <c r="CK135" i="53"/>
  <c r="CN166" i="52"/>
  <c r="CN168" i="52"/>
  <c r="CO164" i="52" s="1"/>
  <c r="CM169" i="52"/>
  <c r="CM171" i="52" s="1"/>
  <c r="CL80" i="51"/>
  <c r="CL96" i="51" s="1"/>
  <c r="CK80" i="51"/>
  <c r="CK96" i="51" s="1"/>
  <c r="CK105" i="51" s="1"/>
  <c r="BE78" i="51"/>
  <c r="BE77" i="51"/>
  <c r="AT78" i="51"/>
  <c r="AT77" i="51"/>
  <c r="H69" i="51"/>
  <c r="CN71" i="51"/>
  <c r="CN76" i="51"/>
  <c r="H76" i="51" s="1"/>
  <c r="CN98" i="51"/>
  <c r="CN95" i="51"/>
  <c r="CM75" i="51"/>
  <c r="AB113" i="51" a="1"/>
  <c r="Y113" i="51" a="1"/>
  <c r="W113" i="51" a="1"/>
  <c r="CL102" i="51"/>
  <c r="CL104" i="51"/>
  <c r="CM100" i="51" s="1"/>
  <c r="CJ108" i="51"/>
  <c r="CJ107" i="51"/>
  <c r="CR194" i="53" l="1"/>
  <c r="CR158" i="53"/>
  <c r="CR122" i="53"/>
  <c r="CS194" i="52"/>
  <c r="CS158" i="52"/>
  <c r="CS122" i="52"/>
  <c r="AS105" i="51"/>
  <c r="AS97" i="51"/>
  <c r="AZ80" i="51"/>
  <c r="AZ96" i="51" s="1"/>
  <c r="AZ105" i="51" s="1"/>
  <c r="CL214" i="53"/>
  <c r="CL197" i="53"/>
  <c r="CN184" i="53"/>
  <c r="CN183" i="53"/>
  <c r="CN185" i="53" s="1"/>
  <c r="CO183" i="53"/>
  <c r="CO184" i="53"/>
  <c r="CO185" i="53"/>
  <c r="CN111" i="53"/>
  <c r="CN112" i="53"/>
  <c r="CN113" i="53"/>
  <c r="CP198" i="53"/>
  <c r="CP199" i="53" s="1"/>
  <c r="CP201" i="53" s="1"/>
  <c r="CP188" i="53"/>
  <c r="CP191" i="53"/>
  <c r="CP162" i="53"/>
  <c r="CP155" i="53"/>
  <c r="CP152" i="53"/>
  <c r="CP159" i="53" s="1"/>
  <c r="CP126" i="53"/>
  <c r="CP119" i="53"/>
  <c r="CP116" i="53"/>
  <c r="CP123" i="53" s="1"/>
  <c r="CQ175" i="53"/>
  <c r="CQ192" i="53"/>
  <c r="CQ190" i="53"/>
  <c r="CQ187" i="53"/>
  <c r="CQ139" i="53"/>
  <c r="CQ156" i="53"/>
  <c r="CQ154" i="53"/>
  <c r="CQ151" i="53"/>
  <c r="CQ120" i="53"/>
  <c r="CQ118" i="53"/>
  <c r="CQ115" i="53"/>
  <c r="CR203" i="53"/>
  <c r="CR180" i="53"/>
  <c r="CR167" i="53"/>
  <c r="CR163" i="53"/>
  <c r="CR165" i="53" s="1"/>
  <c r="CR144" i="53"/>
  <c r="CR127" i="53"/>
  <c r="CR129" i="53" s="1"/>
  <c r="CR131" i="53"/>
  <c r="CR179" i="53"/>
  <c r="CR174" i="53"/>
  <c r="CR108" i="53"/>
  <c r="CR186" i="53"/>
  <c r="CR140" i="53"/>
  <c r="CR189" i="53"/>
  <c r="CR138" i="53"/>
  <c r="CR143" i="53"/>
  <c r="CR142" i="53"/>
  <c r="CR102" i="53"/>
  <c r="CR103" i="53" s="1"/>
  <c r="CR193" i="53"/>
  <c r="CR153" i="53"/>
  <c r="CR150" i="53"/>
  <c r="CR107" i="53"/>
  <c r="CR104" i="53"/>
  <c r="CR106" i="53"/>
  <c r="CS6" i="53"/>
  <c r="CR117" i="53"/>
  <c r="CR7" i="53"/>
  <c r="CR121" i="53"/>
  <c r="CR114" i="53"/>
  <c r="CR157" i="53"/>
  <c r="CO148" i="53"/>
  <c r="CO147" i="53"/>
  <c r="CO149" i="53" s="1"/>
  <c r="CO112" i="53"/>
  <c r="CO111" i="53"/>
  <c r="CO113" i="53" s="1"/>
  <c r="CO211" i="53"/>
  <c r="CP105" i="53"/>
  <c r="CP110" i="53"/>
  <c r="CP210" i="53"/>
  <c r="CP178" i="53"/>
  <c r="CP181" i="53" s="1"/>
  <c r="CM197" i="53"/>
  <c r="CN213" i="53"/>
  <c r="CP145" i="53"/>
  <c r="CQ103" i="53"/>
  <c r="CH206" i="53"/>
  <c r="CJ204" i="53"/>
  <c r="CK200" i="53" s="1"/>
  <c r="CJ202" i="53"/>
  <c r="CI216" i="53"/>
  <c r="CI205" i="53"/>
  <c r="CH217" i="53"/>
  <c r="CH207" i="53"/>
  <c r="CG219" i="53"/>
  <c r="CJ171" i="53"/>
  <c r="CL166" i="53"/>
  <c r="CL168" i="53"/>
  <c r="CM164" i="53" s="1"/>
  <c r="CK169" i="53"/>
  <c r="CN160" i="52"/>
  <c r="CN169" i="52" s="1"/>
  <c r="CN212" i="52"/>
  <c r="CN214" i="52"/>
  <c r="CL212" i="52"/>
  <c r="CL196" i="52"/>
  <c r="CO213" i="52"/>
  <c r="CP109" i="52"/>
  <c r="CQ126" i="52"/>
  <c r="CQ119" i="52"/>
  <c r="CQ116" i="52"/>
  <c r="CQ123" i="52" s="1"/>
  <c r="CQ198" i="52"/>
  <c r="CQ199" i="52" s="1"/>
  <c r="CQ201" i="52" s="1"/>
  <c r="CQ191" i="52"/>
  <c r="CQ188" i="52"/>
  <c r="CQ195" i="52" s="1"/>
  <c r="CQ176" i="52"/>
  <c r="CQ182" i="52"/>
  <c r="CQ177" i="52"/>
  <c r="CQ162" i="52"/>
  <c r="CQ163" i="52" s="1"/>
  <c r="CQ165" i="52" s="1"/>
  <c r="CQ155" i="52"/>
  <c r="CQ152" i="52"/>
  <c r="CQ159" i="52" s="1"/>
  <c r="CR192" i="52"/>
  <c r="CR190" i="52"/>
  <c r="CR187" i="52"/>
  <c r="CR115" i="52"/>
  <c r="CR118" i="52"/>
  <c r="CR120" i="52"/>
  <c r="CS179" i="52"/>
  <c r="CS186" i="52"/>
  <c r="CS167" i="52"/>
  <c r="CS144" i="52"/>
  <c r="CS143" i="52"/>
  <c r="CS180" i="52"/>
  <c r="CS140" i="52"/>
  <c r="CS174" i="52"/>
  <c r="CS193" i="52"/>
  <c r="CS104" i="52"/>
  <c r="CS102" i="52"/>
  <c r="CS7" i="52"/>
  <c r="CS108" i="52"/>
  <c r="CS114" i="52"/>
  <c r="CS189" i="52"/>
  <c r="CS106" i="52"/>
  <c r="CS203" i="52"/>
  <c r="CS107" i="52"/>
  <c r="CS142" i="52"/>
  <c r="CS117" i="52"/>
  <c r="CS121" i="52"/>
  <c r="CS138" i="52"/>
  <c r="CS150" i="52"/>
  <c r="CS153" i="52"/>
  <c r="CS127" i="52"/>
  <c r="CS129" i="52" s="1"/>
  <c r="CS131" i="52"/>
  <c r="CT6" i="52"/>
  <c r="CS157" i="52"/>
  <c r="CR154" i="52"/>
  <c r="CR151" i="52"/>
  <c r="CR156" i="52"/>
  <c r="CL132" i="52"/>
  <c r="CM128" i="52" s="1"/>
  <c r="CL130" i="52"/>
  <c r="CK133" i="52"/>
  <c r="CJ135" i="52"/>
  <c r="CJ204" i="52"/>
  <c r="CK200" i="52" s="1"/>
  <c r="CJ202" i="52"/>
  <c r="CI216" i="52"/>
  <c r="CI205" i="52"/>
  <c r="CI207" i="52" s="1"/>
  <c r="CH217" i="52"/>
  <c r="CH207" i="52"/>
  <c r="CG219" i="52"/>
  <c r="CO181" i="52"/>
  <c r="CO211" i="52" s="1"/>
  <c r="CP184" i="52"/>
  <c r="CP183" i="52"/>
  <c r="CO147" i="52"/>
  <c r="CO148" i="52"/>
  <c r="CQ105" i="52"/>
  <c r="CQ110" i="52"/>
  <c r="CQ210" i="52"/>
  <c r="CQ141" i="52"/>
  <c r="CQ146" i="52"/>
  <c r="CH206" i="52"/>
  <c r="CR103" i="52"/>
  <c r="CR175" i="52"/>
  <c r="CR139" i="52"/>
  <c r="CP145" i="52"/>
  <c r="CM185" i="52"/>
  <c r="CL135" i="53"/>
  <c r="CN130" i="53"/>
  <c r="CN132" i="53"/>
  <c r="CO128" i="53" s="1"/>
  <c r="CM133" i="53"/>
  <c r="CO166" i="52"/>
  <c r="CO168" i="52"/>
  <c r="CP164" i="52" s="1"/>
  <c r="H95" i="51"/>
  <c r="D122" i="51" s="1"/>
  <c r="O113" i="51" a="1"/>
  <c r="BE80" i="51"/>
  <c r="BE96" i="51" s="1"/>
  <c r="BE105" i="51" s="1"/>
  <c r="CK107" i="51"/>
  <c r="CK108" i="51"/>
  <c r="AT80" i="51"/>
  <c r="AT96" i="51" s="1"/>
  <c r="CN75" i="51"/>
  <c r="H71" i="51"/>
  <c r="E119" i="51"/>
  <c r="D119" i="51"/>
  <c r="X113" i="51" a="1"/>
  <c r="I113" i="51" a="1"/>
  <c r="M113" i="51" a="1"/>
  <c r="Q113" i="51" a="1"/>
  <c r="AA113" i="51" a="1"/>
  <c r="T113" i="51" a="1"/>
  <c r="P113" i="51" a="1"/>
  <c r="N113" i="51" a="1"/>
  <c r="U113" i="51" a="1"/>
  <c r="V113" i="51" a="1"/>
  <c r="S113" i="51" a="1"/>
  <c r="Z113" i="51" a="1"/>
  <c r="R113" i="51" a="1"/>
  <c r="J113" i="51" a="1"/>
  <c r="K113" i="51" a="1"/>
  <c r="L113" i="51" a="1"/>
  <c r="CM77" i="51"/>
  <c r="CM78" i="51"/>
  <c r="CL105" i="51"/>
  <c r="CM102" i="51"/>
  <c r="CM104" i="51"/>
  <c r="CN100" i="51" s="1"/>
  <c r="CP195" i="53" l="1"/>
  <c r="CS194" i="53"/>
  <c r="CS158" i="53"/>
  <c r="CS122" i="53"/>
  <c r="CT194" i="52"/>
  <c r="CT158" i="52"/>
  <c r="CT122" i="52"/>
  <c r="AS107" i="51"/>
  <c r="AS106" i="51"/>
  <c r="AS108" i="51"/>
  <c r="AZ107" i="51"/>
  <c r="AZ108" i="51"/>
  <c r="CO160" i="53"/>
  <c r="CN196" i="53"/>
  <c r="CN124" i="53"/>
  <c r="CN133" i="53" s="1"/>
  <c r="CP213" i="53"/>
  <c r="CQ176" i="53"/>
  <c r="CQ177" i="53"/>
  <c r="CQ182" i="53"/>
  <c r="CQ210" i="53"/>
  <c r="CQ198" i="53"/>
  <c r="CQ199" i="53" s="1"/>
  <c r="CQ201" i="53" s="1"/>
  <c r="CQ188" i="53"/>
  <c r="CQ191" i="53"/>
  <c r="CQ141" i="53"/>
  <c r="CQ146" i="53"/>
  <c r="CQ162" i="53"/>
  <c r="CQ155" i="53"/>
  <c r="CQ152" i="53"/>
  <c r="CQ159" i="53" s="1"/>
  <c r="CQ126" i="53"/>
  <c r="CQ119" i="53"/>
  <c r="CQ116" i="53"/>
  <c r="CR190" i="53"/>
  <c r="CR192" i="53"/>
  <c r="CR187" i="53"/>
  <c r="CR110" i="53"/>
  <c r="CR105" i="53"/>
  <c r="CR109" i="53" s="1"/>
  <c r="CR156" i="53"/>
  <c r="CR154" i="53"/>
  <c r="CR151" i="53"/>
  <c r="CS203" i="53"/>
  <c r="CS180" i="53"/>
  <c r="CS163" i="53"/>
  <c r="CS165" i="53" s="1"/>
  <c r="CS167" i="53"/>
  <c r="CS144" i="53"/>
  <c r="CS138" i="53"/>
  <c r="CS139" i="53" s="1"/>
  <c r="CS174" i="53"/>
  <c r="CS175" i="53" s="1"/>
  <c r="CS179" i="53"/>
  <c r="CS102" i="53"/>
  <c r="CS153" i="53"/>
  <c r="CS186" i="53"/>
  <c r="CS121" i="53"/>
  <c r="CS108" i="53"/>
  <c r="CS189" i="53"/>
  <c r="CS106" i="53"/>
  <c r="CS117" i="53"/>
  <c r="CT6" i="53"/>
  <c r="CS157" i="53"/>
  <c r="CS143" i="53"/>
  <c r="CS142" i="53"/>
  <c r="CS140" i="53"/>
  <c r="CS131" i="53"/>
  <c r="CS127" i="53"/>
  <c r="CS129" i="53" s="1"/>
  <c r="CS193" i="53"/>
  <c r="CS150" i="53"/>
  <c r="CS107" i="53"/>
  <c r="CS104" i="53"/>
  <c r="CS7" i="53"/>
  <c r="CS114" i="53"/>
  <c r="CR120" i="53"/>
  <c r="CR118" i="53"/>
  <c r="CR115" i="53"/>
  <c r="CO212" i="53"/>
  <c r="CO124" i="53"/>
  <c r="CP109" i="53"/>
  <c r="CP184" i="53"/>
  <c r="CP183" i="53"/>
  <c r="CP185" i="53" s="1"/>
  <c r="CO213" i="53"/>
  <c r="CP147" i="53"/>
  <c r="CP148" i="53"/>
  <c r="CP149" i="53" s="1"/>
  <c r="CP160" i="53" s="1"/>
  <c r="CQ105" i="53"/>
  <c r="CQ110" i="53"/>
  <c r="CO196" i="53"/>
  <c r="CR175" i="53"/>
  <c r="CR139" i="53"/>
  <c r="CK204" i="53"/>
  <c r="CL200" i="53" s="1"/>
  <c r="CK202" i="53"/>
  <c r="CJ216" i="53"/>
  <c r="CJ205" i="53"/>
  <c r="CI206" i="53"/>
  <c r="CI217" i="53"/>
  <c r="CI207" i="53"/>
  <c r="CH219" i="53"/>
  <c r="CL169" i="53"/>
  <c r="CM168" i="53"/>
  <c r="CN164" i="53" s="1"/>
  <c r="CM166" i="53"/>
  <c r="CK171" i="53"/>
  <c r="CI206" i="52"/>
  <c r="CL197" i="52"/>
  <c r="CL214" i="52"/>
  <c r="CP211" i="52"/>
  <c r="CP112" i="52"/>
  <c r="CP111" i="52"/>
  <c r="CP113" i="52" s="1"/>
  <c r="CQ178" i="52"/>
  <c r="CR198" i="52"/>
  <c r="CR199" i="52" s="1"/>
  <c r="CR201" i="52" s="1"/>
  <c r="CR191" i="52"/>
  <c r="CR188" i="52"/>
  <c r="CR195" i="52" s="1"/>
  <c r="CR126" i="52"/>
  <c r="CR119" i="52"/>
  <c r="CR116" i="52"/>
  <c r="CR123" i="52" s="1"/>
  <c r="CS192" i="52"/>
  <c r="CS190" i="52"/>
  <c r="CS187" i="52"/>
  <c r="CS118" i="52"/>
  <c r="CS115" i="52"/>
  <c r="CS120" i="52"/>
  <c r="CS156" i="52"/>
  <c r="CS154" i="52"/>
  <c r="CS151" i="52"/>
  <c r="CT7" i="52"/>
  <c r="CT114" i="52"/>
  <c r="CT108" i="52"/>
  <c r="CT140" i="52"/>
  <c r="CT203" i="52"/>
  <c r="CT106" i="52"/>
  <c r="CT189" i="52"/>
  <c r="CT174" i="52"/>
  <c r="CT175" i="52" s="1"/>
  <c r="CT176" i="52" s="1"/>
  <c r="CT179" i="52"/>
  <c r="CT104" i="52"/>
  <c r="CT102" i="52"/>
  <c r="CT103" i="52" s="1"/>
  <c r="CT142" i="52"/>
  <c r="CT180" i="52"/>
  <c r="CT167" i="52"/>
  <c r="CT144" i="52"/>
  <c r="CT143" i="52"/>
  <c r="CT107" i="52"/>
  <c r="CT193" i="52"/>
  <c r="CT186" i="52"/>
  <c r="CT127" i="52"/>
  <c r="CT129" i="52" s="1"/>
  <c r="CT157" i="52"/>
  <c r="CU6" i="52"/>
  <c r="CT117" i="52"/>
  <c r="CT121" i="52"/>
  <c r="CT138" i="52"/>
  <c r="CT139" i="52" s="1"/>
  <c r="CT150" i="52"/>
  <c r="CT153" i="52"/>
  <c r="CT131" i="52"/>
  <c r="CR162" i="52"/>
  <c r="CR163" i="52" s="1"/>
  <c r="CR165" i="52" s="1"/>
  <c r="CR155" i="52"/>
  <c r="CR152" i="52"/>
  <c r="CR159" i="52" s="1"/>
  <c r="CM130" i="52"/>
  <c r="CM132" i="52"/>
  <c r="CN128" i="52" s="1"/>
  <c r="CL133" i="52"/>
  <c r="CK135" i="52"/>
  <c r="CK204" i="52"/>
  <c r="CL200" i="52" s="1"/>
  <c r="CK202" i="52"/>
  <c r="CJ216" i="52"/>
  <c r="CJ205" i="52"/>
  <c r="CH219" i="52"/>
  <c r="CO183" i="52"/>
  <c r="CO184" i="52"/>
  <c r="CR105" i="52"/>
  <c r="CR109" i="52" s="1"/>
  <c r="CR110" i="52"/>
  <c r="CR210" i="52"/>
  <c r="CR176" i="52"/>
  <c r="CR177" i="52"/>
  <c r="CR182" i="52"/>
  <c r="CR146" i="52"/>
  <c r="CR141" i="52"/>
  <c r="CR145" i="52" s="1"/>
  <c r="CP213" i="52"/>
  <c r="CP148" i="52"/>
  <c r="CP147" i="52"/>
  <c r="CM212" i="52"/>
  <c r="CM196" i="52"/>
  <c r="CM214" i="52" s="1"/>
  <c r="CQ213" i="52"/>
  <c r="CP185" i="52"/>
  <c r="CP196" i="52" s="1"/>
  <c r="CO149" i="52"/>
  <c r="CS175" i="52"/>
  <c r="CS103" i="52"/>
  <c r="CS139" i="52"/>
  <c r="CQ109" i="52"/>
  <c r="CQ145" i="52"/>
  <c r="CO130" i="53"/>
  <c r="CO132" i="53"/>
  <c r="CP128" i="53" s="1"/>
  <c r="CM135" i="53"/>
  <c r="CP166" i="52"/>
  <c r="CP168" i="52"/>
  <c r="CQ164" i="52" s="1"/>
  <c r="CN171" i="52"/>
  <c r="BE107" i="51"/>
  <c r="BE108" i="51"/>
  <c r="H75" i="51"/>
  <c r="CN77" i="51"/>
  <c r="H77" i="51" s="1"/>
  <c r="CN78" i="51"/>
  <c r="AT97" i="51"/>
  <c r="AU97" i="51" s="1"/>
  <c r="AV97" i="51" s="1"/>
  <c r="AW97" i="51" s="1"/>
  <c r="AX97" i="51" s="1"/>
  <c r="AY97" i="51" s="1"/>
  <c r="AZ97" i="51" s="1"/>
  <c r="BA97" i="51" s="1"/>
  <c r="BB97" i="51" s="1"/>
  <c r="BC97" i="51" s="1"/>
  <c r="BD97" i="51" s="1"/>
  <c r="BE97" i="51" s="1"/>
  <c r="BF97" i="51" s="1"/>
  <c r="BG97" i="51" s="1"/>
  <c r="BH97" i="51" s="1"/>
  <c r="BI97" i="51" s="1"/>
  <c r="BJ97" i="51" s="1"/>
  <c r="BK97" i="51" s="1"/>
  <c r="BL97" i="51" s="1"/>
  <c r="BM97" i="51" s="1"/>
  <c r="BN97" i="51" s="1"/>
  <c r="BO97" i="51" s="1"/>
  <c r="BP97" i="51" s="1"/>
  <c r="BQ97" i="51" s="1"/>
  <c r="BR97" i="51" s="1"/>
  <c r="BS97" i="51" s="1"/>
  <c r="BT97" i="51" s="1"/>
  <c r="BU97" i="51" s="1"/>
  <c r="BV97" i="51" s="1"/>
  <c r="BW97" i="51" s="1"/>
  <c r="BX97" i="51" s="1"/>
  <c r="BY97" i="51" s="1"/>
  <c r="BZ97" i="51" s="1"/>
  <c r="CA97" i="51" s="1"/>
  <c r="CB97" i="51" s="1"/>
  <c r="CC97" i="51" s="1"/>
  <c r="CD97" i="51" s="1"/>
  <c r="CE97" i="51" s="1"/>
  <c r="CF97" i="51" s="1"/>
  <c r="CG97" i="51" s="1"/>
  <c r="CH97" i="51" s="1"/>
  <c r="CI97" i="51" s="1"/>
  <c r="CJ97" i="51" s="1"/>
  <c r="CK97" i="51" s="1"/>
  <c r="CL97" i="51" s="1"/>
  <c r="AT105" i="51"/>
  <c r="CL107" i="51"/>
  <c r="CL108" i="51"/>
  <c r="CN104" i="51"/>
  <c r="D141" i="51" s="1"/>
  <c r="CN102" i="51"/>
  <c r="H113" i="51"/>
  <c r="CM80" i="51"/>
  <c r="CQ123" i="53" l="1"/>
  <c r="CR210" i="53"/>
  <c r="CQ195" i="53"/>
  <c r="CT194" i="53"/>
  <c r="CT158" i="53"/>
  <c r="CT122" i="53"/>
  <c r="CU194" i="52"/>
  <c r="CU158" i="52"/>
  <c r="CU122" i="52"/>
  <c r="CJ206" i="53"/>
  <c r="CP149" i="52"/>
  <c r="CO214" i="53"/>
  <c r="CN197" i="53"/>
  <c r="CO197" i="53" s="1"/>
  <c r="CQ178" i="53"/>
  <c r="CQ181" i="53" s="1"/>
  <c r="CQ145" i="53"/>
  <c r="CR198" i="53"/>
  <c r="CR199" i="53" s="1"/>
  <c r="CR201" i="53" s="1"/>
  <c r="CR188" i="53"/>
  <c r="CR191" i="53"/>
  <c r="CR112" i="53"/>
  <c r="CR111" i="53"/>
  <c r="CR113" i="53" s="1"/>
  <c r="CR162" i="53"/>
  <c r="CR155" i="53"/>
  <c r="CR152" i="53"/>
  <c r="CR159" i="53" s="1"/>
  <c r="CS146" i="53"/>
  <c r="CS141" i="53"/>
  <c r="CS177" i="53"/>
  <c r="CS182" i="53"/>
  <c r="CS103" i="53"/>
  <c r="CS192" i="53"/>
  <c r="CS190" i="53"/>
  <c r="CS187" i="53"/>
  <c r="CT203" i="53"/>
  <c r="CT180" i="53"/>
  <c r="CT163" i="53"/>
  <c r="CT165" i="53" s="1"/>
  <c r="CT167" i="53"/>
  <c r="CT144" i="53"/>
  <c r="CT138" i="53"/>
  <c r="CT179" i="53"/>
  <c r="CT174" i="53"/>
  <c r="CT157" i="53"/>
  <c r="CT140" i="53"/>
  <c r="CT107" i="53"/>
  <c r="CT104" i="53"/>
  <c r="CT114" i="53"/>
  <c r="CT150" i="53"/>
  <c r="CT102" i="53"/>
  <c r="CT106" i="53"/>
  <c r="CT186" i="53"/>
  <c r="CT121" i="53"/>
  <c r="CU6" i="53"/>
  <c r="CT142" i="53"/>
  <c r="CT131" i="53"/>
  <c r="CT193" i="53"/>
  <c r="CT143" i="53"/>
  <c r="CT127" i="53"/>
  <c r="CT129" i="53" s="1"/>
  <c r="CT153" i="53"/>
  <c r="CT7" i="53"/>
  <c r="CT117" i="53"/>
  <c r="CT108" i="53"/>
  <c r="CT189" i="53"/>
  <c r="CS156" i="53"/>
  <c r="CS154" i="53"/>
  <c r="CS151" i="53"/>
  <c r="CS120" i="53"/>
  <c r="CS118" i="53"/>
  <c r="CS115" i="53"/>
  <c r="CR126" i="53"/>
  <c r="CR119" i="53"/>
  <c r="CR116" i="53"/>
  <c r="CR123" i="53" s="1"/>
  <c r="CP111" i="53"/>
  <c r="CP112" i="53"/>
  <c r="CP113" i="53"/>
  <c r="CP211" i="53"/>
  <c r="CR182" i="53"/>
  <c r="CR177" i="53"/>
  <c r="CR176" i="53"/>
  <c r="CR178" i="53" s="1"/>
  <c r="CR181" i="53" s="1"/>
  <c r="CR146" i="53"/>
  <c r="CR141" i="53"/>
  <c r="CR145" i="53" s="1"/>
  <c r="CS176" i="53"/>
  <c r="CP196" i="53"/>
  <c r="CQ109" i="53"/>
  <c r="CL204" i="53"/>
  <c r="CM200" i="53" s="1"/>
  <c r="CL202" i="53"/>
  <c r="CK216" i="53"/>
  <c r="CK205" i="53"/>
  <c r="CJ217" i="53"/>
  <c r="CJ207" i="53"/>
  <c r="CI219" i="53"/>
  <c r="CL171" i="53"/>
  <c r="CN166" i="53"/>
  <c r="CN167" i="53"/>
  <c r="CM169" i="53"/>
  <c r="CM197" i="52"/>
  <c r="CN197" i="52" s="1"/>
  <c r="CP124" i="52"/>
  <c r="CQ181" i="52"/>
  <c r="CQ211" i="52" s="1"/>
  <c r="CS198" i="52"/>
  <c r="CS199" i="52" s="1"/>
  <c r="CS201" i="52" s="1"/>
  <c r="CS191" i="52"/>
  <c r="CS188" i="52"/>
  <c r="CS195" i="52" s="1"/>
  <c r="CS126" i="52"/>
  <c r="CS119" i="52"/>
  <c r="CS116" i="52"/>
  <c r="CS123" i="52" s="1"/>
  <c r="CS162" i="52"/>
  <c r="CS163" i="52" s="1"/>
  <c r="CS165" i="52" s="1"/>
  <c r="CS152" i="52"/>
  <c r="CS155" i="52"/>
  <c r="CT118" i="52"/>
  <c r="CT120" i="52"/>
  <c r="CT115" i="52"/>
  <c r="CT182" i="52"/>
  <c r="CT177" i="52"/>
  <c r="CT210" i="52"/>
  <c r="CT110" i="52"/>
  <c r="CT105" i="52"/>
  <c r="CT109" i="52" s="1"/>
  <c r="CT192" i="52"/>
  <c r="CT190" i="52"/>
  <c r="CT187" i="52"/>
  <c r="CU114" i="52"/>
  <c r="CU179" i="52"/>
  <c r="CU189" i="52"/>
  <c r="CU143" i="52"/>
  <c r="CU102" i="52"/>
  <c r="CU144" i="52"/>
  <c r="CU203" i="52"/>
  <c r="CU106" i="52"/>
  <c r="CU193" i="52"/>
  <c r="CU140" i="52"/>
  <c r="CU167" i="52"/>
  <c r="CU186" i="52"/>
  <c r="CU180" i="52"/>
  <c r="CU108" i="52"/>
  <c r="CU174" i="52"/>
  <c r="CU104" i="52"/>
  <c r="CU7" i="52"/>
  <c r="CU142" i="52"/>
  <c r="CU107" i="52"/>
  <c r="CU117" i="52"/>
  <c r="CU121" i="52"/>
  <c r="CU138" i="52"/>
  <c r="CU150" i="52"/>
  <c r="CU153" i="52"/>
  <c r="CU127" i="52"/>
  <c r="CU129" i="52" s="1"/>
  <c r="CU131" i="52"/>
  <c r="CU157" i="52"/>
  <c r="CV6" i="52"/>
  <c r="CT146" i="52"/>
  <c r="CT141" i="52"/>
  <c r="CT145" i="52" s="1"/>
  <c r="CT154" i="52"/>
  <c r="CT151" i="52"/>
  <c r="CT156" i="52"/>
  <c r="CM133" i="52"/>
  <c r="CN132" i="52"/>
  <c r="CO128" i="52" s="1"/>
  <c r="CN130" i="52"/>
  <c r="CL135" i="52"/>
  <c r="CL204" i="52"/>
  <c r="CM200" i="52" s="1"/>
  <c r="CL202" i="52"/>
  <c r="CK216" i="52"/>
  <c r="CK205" i="52"/>
  <c r="CJ206" i="52"/>
  <c r="CK206" i="52" s="1"/>
  <c r="CJ217" i="52"/>
  <c r="CJ207" i="52"/>
  <c r="CO185" i="52"/>
  <c r="CR112" i="52"/>
  <c r="CR111" i="52"/>
  <c r="CR113" i="52" s="1"/>
  <c r="CR147" i="52"/>
  <c r="CR148" i="52"/>
  <c r="CO160" i="52"/>
  <c r="CO212" i="52"/>
  <c r="CS176" i="52"/>
  <c r="CS177" i="52"/>
  <c r="CS182" i="52"/>
  <c r="CS105" i="52"/>
  <c r="CS110" i="52"/>
  <c r="CS210" i="52"/>
  <c r="CS146" i="52"/>
  <c r="CS141" i="52"/>
  <c r="CQ111" i="52"/>
  <c r="CQ112" i="52"/>
  <c r="CQ113" i="52" s="1"/>
  <c r="CQ148" i="52"/>
  <c r="CQ147" i="52"/>
  <c r="CR178" i="52"/>
  <c r="CN135" i="53"/>
  <c r="CO133" i="53"/>
  <c r="CP130" i="53"/>
  <c r="CP132" i="53"/>
  <c r="CQ128" i="53" s="1"/>
  <c r="CQ166" i="52"/>
  <c r="CQ168" i="52"/>
  <c r="CR164" i="52" s="1"/>
  <c r="D139" i="51"/>
  <c r="E120" i="51"/>
  <c r="D120" i="51"/>
  <c r="H78" i="51"/>
  <c r="CN80" i="51"/>
  <c r="AT106" i="51"/>
  <c r="AU106" i="51" s="1"/>
  <c r="AV106" i="51" s="1"/>
  <c r="AW106" i="51" s="1"/>
  <c r="AX106" i="51" s="1"/>
  <c r="AY106" i="51" s="1"/>
  <c r="AZ106" i="51" s="1"/>
  <c r="BA106" i="51" s="1"/>
  <c r="BB106" i="51" s="1"/>
  <c r="BC106" i="51" s="1"/>
  <c r="BD106" i="51" s="1"/>
  <c r="BE106" i="51" s="1"/>
  <c r="BF106" i="51" s="1"/>
  <c r="BG106" i="51" s="1"/>
  <c r="BH106" i="51" s="1"/>
  <c r="BI106" i="51" s="1"/>
  <c r="BJ106" i="51" s="1"/>
  <c r="BK106" i="51" s="1"/>
  <c r="BL106" i="51" s="1"/>
  <c r="BM106" i="51" s="1"/>
  <c r="BN106" i="51" s="1"/>
  <c r="BO106" i="51" s="1"/>
  <c r="BP106" i="51" s="1"/>
  <c r="BQ106" i="51" s="1"/>
  <c r="BR106" i="51" s="1"/>
  <c r="BS106" i="51" s="1"/>
  <c r="BT106" i="51" s="1"/>
  <c r="BU106" i="51" s="1"/>
  <c r="BV106" i="51" s="1"/>
  <c r="BW106" i="51" s="1"/>
  <c r="BX106" i="51" s="1"/>
  <c r="BY106" i="51" s="1"/>
  <c r="BZ106" i="51" s="1"/>
  <c r="CA106" i="51" s="1"/>
  <c r="CB106" i="51" s="1"/>
  <c r="CC106" i="51" s="1"/>
  <c r="CD106" i="51" s="1"/>
  <c r="CE106" i="51" s="1"/>
  <c r="CF106" i="51" s="1"/>
  <c r="CG106" i="51" s="1"/>
  <c r="CH106" i="51" s="1"/>
  <c r="CI106" i="51" s="1"/>
  <c r="CJ106" i="51" s="1"/>
  <c r="CK106" i="51" s="1"/>
  <c r="CL106" i="51" s="1"/>
  <c r="AT107" i="51"/>
  <c r="AT108" i="51"/>
  <c r="K112" i="51" a="1"/>
  <c r="M112" i="51" a="1"/>
  <c r="CM96" i="51"/>
  <c r="H102" i="51"/>
  <c r="CR195" i="53" l="1"/>
  <c r="CR211" i="53"/>
  <c r="CU194" i="53"/>
  <c r="CU158" i="53"/>
  <c r="CU122" i="53"/>
  <c r="CS159" i="52"/>
  <c r="CQ149" i="52"/>
  <c r="CQ160" i="52" s="1"/>
  <c r="CQ169" i="52" s="1"/>
  <c r="CV194" i="52"/>
  <c r="CV158" i="52"/>
  <c r="CV122" i="52"/>
  <c r="CP160" i="52"/>
  <c r="CP212" i="52"/>
  <c r="CR183" i="53"/>
  <c r="CR184" i="53"/>
  <c r="CR185" i="53"/>
  <c r="CQ183" i="53"/>
  <c r="CQ184" i="53"/>
  <c r="CQ185" i="53"/>
  <c r="CQ147" i="53"/>
  <c r="CQ148" i="53"/>
  <c r="CQ213" i="53"/>
  <c r="CR124" i="53"/>
  <c r="CS210" i="53"/>
  <c r="CS110" i="53"/>
  <c r="CS105" i="53"/>
  <c r="CS198" i="53"/>
  <c r="CS199" i="53" s="1"/>
  <c r="CS201" i="53" s="1"/>
  <c r="CS191" i="53"/>
  <c r="CS188" i="53"/>
  <c r="CS195" i="53" s="1"/>
  <c r="CT139" i="53"/>
  <c r="CT175" i="53"/>
  <c r="CT118" i="53"/>
  <c r="CT120" i="53"/>
  <c r="CT115" i="53"/>
  <c r="CT156" i="53"/>
  <c r="CT151" i="53"/>
  <c r="CT154" i="53"/>
  <c r="CT192" i="53"/>
  <c r="CT190" i="53"/>
  <c r="CT187" i="53"/>
  <c r="CU203" i="53"/>
  <c r="CU180" i="53"/>
  <c r="CU163" i="53"/>
  <c r="CU165" i="53" s="1"/>
  <c r="CU142" i="53"/>
  <c r="CU127" i="53"/>
  <c r="CU129" i="53" s="1"/>
  <c r="CU114" i="53"/>
  <c r="CU106" i="53"/>
  <c r="CU7" i="53"/>
  <c r="CU102" i="53"/>
  <c r="CU108" i="53"/>
  <c r="CU167" i="53"/>
  <c r="CU144" i="53"/>
  <c r="CU140" i="53"/>
  <c r="CU131" i="53"/>
  <c r="CU121" i="53"/>
  <c r="CU189" i="53"/>
  <c r="CU150" i="53"/>
  <c r="CU174" i="53"/>
  <c r="CU193" i="53"/>
  <c r="CV6" i="53"/>
  <c r="CU157" i="53"/>
  <c r="CU143" i="53"/>
  <c r="CU138" i="53"/>
  <c r="CU179" i="53"/>
  <c r="CU104" i="53"/>
  <c r="CU153" i="53"/>
  <c r="CU117" i="53"/>
  <c r="CU107" i="53"/>
  <c r="CU186" i="53"/>
  <c r="CS162" i="53"/>
  <c r="CS155" i="53"/>
  <c r="CS152" i="53"/>
  <c r="CS159" i="53" s="1"/>
  <c r="CS126" i="53"/>
  <c r="CS119" i="53"/>
  <c r="CS116" i="53"/>
  <c r="CS123" i="53" s="1"/>
  <c r="CP212" i="53"/>
  <c r="CP124" i="53"/>
  <c r="CR148" i="53"/>
  <c r="CR147" i="53"/>
  <c r="CQ211" i="53"/>
  <c r="CQ111" i="53"/>
  <c r="CQ112" i="53"/>
  <c r="CS178" i="53"/>
  <c r="CS181" i="53" s="1"/>
  <c r="CP197" i="53"/>
  <c r="CS145" i="53"/>
  <c r="CT103" i="53"/>
  <c r="CM204" i="53"/>
  <c r="CN200" i="53" s="1"/>
  <c r="CM202" i="53"/>
  <c r="CL216" i="53"/>
  <c r="CL205" i="53"/>
  <c r="CK217" i="53"/>
  <c r="CK206" i="53"/>
  <c r="CL206" i="53" s="1"/>
  <c r="CK207" i="53"/>
  <c r="CJ219" i="53"/>
  <c r="CN168" i="53"/>
  <c r="CO164" i="53" s="1"/>
  <c r="CM171" i="53"/>
  <c r="CQ184" i="52"/>
  <c r="CQ183" i="52"/>
  <c r="CR213" i="52"/>
  <c r="CT126" i="52"/>
  <c r="CT119" i="52"/>
  <c r="CT116" i="52"/>
  <c r="CT123" i="52" s="1"/>
  <c r="CT112" i="52"/>
  <c r="CT111" i="52"/>
  <c r="CT113" i="52" s="1"/>
  <c r="CT198" i="52"/>
  <c r="CT199" i="52" s="1"/>
  <c r="CT201" i="52" s="1"/>
  <c r="CT191" i="52"/>
  <c r="CT188" i="52"/>
  <c r="CU120" i="52"/>
  <c r="CU118" i="52"/>
  <c r="CU115" i="52"/>
  <c r="CU103" i="52"/>
  <c r="CU192" i="52"/>
  <c r="CU190" i="52"/>
  <c r="CU187" i="52"/>
  <c r="CU175" i="52"/>
  <c r="CU139" i="52"/>
  <c r="CU154" i="52"/>
  <c r="CU151" i="52"/>
  <c r="CU156" i="52"/>
  <c r="CV114" i="52"/>
  <c r="CV174" i="52"/>
  <c r="CV106" i="52"/>
  <c r="CV193" i="52"/>
  <c r="CV179" i="52"/>
  <c r="CV107" i="52"/>
  <c r="CV180" i="52"/>
  <c r="CV142" i="52"/>
  <c r="CV143" i="52"/>
  <c r="CV102" i="52"/>
  <c r="CV103" i="52" s="1"/>
  <c r="CV104" i="52"/>
  <c r="CV7" i="52"/>
  <c r="CV108" i="52"/>
  <c r="CV140" i="52"/>
  <c r="CV203" i="52"/>
  <c r="CV189" i="52"/>
  <c r="CV186" i="52"/>
  <c r="CV157" i="52"/>
  <c r="CW6" i="52"/>
  <c r="CV117" i="52"/>
  <c r="CV121" i="52"/>
  <c r="CV138" i="52"/>
  <c r="CV139" i="52" s="1"/>
  <c r="CV150" i="52"/>
  <c r="CV153" i="52"/>
  <c r="CV127" i="52"/>
  <c r="CV129" i="52" s="1"/>
  <c r="CV131" i="52"/>
  <c r="CV163" i="52"/>
  <c r="CT147" i="52"/>
  <c r="CT148" i="52"/>
  <c r="CT162" i="52"/>
  <c r="CT163" i="52" s="1"/>
  <c r="CT165" i="52" s="1"/>
  <c r="CT155" i="52"/>
  <c r="CT152" i="52"/>
  <c r="CT159" i="52" s="1"/>
  <c r="CM135" i="52"/>
  <c r="CO132" i="52"/>
  <c r="CP128" i="52" s="1"/>
  <c r="CO130" i="52"/>
  <c r="CN133" i="52"/>
  <c r="CM202" i="52"/>
  <c r="CM204" i="52"/>
  <c r="CN200" i="52" s="1"/>
  <c r="CL216" i="52"/>
  <c r="CL205" i="52"/>
  <c r="CK217" i="52"/>
  <c r="CK207" i="52"/>
  <c r="CK219" i="52" s="1"/>
  <c r="CJ219" i="52"/>
  <c r="CO196" i="52"/>
  <c r="CR124" i="52"/>
  <c r="CO169" i="52"/>
  <c r="CO171" i="52" s="1"/>
  <c r="CO214" i="52"/>
  <c r="CS109" i="52"/>
  <c r="CS145" i="52"/>
  <c r="CQ124" i="52"/>
  <c r="CR149" i="52"/>
  <c r="CS178" i="52"/>
  <c r="CS181" i="52" s="1"/>
  <c r="CT178" i="52"/>
  <c r="CT181" i="52" s="1"/>
  <c r="CT211" i="52" s="1"/>
  <c r="CR181" i="52"/>
  <c r="CR211" i="52" s="1"/>
  <c r="CO135" i="53"/>
  <c r="CQ130" i="53"/>
  <c r="CQ132" i="53"/>
  <c r="CR128" i="53" s="1"/>
  <c r="CR166" i="52"/>
  <c r="CR168" i="52"/>
  <c r="CS164" i="52" s="1"/>
  <c r="J112" i="51" a="1"/>
  <c r="S112" i="51" a="1"/>
  <c r="AB112" i="51" a="1"/>
  <c r="AA112" i="51" a="1"/>
  <c r="Y112" i="51" a="1"/>
  <c r="W112" i="51" a="1"/>
  <c r="Z112" i="51" a="1"/>
  <c r="Q112" i="51" a="1"/>
  <c r="U112" i="51" a="1"/>
  <c r="O112" i="51" a="1"/>
  <c r="H80" i="51"/>
  <c r="P112" i="51" a="1"/>
  <c r="L112" i="51" a="1"/>
  <c r="I112" i="51" a="1"/>
  <c r="CN96" i="51"/>
  <c r="AB114" i="51" s="1" a="1"/>
  <c r="R112" i="51" a="1"/>
  <c r="X112" i="51" a="1"/>
  <c r="N112" i="51" a="1"/>
  <c r="T112" i="51" a="1"/>
  <c r="V112" i="51" a="1"/>
  <c r="Z114" i="51" a="1"/>
  <c r="CM97" i="51"/>
  <c r="CM105" i="51"/>
  <c r="E134" i="51"/>
  <c r="E122" i="51"/>
  <c r="CV194" i="53" l="1"/>
  <c r="CV158" i="53"/>
  <c r="CV122" i="53"/>
  <c r="CT195" i="52"/>
  <c r="CW194" i="52"/>
  <c r="CW158" i="52"/>
  <c r="CW122" i="52"/>
  <c r="CP214" i="52"/>
  <c r="CP169" i="52"/>
  <c r="CP171" i="52" s="1"/>
  <c r="CQ196" i="53"/>
  <c r="CS109" i="53"/>
  <c r="CT146" i="53"/>
  <c r="CT141" i="53"/>
  <c r="CT210" i="53"/>
  <c r="CT176" i="53"/>
  <c r="CT182" i="53"/>
  <c r="CT177" i="53"/>
  <c r="CT126" i="53"/>
  <c r="CT116" i="53"/>
  <c r="CT119" i="53"/>
  <c r="CT162" i="53"/>
  <c r="CT155" i="53"/>
  <c r="CT152" i="53"/>
  <c r="CT159" i="53" s="1"/>
  <c r="CT198" i="53"/>
  <c r="CT199" i="53" s="1"/>
  <c r="CT201" i="53" s="1"/>
  <c r="CT188" i="53"/>
  <c r="CT191" i="53"/>
  <c r="CU120" i="53"/>
  <c r="CU118" i="53"/>
  <c r="CU115" i="53"/>
  <c r="CU154" i="53"/>
  <c r="CU151" i="53"/>
  <c r="CU156" i="53"/>
  <c r="CV203" i="53"/>
  <c r="CV180" i="53"/>
  <c r="CV138" i="53"/>
  <c r="CV127" i="53"/>
  <c r="CV129" i="53" s="1"/>
  <c r="CV186" i="53"/>
  <c r="CV106" i="53"/>
  <c r="CV117" i="53"/>
  <c r="CV189" i="53"/>
  <c r="CV179" i="53"/>
  <c r="CV108" i="53"/>
  <c r="CV102" i="53"/>
  <c r="CV193" i="53"/>
  <c r="CV174" i="53"/>
  <c r="CV153" i="53"/>
  <c r="CV104" i="53"/>
  <c r="CV121" i="53"/>
  <c r="CW6" i="53"/>
  <c r="CV167" i="53"/>
  <c r="CV163" i="53"/>
  <c r="CV165" i="53" s="1"/>
  <c r="CV157" i="53"/>
  <c r="CV144" i="53"/>
  <c r="CV143" i="53"/>
  <c r="CV142" i="53"/>
  <c r="CV140" i="53"/>
  <c r="CV131" i="53"/>
  <c r="CV7" i="53"/>
  <c r="CV107" i="53"/>
  <c r="CV150" i="53"/>
  <c r="CV114" i="53"/>
  <c r="CU190" i="53"/>
  <c r="CU192" i="53"/>
  <c r="CU187" i="53"/>
  <c r="CS184" i="53"/>
  <c r="CS183" i="53"/>
  <c r="CS185" i="53" s="1"/>
  <c r="CR213" i="53"/>
  <c r="CS148" i="53"/>
  <c r="CS147" i="53"/>
  <c r="CT105" i="53"/>
  <c r="CT109" i="53" s="1"/>
  <c r="CT110" i="53"/>
  <c r="CR149" i="53"/>
  <c r="CQ113" i="53"/>
  <c r="CR196" i="53"/>
  <c r="CQ149" i="53"/>
  <c r="CQ160" i="53" s="1"/>
  <c r="CU103" i="53"/>
  <c r="CU175" i="53"/>
  <c r="CU139" i="53"/>
  <c r="CP214" i="53"/>
  <c r="CP133" i="53"/>
  <c r="CP135" i="53" s="1"/>
  <c r="CN204" i="53"/>
  <c r="CO200" i="53" s="1"/>
  <c r="CN202" i="53"/>
  <c r="CM216" i="53"/>
  <c r="CM205" i="53"/>
  <c r="CL217" i="53"/>
  <c r="CL207" i="53"/>
  <c r="CK219" i="53"/>
  <c r="CO166" i="53"/>
  <c r="CO168" i="53"/>
  <c r="CP164" i="53" s="1"/>
  <c r="CT149" i="52"/>
  <c r="CQ185" i="52"/>
  <c r="CT124" i="52"/>
  <c r="CU126" i="52"/>
  <c r="CU119" i="52"/>
  <c r="CU116" i="52"/>
  <c r="CU123" i="52" s="1"/>
  <c r="CU210" i="52"/>
  <c r="CU110" i="52"/>
  <c r="CU105" i="52"/>
  <c r="CU198" i="52"/>
  <c r="CU199" i="52" s="1"/>
  <c r="CU201" i="52" s="1"/>
  <c r="CU191" i="52"/>
  <c r="CU188" i="52"/>
  <c r="CU195" i="52" s="1"/>
  <c r="CU176" i="52"/>
  <c r="CU182" i="52"/>
  <c r="CU177" i="52"/>
  <c r="CU146" i="52"/>
  <c r="CU141" i="52"/>
  <c r="CU162" i="52"/>
  <c r="CU163" i="52" s="1"/>
  <c r="CU155" i="52"/>
  <c r="CU152" i="52"/>
  <c r="CU159" i="52" s="1"/>
  <c r="CV118" i="52"/>
  <c r="CV115" i="52"/>
  <c r="CV120" i="52"/>
  <c r="CV110" i="52"/>
  <c r="CV105" i="52"/>
  <c r="CV109" i="52" s="1"/>
  <c r="CV192" i="52"/>
  <c r="CV190" i="52"/>
  <c r="CV187" i="52"/>
  <c r="CW203" i="52"/>
  <c r="CW107" i="52"/>
  <c r="CW143" i="52"/>
  <c r="CW189" i="52"/>
  <c r="CW142" i="52"/>
  <c r="CW144" i="52"/>
  <c r="CW180" i="52"/>
  <c r="CW106" i="52"/>
  <c r="CW140" i="52"/>
  <c r="CW104" i="52"/>
  <c r="CW179" i="52"/>
  <c r="CW174" i="52"/>
  <c r="CW193" i="52"/>
  <c r="CW114" i="52"/>
  <c r="CW186" i="52"/>
  <c r="CW108" i="52"/>
  <c r="CW7" i="52"/>
  <c r="CW102" i="52"/>
  <c r="CW167" i="52"/>
  <c r="CW117" i="52"/>
  <c r="CW121" i="52"/>
  <c r="CW138" i="52"/>
  <c r="CW150" i="52"/>
  <c r="CW153" i="52"/>
  <c r="CW127" i="52"/>
  <c r="CW129" i="52" s="1"/>
  <c r="CW131" i="52"/>
  <c r="CW157" i="52"/>
  <c r="CW163" i="52"/>
  <c r="CW165" i="52" s="1"/>
  <c r="CX6" i="52"/>
  <c r="CV146" i="52"/>
  <c r="CV141" i="52"/>
  <c r="CV151" i="52"/>
  <c r="CV154" i="52"/>
  <c r="CV156" i="52"/>
  <c r="CP132" i="52"/>
  <c r="CQ128" i="52" s="1"/>
  <c r="CP130" i="52"/>
  <c r="CO133" i="52"/>
  <c r="CN135" i="52"/>
  <c r="CM216" i="52"/>
  <c r="CM205" i="52"/>
  <c r="CN204" i="52"/>
  <c r="CO200" i="52" s="1"/>
  <c r="CN202" i="52"/>
  <c r="CL206" i="52"/>
  <c r="CL217" i="52"/>
  <c r="CL207" i="52"/>
  <c r="CO197" i="52"/>
  <c r="CP197" i="52" s="1"/>
  <c r="CS211" i="52"/>
  <c r="CS112" i="52"/>
  <c r="CS111" i="52"/>
  <c r="CS147" i="52"/>
  <c r="CS148" i="52"/>
  <c r="CS184" i="52"/>
  <c r="CS183" i="52"/>
  <c r="CS185" i="52" s="1"/>
  <c r="CS196" i="52" s="1"/>
  <c r="CS213" i="52"/>
  <c r="CT183" i="52"/>
  <c r="CT184" i="52"/>
  <c r="CR184" i="52"/>
  <c r="CR183" i="52"/>
  <c r="CV175" i="52"/>
  <c r="CV210" i="52" s="1"/>
  <c r="CR160" i="52"/>
  <c r="CR130" i="53"/>
  <c r="CR132" i="53"/>
  <c r="CS128" i="53" s="1"/>
  <c r="CS166" i="52"/>
  <c r="CS168" i="52"/>
  <c r="CT164" i="52" s="1"/>
  <c r="CQ171" i="52"/>
  <c r="CR169" i="52"/>
  <c r="N114" i="51" a="1"/>
  <c r="P114" i="51" a="1"/>
  <c r="Q114" i="51" a="1"/>
  <c r="L114" i="51" a="1"/>
  <c r="S114" i="51" a="1"/>
  <c r="Y114" i="51" a="1"/>
  <c r="U114" i="51" a="1"/>
  <c r="D121" i="51"/>
  <c r="E121" i="51"/>
  <c r="AA114" i="51" a="1"/>
  <c r="X114" i="51" a="1"/>
  <c r="R114" i="51" a="1"/>
  <c r="H96" i="51"/>
  <c r="D123" i="51" s="1"/>
  <c r="D124" i="51" s="1"/>
  <c r="CN97" i="51"/>
  <c r="CN105" i="51"/>
  <c r="K114" i="51" a="1"/>
  <c r="M114" i="51" a="1"/>
  <c r="W114" i="51" a="1"/>
  <c r="J114" i="51" a="1"/>
  <c r="O114" i="51" a="1"/>
  <c r="V114" i="51" a="1"/>
  <c r="T114" i="51" a="1"/>
  <c r="D126" i="51"/>
  <c r="D125" i="51"/>
  <c r="D130" i="51"/>
  <c r="I114" i="51" a="1"/>
  <c r="H112" i="51"/>
  <c r="CM106" i="51"/>
  <c r="CM107" i="51"/>
  <c r="CM108" i="51"/>
  <c r="CT123" i="53" l="1"/>
  <c r="CT195" i="53"/>
  <c r="CW194" i="53"/>
  <c r="CW158" i="53"/>
  <c r="CW122" i="53"/>
  <c r="CX194" i="52"/>
  <c r="CX158" i="52"/>
  <c r="CX122" i="52"/>
  <c r="CS113" i="52"/>
  <c r="CS124" i="52" s="1"/>
  <c r="CQ197" i="53"/>
  <c r="CR197" i="53" s="1"/>
  <c r="CS211" i="53"/>
  <c r="CS112" i="53"/>
  <c r="CS111" i="53"/>
  <c r="CS113" i="53" s="1"/>
  <c r="CT145" i="53"/>
  <c r="CT178" i="53"/>
  <c r="CT181" i="53" s="1"/>
  <c r="CU126" i="53"/>
  <c r="CU116" i="53"/>
  <c r="CU119" i="53"/>
  <c r="CU162" i="53"/>
  <c r="CU152" i="53"/>
  <c r="CU155" i="53"/>
  <c r="CV192" i="53"/>
  <c r="CV190" i="53"/>
  <c r="CV187" i="53"/>
  <c r="CW203" i="53"/>
  <c r="CX6" i="53"/>
  <c r="CW167" i="53"/>
  <c r="CW163" i="53"/>
  <c r="CW165" i="53" s="1"/>
  <c r="CW157" i="53"/>
  <c r="CW144" i="53"/>
  <c r="CW143" i="53"/>
  <c r="CW142" i="53"/>
  <c r="CW140" i="53"/>
  <c r="CW138" i="53"/>
  <c r="CW139" i="53" s="1"/>
  <c r="CW131" i="53"/>
  <c r="CW127" i="53"/>
  <c r="CW129" i="53" s="1"/>
  <c r="CW186" i="53"/>
  <c r="CW117" i="53"/>
  <c r="CW107" i="53"/>
  <c r="CW174" i="53"/>
  <c r="CW175" i="53" s="1"/>
  <c r="CW176" i="53" s="1"/>
  <c r="CW153" i="53"/>
  <c r="CW102" i="53"/>
  <c r="CW103" i="53" s="1"/>
  <c r="CW114" i="53"/>
  <c r="CW193" i="53"/>
  <c r="CW106" i="53"/>
  <c r="CW189" i="53"/>
  <c r="CW104" i="53"/>
  <c r="CW150" i="53"/>
  <c r="CW108" i="53"/>
  <c r="CW179" i="53"/>
  <c r="CW7" i="53"/>
  <c r="CW121" i="53"/>
  <c r="CW180" i="53"/>
  <c r="CV154" i="53"/>
  <c r="CV151" i="53"/>
  <c r="CV156" i="53"/>
  <c r="CV115" i="53"/>
  <c r="CV118" i="53"/>
  <c r="CV120" i="53"/>
  <c r="CU198" i="53"/>
  <c r="CU199" i="53" s="1"/>
  <c r="CU201" i="53" s="1"/>
  <c r="CU188" i="53"/>
  <c r="CU191" i="53"/>
  <c r="CS213" i="53"/>
  <c r="CT211" i="53"/>
  <c r="CT111" i="53"/>
  <c r="CT112" i="53"/>
  <c r="CR212" i="53"/>
  <c r="CR160" i="53"/>
  <c r="CR214" i="53" s="1"/>
  <c r="CQ124" i="53"/>
  <c r="CQ212" i="53"/>
  <c r="CU210" i="53"/>
  <c r="CU105" i="53"/>
  <c r="CU110" i="53"/>
  <c r="CU177" i="53"/>
  <c r="CU182" i="53"/>
  <c r="CU176" i="53"/>
  <c r="CU141" i="53"/>
  <c r="CU146" i="53"/>
  <c r="CS149" i="53"/>
  <c r="CS160" i="53" s="1"/>
  <c r="CV139" i="53"/>
  <c r="CV103" i="53"/>
  <c r="CV175" i="53"/>
  <c r="CS196" i="53"/>
  <c r="CO204" i="53"/>
  <c r="CP200" i="53" s="1"/>
  <c r="CO202" i="53"/>
  <c r="CN216" i="53"/>
  <c r="CN205" i="53"/>
  <c r="CM217" i="53"/>
  <c r="CM206" i="53"/>
  <c r="CN206" i="53" s="1"/>
  <c r="CM207" i="53"/>
  <c r="CL219" i="53"/>
  <c r="CO169" i="53"/>
  <c r="CP168" i="53"/>
  <c r="CQ164" i="53" s="1"/>
  <c r="CP166" i="53"/>
  <c r="CM206" i="52"/>
  <c r="CQ212" i="52"/>
  <c r="CQ196" i="52"/>
  <c r="CU109" i="52"/>
  <c r="CU178" i="52"/>
  <c r="CU145" i="52"/>
  <c r="CV165" i="52"/>
  <c r="CU165" i="52"/>
  <c r="CV126" i="52"/>
  <c r="CV116" i="52"/>
  <c r="CV119" i="52"/>
  <c r="CV112" i="52"/>
  <c r="CV111" i="52"/>
  <c r="CV113" i="52" s="1"/>
  <c r="CV198" i="52"/>
  <c r="CV199" i="52" s="1"/>
  <c r="CV201" i="52" s="1"/>
  <c r="CV191" i="52"/>
  <c r="CV188" i="52"/>
  <c r="CV195" i="52" s="1"/>
  <c r="CW118" i="52"/>
  <c r="CW115" i="52"/>
  <c r="CW120" i="52"/>
  <c r="CW192" i="52"/>
  <c r="CW190" i="52"/>
  <c r="CW187" i="52"/>
  <c r="CW103" i="52"/>
  <c r="CW139" i="52"/>
  <c r="CW151" i="52"/>
  <c r="CW154" i="52"/>
  <c r="CW156" i="52"/>
  <c r="CX7" i="52"/>
  <c r="CX167" i="52"/>
  <c r="CX203" i="52"/>
  <c r="CX108" i="52"/>
  <c r="CX186" i="52"/>
  <c r="CX174" i="52"/>
  <c r="CX175" i="52" s="1"/>
  <c r="CX176" i="52" s="1"/>
  <c r="CX114" i="52"/>
  <c r="CX193" i="52"/>
  <c r="CX140" i="52"/>
  <c r="CX104" i="52"/>
  <c r="CX180" i="52"/>
  <c r="CX106" i="52"/>
  <c r="CX144" i="52"/>
  <c r="CX179" i="52"/>
  <c r="CX189" i="52"/>
  <c r="CX142" i="52"/>
  <c r="CX143" i="52"/>
  <c r="CX107" i="52"/>
  <c r="CX102" i="52"/>
  <c r="CX103" i="52" s="1"/>
  <c r="CX157" i="52"/>
  <c r="CY6" i="52"/>
  <c r="CX117" i="52"/>
  <c r="CX121" i="52"/>
  <c r="CX138" i="52"/>
  <c r="CX150" i="52"/>
  <c r="CX153" i="52"/>
  <c r="CX127" i="52"/>
  <c r="CX129" i="52" s="1"/>
  <c r="CX131" i="52"/>
  <c r="CX163" i="52"/>
  <c r="CX165" i="52" s="1"/>
  <c r="CV162" i="52"/>
  <c r="CV152" i="52"/>
  <c r="CV159" i="52" s="1"/>
  <c r="CV155" i="52"/>
  <c r="CT213" i="52"/>
  <c r="CT160" i="52"/>
  <c r="CQ132" i="52"/>
  <c r="CR128" i="52" s="1"/>
  <c r="CQ130" i="52"/>
  <c r="CP133" i="52"/>
  <c r="CO135" i="52"/>
  <c r="CM217" i="52"/>
  <c r="CM207" i="52"/>
  <c r="CM219" i="52" s="1"/>
  <c r="CO204" i="52"/>
  <c r="CP200" i="52" s="1"/>
  <c r="CO202" i="52"/>
  <c r="CN216" i="52"/>
  <c r="CN205" i="52"/>
  <c r="CL219" i="52"/>
  <c r="CV176" i="52"/>
  <c r="CV177" i="52"/>
  <c r="CV182" i="52"/>
  <c r="CS149" i="52"/>
  <c r="CT185" i="52"/>
  <c r="CW175" i="52"/>
  <c r="CR185" i="52"/>
  <c r="CR133" i="53"/>
  <c r="CS130" i="53"/>
  <c r="CS132" i="53"/>
  <c r="CT128" i="53" s="1"/>
  <c r="CT166" i="52"/>
  <c r="CT168" i="52"/>
  <c r="CU164" i="52" s="1"/>
  <c r="CR171" i="52"/>
  <c r="Y115" i="51" a="1"/>
  <c r="J115" i="51" a="1"/>
  <c r="W115" i="51" a="1"/>
  <c r="N115" i="51" a="1"/>
  <c r="K115" i="51" a="1"/>
  <c r="U115" i="51" a="1"/>
  <c r="T115" i="51" a="1"/>
  <c r="AB115" i="51" a="1"/>
  <c r="R115" i="51" a="1"/>
  <c r="V115" i="51" a="1"/>
  <c r="P115" i="51" a="1"/>
  <c r="S115" i="51" a="1"/>
  <c r="L115" i="51" a="1"/>
  <c r="O115" i="51" a="1"/>
  <c r="AA115" i="51" a="1"/>
  <c r="M115" i="51" a="1"/>
  <c r="Z115" i="51" a="1"/>
  <c r="I115" i="51" a="1"/>
  <c r="Q115" i="51" a="1"/>
  <c r="X115" i="51" a="1"/>
  <c r="CN106" i="51"/>
  <c r="H105" i="51"/>
  <c r="E123" i="51" s="1"/>
  <c r="E124" i="51" s="1"/>
  <c r="E130" i="51"/>
  <c r="E125" i="51"/>
  <c r="E126" i="51"/>
  <c r="D127" i="51"/>
  <c r="D131" i="51" s="1"/>
  <c r="D128" i="51"/>
  <c r="H114" i="51"/>
  <c r="CN107" i="51"/>
  <c r="H107" i="51" s="1"/>
  <c r="CN108" i="51"/>
  <c r="H108" i="51" s="1"/>
  <c r="CU195" i="53" l="1"/>
  <c r="CU123" i="53"/>
  <c r="CU159" i="53"/>
  <c r="CX194" i="53"/>
  <c r="CX158" i="53"/>
  <c r="CX122" i="53"/>
  <c r="CV123" i="52"/>
  <c r="CV124" i="52" s="1"/>
  <c r="CY194" i="52"/>
  <c r="CY158" i="52"/>
  <c r="CY122" i="52"/>
  <c r="J14" i="54" a="1"/>
  <c r="K14" i="54" a="1"/>
  <c r="L14" i="54" a="1"/>
  <c r="M14" i="54" a="1"/>
  <c r="N14" i="54" a="1"/>
  <c r="O14" i="54" a="1"/>
  <c r="P14" i="54" a="1"/>
  <c r="Q14" i="54" a="1"/>
  <c r="R14" i="54" a="1"/>
  <c r="S14" i="54" a="1"/>
  <c r="T14" i="54" a="1"/>
  <c r="U14" i="54" a="1"/>
  <c r="V14" i="54" a="1"/>
  <c r="W14" i="54" a="1"/>
  <c r="X14" i="54" a="1"/>
  <c r="Y14" i="54" a="1"/>
  <c r="Z14" i="54" a="1"/>
  <c r="AA14" i="54" a="1"/>
  <c r="AB14" i="54" a="1"/>
  <c r="AC14" i="54" a="1"/>
  <c r="CO205" i="53"/>
  <c r="CO217" i="53" s="1"/>
  <c r="CO216" i="53"/>
  <c r="CS212" i="53"/>
  <c r="CS124" i="53"/>
  <c r="CT148" i="53"/>
  <c r="CT147" i="53"/>
  <c r="CT149" i="53" s="1"/>
  <c r="CT160" i="53" s="1"/>
  <c r="CT183" i="53"/>
  <c r="CT184" i="53"/>
  <c r="CT185" i="53"/>
  <c r="CV198" i="53"/>
  <c r="CV199" i="53" s="1"/>
  <c r="CV201" i="53" s="1"/>
  <c r="CV188" i="53"/>
  <c r="CV191" i="53"/>
  <c r="CX157" i="53"/>
  <c r="CX142" i="53"/>
  <c r="CX127" i="53"/>
  <c r="CX129" i="53" s="1"/>
  <c r="CX186" i="53"/>
  <c r="CX193" i="53"/>
  <c r="CX121" i="53"/>
  <c r="CX114" i="53"/>
  <c r="CX179" i="53"/>
  <c r="CX153" i="53"/>
  <c r="CX150" i="53"/>
  <c r="CX108" i="53"/>
  <c r="CX203" i="53"/>
  <c r="CX189" i="53"/>
  <c r="CX106" i="53"/>
  <c r="CX104" i="53"/>
  <c r="CX167" i="53"/>
  <c r="CX163" i="53"/>
  <c r="CX165" i="53" s="1"/>
  <c r="CX143" i="53"/>
  <c r="CX138" i="53"/>
  <c r="CX117" i="53"/>
  <c r="CX180" i="53"/>
  <c r="CX7" i="53"/>
  <c r="CY6" i="53"/>
  <c r="CX144" i="53"/>
  <c r="CX140" i="53"/>
  <c r="CX131" i="53"/>
  <c r="CX102" i="53"/>
  <c r="CX107" i="53"/>
  <c r="CX174" i="53"/>
  <c r="CW141" i="53"/>
  <c r="CW146" i="53"/>
  <c r="CW210" i="53"/>
  <c r="CW187" i="53"/>
  <c r="CW192" i="53"/>
  <c r="CW190" i="53"/>
  <c r="CW182" i="53"/>
  <c r="CW177" i="53"/>
  <c r="CW105" i="53"/>
  <c r="CW109" i="53" s="1"/>
  <c r="CW110" i="53"/>
  <c r="CW115" i="53"/>
  <c r="CW120" i="53"/>
  <c r="CW118" i="53"/>
  <c r="CW154" i="53"/>
  <c r="CW151" i="53"/>
  <c r="CW156" i="53"/>
  <c r="CV162" i="53"/>
  <c r="CV152" i="53"/>
  <c r="CV155" i="53"/>
  <c r="CV126" i="53"/>
  <c r="CV116" i="53"/>
  <c r="CV119" i="53"/>
  <c r="CU109" i="53"/>
  <c r="CV146" i="53"/>
  <c r="CV141" i="53"/>
  <c r="CV145" i="53" s="1"/>
  <c r="CV210" i="53"/>
  <c r="CV110" i="53"/>
  <c r="CV105" i="53"/>
  <c r="CV176" i="53"/>
  <c r="CV178" i="53" s="1"/>
  <c r="CV177" i="53"/>
  <c r="CV182" i="53"/>
  <c r="CT113" i="53"/>
  <c r="CT213" i="53"/>
  <c r="CS197" i="53"/>
  <c r="CQ133" i="53"/>
  <c r="CQ135" i="53" s="1"/>
  <c r="CQ214" i="53"/>
  <c r="CU178" i="53"/>
  <c r="CU181" i="53" s="1"/>
  <c r="CW178" i="53"/>
  <c r="CU145" i="53"/>
  <c r="CP204" i="53"/>
  <c r="CQ200" i="53" s="1"/>
  <c r="CP202" i="53"/>
  <c r="CP205" i="53" s="1"/>
  <c r="CN207" i="53"/>
  <c r="CM219" i="53"/>
  <c r="CO171" i="53"/>
  <c r="CQ168" i="53"/>
  <c r="CR164" i="53" s="1"/>
  <c r="CQ166" i="53"/>
  <c r="CP216" i="53"/>
  <c r="CP169" i="53"/>
  <c r="CQ197" i="52"/>
  <c r="CQ214" i="52"/>
  <c r="CU213" i="52"/>
  <c r="CU112" i="52"/>
  <c r="CU111" i="52"/>
  <c r="CU113" i="52" s="1"/>
  <c r="CU181" i="52"/>
  <c r="CU211" i="52" s="1"/>
  <c r="CU147" i="52"/>
  <c r="CU148" i="52"/>
  <c r="CW126" i="52"/>
  <c r="CW119" i="52"/>
  <c r="CW116" i="52"/>
  <c r="CW123" i="52" s="1"/>
  <c r="CW198" i="52"/>
  <c r="CW199" i="52" s="1"/>
  <c r="CW201" i="52" s="1"/>
  <c r="CW191" i="52"/>
  <c r="CW188" i="52"/>
  <c r="CW195" i="52" s="1"/>
  <c r="CW210" i="52"/>
  <c r="CW110" i="52"/>
  <c r="CW105" i="52"/>
  <c r="CW141" i="52"/>
  <c r="CW146" i="52"/>
  <c r="CW162" i="52"/>
  <c r="CW155" i="52"/>
  <c r="CW152" i="52"/>
  <c r="CW159" i="52" s="1"/>
  <c r="CX192" i="52"/>
  <c r="CX190" i="52"/>
  <c r="CX187" i="52"/>
  <c r="CX182" i="52"/>
  <c r="CX177" i="52"/>
  <c r="CX120" i="52"/>
  <c r="CX118" i="52"/>
  <c r="CX115" i="52"/>
  <c r="CX110" i="52"/>
  <c r="CX105" i="52"/>
  <c r="CX109" i="52" s="1"/>
  <c r="CY143" i="52"/>
  <c r="CY142" i="52"/>
  <c r="CY189" i="52"/>
  <c r="CY144" i="52"/>
  <c r="CY179" i="52"/>
  <c r="CY102" i="52"/>
  <c r="CY106" i="52"/>
  <c r="CY104" i="52"/>
  <c r="CY140" i="52"/>
  <c r="CY107" i="52"/>
  <c r="CY180" i="52"/>
  <c r="CY193" i="52"/>
  <c r="CY114" i="52"/>
  <c r="CY174" i="52"/>
  <c r="CY108" i="52"/>
  <c r="CY186" i="52"/>
  <c r="CY203" i="52"/>
  <c r="CY7" i="52"/>
  <c r="CY167" i="52"/>
  <c r="CY117" i="52"/>
  <c r="CY121" i="52"/>
  <c r="CY138" i="52"/>
  <c r="CY150" i="52"/>
  <c r="CY153" i="52"/>
  <c r="CY127" i="52"/>
  <c r="CY129" i="52" s="1"/>
  <c r="CY131" i="52"/>
  <c r="CY157" i="52"/>
  <c r="CY163" i="52"/>
  <c r="CY165" i="52" s="1"/>
  <c r="CZ6" i="52"/>
  <c r="CX156" i="52"/>
  <c r="CX151" i="52"/>
  <c r="CX154" i="52"/>
  <c r="CR130" i="52"/>
  <c r="CR132" i="52"/>
  <c r="CS128" i="52" s="1"/>
  <c r="CQ133" i="52"/>
  <c r="CP135" i="52"/>
  <c r="CP204" i="52"/>
  <c r="CQ200" i="52" s="1"/>
  <c r="CP202" i="52"/>
  <c r="CO216" i="52"/>
  <c r="CO205" i="52"/>
  <c r="CN206" i="52"/>
  <c r="CO206" i="52" s="1"/>
  <c r="CN217" i="52"/>
  <c r="CN207" i="52"/>
  <c r="CT212" i="52"/>
  <c r="CT196" i="52"/>
  <c r="CW177" i="52"/>
  <c r="CW182" i="52"/>
  <c r="CW176" i="52"/>
  <c r="CW178" i="52" s="1"/>
  <c r="CR212" i="52"/>
  <c r="CR196" i="52"/>
  <c r="CR214" i="52" s="1"/>
  <c r="CX139" i="52"/>
  <c r="CX210" i="52" s="1"/>
  <c r="CV178" i="52"/>
  <c r="CX178" i="52"/>
  <c r="CS160" i="52"/>
  <c r="CS212" i="52"/>
  <c r="CR135" i="53"/>
  <c r="CT132" i="53"/>
  <c r="CU128" i="53" s="1"/>
  <c r="CT130" i="53"/>
  <c r="CU166" i="52"/>
  <c r="CU168" i="52"/>
  <c r="CV164" i="52" s="1"/>
  <c r="CT169" i="52"/>
  <c r="E128" i="51"/>
  <c r="E127" i="51"/>
  <c r="E131" i="51" s="1"/>
  <c r="H115" i="51"/>
  <c r="CV195" i="53" l="1"/>
  <c r="CV123" i="53"/>
  <c r="CV159" i="53"/>
  <c r="CY194" i="53"/>
  <c r="CY158" i="53"/>
  <c r="CY122" i="53"/>
  <c r="CZ194" i="52"/>
  <c r="CZ158" i="52"/>
  <c r="CZ122" i="52"/>
  <c r="N71" i="54"/>
  <c r="J46" i="54"/>
  <c r="I14" i="54" a="1"/>
  <c r="C14" i="54"/>
  <c r="C71" i="54" s="1"/>
  <c r="M71" i="54"/>
  <c r="J71" i="54"/>
  <c r="L71" i="54"/>
  <c r="G71" i="54"/>
  <c r="K71" i="54" s="1"/>
  <c r="D14" i="54" s="1"/>
  <c r="K46" i="54"/>
  <c r="L46" i="54" s="1"/>
  <c r="M46" i="54" s="1"/>
  <c r="N46" i="54" s="1"/>
  <c r="O46" i="54" s="1"/>
  <c r="P46" i="54" s="1"/>
  <c r="Q46" i="54" s="1"/>
  <c r="R46" i="54" s="1"/>
  <c r="S46" i="54" s="1"/>
  <c r="T46" i="54" s="1"/>
  <c r="U46" i="54" s="1"/>
  <c r="V46" i="54" s="1"/>
  <c r="W46" i="54" s="1"/>
  <c r="X46" i="54" s="1"/>
  <c r="Y46" i="54" s="1"/>
  <c r="Z46" i="54" s="1"/>
  <c r="AA46" i="54" s="1"/>
  <c r="AB46" i="54" s="1"/>
  <c r="AC46" i="54" s="1"/>
  <c r="F71" i="54"/>
  <c r="CO207" i="53"/>
  <c r="CO219" i="53" s="1"/>
  <c r="CO206" i="53"/>
  <c r="CP206" i="53" s="1"/>
  <c r="CT196" i="53"/>
  <c r="CU213" i="53"/>
  <c r="CX187" i="53"/>
  <c r="CX190" i="53"/>
  <c r="CX192" i="53"/>
  <c r="CX115" i="53"/>
  <c r="CX118" i="53"/>
  <c r="CX120" i="53"/>
  <c r="CX154" i="53"/>
  <c r="CX151" i="53"/>
  <c r="CX156" i="53"/>
  <c r="CX139" i="53"/>
  <c r="CY167" i="53"/>
  <c r="CY144" i="53"/>
  <c r="CY142" i="53"/>
  <c r="CY138" i="53"/>
  <c r="CY127" i="53"/>
  <c r="CY129" i="53" s="1"/>
  <c r="CY106" i="53"/>
  <c r="CY193" i="53"/>
  <c r="CY108" i="53"/>
  <c r="CY153" i="53"/>
  <c r="CY114" i="53"/>
  <c r="CY121" i="53"/>
  <c r="CY102" i="53"/>
  <c r="CY103" i="53" s="1"/>
  <c r="CY104" i="53"/>
  <c r="CY7" i="53"/>
  <c r="CY150" i="53"/>
  <c r="CY107" i="53"/>
  <c r="CZ6" i="53"/>
  <c r="CY163" i="53"/>
  <c r="CY165" i="53" s="1"/>
  <c r="CY157" i="53"/>
  <c r="CY143" i="53"/>
  <c r="CY140" i="53"/>
  <c r="CY131" i="53"/>
  <c r="CY174" i="53"/>
  <c r="CY175" i="53" s="1"/>
  <c r="CY176" i="53" s="1"/>
  <c r="CY189" i="53"/>
  <c r="CY180" i="53"/>
  <c r="CY203" i="53"/>
  <c r="CY186" i="53"/>
  <c r="CY179" i="53"/>
  <c r="CY117" i="53"/>
  <c r="CX103" i="53"/>
  <c r="CX175" i="53"/>
  <c r="CW198" i="53"/>
  <c r="CW199" i="53" s="1"/>
  <c r="CW201" i="53" s="1"/>
  <c r="CW188" i="53"/>
  <c r="CW195" i="53" s="1"/>
  <c r="CW191" i="53"/>
  <c r="CW111" i="53"/>
  <c r="CW112" i="53"/>
  <c r="CW126" i="53"/>
  <c r="CW116" i="53"/>
  <c r="CW123" i="53" s="1"/>
  <c r="CW119" i="53"/>
  <c r="CW162" i="53"/>
  <c r="CW152" i="53"/>
  <c r="CW159" i="53" s="1"/>
  <c r="CW155" i="53"/>
  <c r="CU211" i="53"/>
  <c r="CU111" i="53"/>
  <c r="CU112" i="53"/>
  <c r="CV147" i="53"/>
  <c r="CV148" i="53"/>
  <c r="CT124" i="53"/>
  <c r="CT133" i="53" s="1"/>
  <c r="CT212" i="53"/>
  <c r="CU184" i="53"/>
  <c r="CU183" i="53"/>
  <c r="CU185" i="53" s="1"/>
  <c r="CU147" i="53"/>
  <c r="CU148" i="53"/>
  <c r="CU149" i="53" s="1"/>
  <c r="CU160" i="53" s="1"/>
  <c r="CV181" i="53"/>
  <c r="CW181" i="53"/>
  <c r="CS214" i="53"/>
  <c r="CS133" i="53"/>
  <c r="CS135" i="53" s="1"/>
  <c r="CW145" i="53"/>
  <c r="CW211" i="53" s="1"/>
  <c r="CV109" i="53"/>
  <c r="CQ204" i="53"/>
  <c r="CR200" i="53" s="1"/>
  <c r="CQ202" i="53"/>
  <c r="CP207" i="53"/>
  <c r="CR168" i="53"/>
  <c r="CS164" i="53" s="1"/>
  <c r="CR166" i="53"/>
  <c r="CQ169" i="53"/>
  <c r="CP217" i="53"/>
  <c r="CP171" i="53"/>
  <c r="CR197" i="52"/>
  <c r="CS197" i="52" s="1"/>
  <c r="CT197" i="52" s="1"/>
  <c r="CU124" i="52"/>
  <c r="CU183" i="52"/>
  <c r="CU184" i="52"/>
  <c r="CW109" i="52"/>
  <c r="CW145" i="52"/>
  <c r="CX198" i="52"/>
  <c r="CX199" i="52" s="1"/>
  <c r="CX201" i="52" s="1"/>
  <c r="CX191" i="52"/>
  <c r="CX188" i="52"/>
  <c r="CX195" i="52" s="1"/>
  <c r="CX126" i="52"/>
  <c r="CX119" i="52"/>
  <c r="CX116" i="52"/>
  <c r="CX123" i="52" s="1"/>
  <c r="CX112" i="52"/>
  <c r="CX111" i="52"/>
  <c r="CX113" i="52" s="1"/>
  <c r="CY103" i="52"/>
  <c r="CY120" i="52"/>
  <c r="CY115" i="52"/>
  <c r="CY118" i="52"/>
  <c r="CY175" i="52"/>
  <c r="CY192" i="52"/>
  <c r="CY190" i="52"/>
  <c r="CY187" i="52"/>
  <c r="CY151" i="52"/>
  <c r="CY154" i="52"/>
  <c r="CY156" i="52"/>
  <c r="CZ7" i="52"/>
  <c r="CZ203" i="52"/>
  <c r="CZ186" i="52"/>
  <c r="CZ167" i="52"/>
  <c r="CZ174" i="52"/>
  <c r="CZ175" i="52" s="1"/>
  <c r="CZ114" i="52"/>
  <c r="CZ107" i="52"/>
  <c r="CZ180" i="52"/>
  <c r="CZ108" i="52"/>
  <c r="CZ193" i="52"/>
  <c r="CZ102" i="52"/>
  <c r="CZ104" i="52"/>
  <c r="CZ106" i="52"/>
  <c r="CZ144" i="52"/>
  <c r="CZ140" i="52"/>
  <c r="CZ179" i="52"/>
  <c r="CZ189" i="52"/>
  <c r="CZ142" i="52"/>
  <c r="CZ143" i="52"/>
  <c r="CZ131" i="52"/>
  <c r="CZ157" i="52"/>
  <c r="DA6" i="52"/>
  <c r="CZ117" i="52"/>
  <c r="CZ121" i="52"/>
  <c r="CZ138" i="52"/>
  <c r="CZ150" i="52"/>
  <c r="CZ153" i="52"/>
  <c r="CZ127" i="52"/>
  <c r="CZ129" i="52" s="1"/>
  <c r="CZ163" i="52"/>
  <c r="CZ165" i="52" s="1"/>
  <c r="CX162" i="52"/>
  <c r="CX155" i="52"/>
  <c r="CX152" i="52"/>
  <c r="CX159" i="52" s="1"/>
  <c r="CR133" i="52"/>
  <c r="CS132" i="52"/>
  <c r="CT128" i="52" s="1"/>
  <c r="CS130" i="52"/>
  <c r="CQ135" i="52"/>
  <c r="CQ204" i="52"/>
  <c r="CR200" i="52" s="1"/>
  <c r="CQ202" i="52"/>
  <c r="CP216" i="52"/>
  <c r="CP205" i="52"/>
  <c r="CO217" i="52"/>
  <c r="CO207" i="52"/>
  <c r="CN219" i="52"/>
  <c r="CX146" i="52"/>
  <c r="CX141" i="52"/>
  <c r="CS214" i="52"/>
  <c r="CS169" i="52"/>
  <c r="CS171" i="52" s="1"/>
  <c r="CU149" i="52"/>
  <c r="CW181" i="52"/>
  <c r="CV213" i="52"/>
  <c r="CX181" i="52"/>
  <c r="CY139" i="52"/>
  <c r="CT214" i="52"/>
  <c r="CV181" i="52"/>
  <c r="CU130" i="53"/>
  <c r="CU132" i="53"/>
  <c r="CV128" i="53" s="1"/>
  <c r="CV167" i="52"/>
  <c r="CV166" i="52"/>
  <c r="CV168" i="52"/>
  <c r="CW164" i="52" s="1"/>
  <c r="CT171" i="52"/>
  <c r="CZ194" i="53" l="1"/>
  <c r="CZ158" i="53"/>
  <c r="CZ122" i="53"/>
  <c r="DA194" i="52"/>
  <c r="DA158" i="52"/>
  <c r="DA122" i="52"/>
  <c r="H71" i="54"/>
  <c r="CW113" i="53"/>
  <c r="CU113" i="53"/>
  <c r="CV149" i="53"/>
  <c r="CV160" i="53" s="1"/>
  <c r="CT197" i="53"/>
  <c r="CT214" i="53"/>
  <c r="CX198" i="53"/>
  <c r="CX199" i="53" s="1"/>
  <c r="CX201" i="53" s="1"/>
  <c r="CX188" i="53"/>
  <c r="CX191" i="53"/>
  <c r="CX126" i="53"/>
  <c r="CX116" i="53"/>
  <c r="CX123" i="53" s="1"/>
  <c r="CX119" i="53"/>
  <c r="CX162" i="53"/>
  <c r="CX152" i="53"/>
  <c r="CX155" i="53"/>
  <c r="CX146" i="53"/>
  <c r="CX141" i="53"/>
  <c r="CY115" i="53"/>
  <c r="CY118" i="53"/>
  <c r="CY120" i="53"/>
  <c r="CY110" i="53"/>
  <c r="CY105" i="53"/>
  <c r="CY109" i="53" s="1"/>
  <c r="CY151" i="53"/>
  <c r="CY154" i="53"/>
  <c r="CY156" i="53"/>
  <c r="DA6" i="53"/>
  <c r="CZ167" i="53"/>
  <c r="CZ163" i="53"/>
  <c r="CZ165" i="53" s="1"/>
  <c r="CZ157" i="53"/>
  <c r="CZ144" i="53"/>
  <c r="CZ143" i="53"/>
  <c r="CZ142" i="53"/>
  <c r="CZ140" i="53"/>
  <c r="CZ138" i="53"/>
  <c r="CZ139" i="53" s="1"/>
  <c r="CZ131" i="53"/>
  <c r="CZ127" i="53"/>
  <c r="CZ129" i="53" s="1"/>
  <c r="CZ117" i="53"/>
  <c r="CZ114" i="53"/>
  <c r="CZ107" i="53"/>
  <c r="CZ108" i="53"/>
  <c r="CZ104" i="53"/>
  <c r="CZ102" i="53"/>
  <c r="CZ193" i="53"/>
  <c r="CZ180" i="53"/>
  <c r="CZ179" i="53"/>
  <c r="CZ186" i="53"/>
  <c r="CZ203" i="53"/>
  <c r="CZ153" i="53"/>
  <c r="CZ7" i="53"/>
  <c r="CZ189" i="53"/>
  <c r="CZ174" i="53"/>
  <c r="CZ106" i="53"/>
  <c r="CZ150" i="53"/>
  <c r="CZ121" i="53"/>
  <c r="CY177" i="53"/>
  <c r="CY182" i="53"/>
  <c r="CY187" i="53"/>
  <c r="CY190" i="53"/>
  <c r="CY192" i="53"/>
  <c r="CX105" i="53"/>
  <c r="CX110" i="53"/>
  <c r="CX210" i="53"/>
  <c r="CX176" i="53"/>
  <c r="CX177" i="53"/>
  <c r="CX182" i="53"/>
  <c r="CW124" i="53"/>
  <c r="CU212" i="53"/>
  <c r="CU124" i="53"/>
  <c r="CU133" i="53" s="1"/>
  <c r="CV211" i="53"/>
  <c r="CV183" i="53"/>
  <c r="CV184" i="53"/>
  <c r="CV185" i="53"/>
  <c r="CV196" i="53" s="1"/>
  <c r="CW183" i="53"/>
  <c r="CW184" i="53"/>
  <c r="CV213" i="53"/>
  <c r="CW147" i="53"/>
  <c r="CW148" i="53"/>
  <c r="CW149" i="53" s="1"/>
  <c r="CV111" i="53"/>
  <c r="CV112" i="53"/>
  <c r="CV113" i="53" s="1"/>
  <c r="CY139" i="53"/>
  <c r="CY210" i="53" s="1"/>
  <c r="CU196" i="53"/>
  <c r="CQ205" i="53"/>
  <c r="CQ216" i="53"/>
  <c r="CQ206" i="53"/>
  <c r="CR202" i="53"/>
  <c r="CR204" i="53"/>
  <c r="CS200" i="53" s="1"/>
  <c r="CS168" i="53"/>
  <c r="CT164" i="53" s="1"/>
  <c r="CS166" i="53"/>
  <c r="CR169" i="53"/>
  <c r="CQ171" i="53"/>
  <c r="CP219" i="53"/>
  <c r="CU185" i="52"/>
  <c r="CU212" i="52" s="1"/>
  <c r="CW213" i="52"/>
  <c r="CW211" i="52"/>
  <c r="CW112" i="52"/>
  <c r="CW111" i="52"/>
  <c r="CW113" i="52" s="1"/>
  <c r="CW147" i="52"/>
  <c r="CW148" i="52"/>
  <c r="CY210" i="52"/>
  <c r="CY110" i="52"/>
  <c r="CY105" i="52"/>
  <c r="CY126" i="52"/>
  <c r="CY119" i="52"/>
  <c r="CY116" i="52"/>
  <c r="CY182" i="52"/>
  <c r="CY177" i="52"/>
  <c r="CY176" i="52"/>
  <c r="CY198" i="52"/>
  <c r="CY199" i="52" s="1"/>
  <c r="CY201" i="52" s="1"/>
  <c r="CY191" i="52"/>
  <c r="CY188" i="52"/>
  <c r="CY195" i="52" s="1"/>
  <c r="CY162" i="52"/>
  <c r="CY155" i="52"/>
  <c r="CY152" i="52"/>
  <c r="CY159" i="52" s="1"/>
  <c r="CZ192" i="52"/>
  <c r="CZ190" i="52"/>
  <c r="CZ187" i="52"/>
  <c r="CZ182" i="52"/>
  <c r="CZ177" i="52"/>
  <c r="CZ176" i="52"/>
  <c r="CZ120" i="52"/>
  <c r="CZ118" i="52"/>
  <c r="CZ115" i="52"/>
  <c r="DA140" i="52"/>
  <c r="DA174" i="52"/>
  <c r="DA142" i="52"/>
  <c r="DA143" i="52"/>
  <c r="DA180" i="52"/>
  <c r="DA144" i="52"/>
  <c r="DA167" i="52"/>
  <c r="DA114" i="52"/>
  <c r="DA106" i="52"/>
  <c r="DA186" i="52"/>
  <c r="DA193" i="52"/>
  <c r="DA102" i="52"/>
  <c r="DA189" i="52"/>
  <c r="DA179" i="52"/>
  <c r="DA107" i="52"/>
  <c r="DA104" i="52"/>
  <c r="DA7" i="52"/>
  <c r="DA203" i="52"/>
  <c r="DA108" i="52"/>
  <c r="DA121" i="52"/>
  <c r="DA138" i="52"/>
  <c r="DA150" i="52"/>
  <c r="DA153" i="52"/>
  <c r="DA117" i="52"/>
  <c r="DA131" i="52"/>
  <c r="DA163" i="52"/>
  <c r="DA165" i="52" s="1"/>
  <c r="DB6" i="52"/>
  <c r="DA127" i="52"/>
  <c r="DA129" i="52" s="1"/>
  <c r="DA157" i="52"/>
  <c r="CZ156" i="52"/>
  <c r="CZ154" i="52"/>
  <c r="CZ151" i="52"/>
  <c r="CR135" i="52"/>
  <c r="CT130" i="52"/>
  <c r="CT132" i="52"/>
  <c r="CU128" i="52" s="1"/>
  <c r="CS133" i="52"/>
  <c r="CR204" i="52"/>
  <c r="CS200" i="52" s="1"/>
  <c r="CR202" i="52"/>
  <c r="CQ205" i="52"/>
  <c r="CQ216" i="52"/>
  <c r="CP206" i="52"/>
  <c r="CQ206" i="52" s="1"/>
  <c r="CP217" i="52"/>
  <c r="CP207" i="52"/>
  <c r="CW184" i="52"/>
  <c r="CW183" i="52"/>
  <c r="CW185" i="52" s="1"/>
  <c r="CW196" i="52" s="1"/>
  <c r="CX183" i="52"/>
  <c r="CX184" i="52"/>
  <c r="CY146" i="52"/>
  <c r="CY141" i="52"/>
  <c r="CY145" i="52" s="1"/>
  <c r="CV184" i="52"/>
  <c r="CV183" i="52"/>
  <c r="CX124" i="52"/>
  <c r="CZ103" i="52"/>
  <c r="CZ139" i="52"/>
  <c r="CO219" i="52"/>
  <c r="CX145" i="52"/>
  <c r="CU160" i="52"/>
  <c r="CV130" i="53"/>
  <c r="CV132" i="53"/>
  <c r="CW128" i="53" s="1"/>
  <c r="CT135" i="53"/>
  <c r="CW166" i="52"/>
  <c r="CW168" i="52"/>
  <c r="CX164" i="52" s="1"/>
  <c r="CX159" i="53" l="1"/>
  <c r="CX195" i="53"/>
  <c r="DA194" i="53"/>
  <c r="DA158" i="53"/>
  <c r="DA122" i="53"/>
  <c r="CQ207" i="53"/>
  <c r="CQ217" i="53"/>
  <c r="CR205" i="53"/>
  <c r="CR216" i="53"/>
  <c r="CY123" i="52"/>
  <c r="CY213" i="52" s="1"/>
  <c r="DB194" i="52"/>
  <c r="DB158" i="52"/>
  <c r="DB122" i="52"/>
  <c r="I71" i="54"/>
  <c r="E14" i="54"/>
  <c r="CX145" i="53"/>
  <c r="CY126" i="53"/>
  <c r="CY116" i="53"/>
  <c r="CY123" i="53" s="1"/>
  <c r="CY119" i="53"/>
  <c r="CY111" i="53"/>
  <c r="CY112" i="53"/>
  <c r="CY162" i="53"/>
  <c r="CY152" i="53"/>
  <c r="CY155" i="53"/>
  <c r="DB6" i="53"/>
  <c r="DA167" i="53"/>
  <c r="DA163" i="53"/>
  <c r="DA165" i="53" s="1"/>
  <c r="DA157" i="53"/>
  <c r="DA144" i="53"/>
  <c r="DA143" i="53"/>
  <c r="DA142" i="53"/>
  <c r="DA140" i="53"/>
  <c r="DA138" i="53"/>
  <c r="DA131" i="53"/>
  <c r="DA127" i="53"/>
  <c r="DA129" i="53" s="1"/>
  <c r="DA121" i="53"/>
  <c r="DA106" i="53"/>
  <c r="DA7" i="53"/>
  <c r="DA174" i="53"/>
  <c r="DA175" i="53" s="1"/>
  <c r="DA150" i="53"/>
  <c r="DA189" i="53"/>
  <c r="DA153" i="53"/>
  <c r="DA176" i="53"/>
  <c r="DA186" i="53"/>
  <c r="DA203" i="53"/>
  <c r="DA193" i="53"/>
  <c r="DA107" i="53"/>
  <c r="DA180" i="53"/>
  <c r="DA104" i="53"/>
  <c r="DA108" i="53"/>
  <c r="DA117" i="53"/>
  <c r="DA114" i="53"/>
  <c r="DA178" i="53"/>
  <c r="DA102" i="53"/>
  <c r="DA103" i="53" s="1"/>
  <c r="CZ141" i="53"/>
  <c r="CZ145" i="53" s="1"/>
  <c r="CZ146" i="53"/>
  <c r="CZ115" i="53"/>
  <c r="CZ118" i="53"/>
  <c r="CZ120" i="53"/>
  <c r="CZ103" i="53"/>
  <c r="CZ187" i="53"/>
  <c r="CZ190" i="53"/>
  <c r="CZ192" i="53"/>
  <c r="CZ175" i="53"/>
  <c r="CZ151" i="53"/>
  <c r="CZ154" i="53"/>
  <c r="CZ156" i="53"/>
  <c r="CY198" i="53"/>
  <c r="CY199" i="53" s="1"/>
  <c r="CY201" i="53" s="1"/>
  <c r="CY188" i="53"/>
  <c r="CY195" i="53" s="1"/>
  <c r="CY191" i="53"/>
  <c r="CX109" i="53"/>
  <c r="CY178" i="53"/>
  <c r="CY181" i="53" s="1"/>
  <c r="CX178" i="53"/>
  <c r="CX181" i="53" s="1"/>
  <c r="CW213" i="53"/>
  <c r="CV212" i="53"/>
  <c r="CV124" i="53"/>
  <c r="CY146" i="53"/>
  <c r="CY141" i="53"/>
  <c r="CU197" i="53"/>
  <c r="CV197" i="53" s="1"/>
  <c r="CW185" i="53"/>
  <c r="CW160" i="53"/>
  <c r="CW212" i="53"/>
  <c r="CU214" i="53"/>
  <c r="CR206" i="53"/>
  <c r="CR207" i="53"/>
  <c r="CS204" i="53"/>
  <c r="CT200" i="53" s="1"/>
  <c r="CS202" i="53"/>
  <c r="CS205" i="53" s="1"/>
  <c r="CS207" i="53" s="1"/>
  <c r="CT168" i="53"/>
  <c r="CU164" i="53" s="1"/>
  <c r="CT166" i="53"/>
  <c r="CS216" i="53"/>
  <c r="CS169" i="53"/>
  <c r="CR217" i="53"/>
  <c r="CR171" i="53"/>
  <c r="CQ219" i="53"/>
  <c r="CW149" i="52"/>
  <c r="CW160" i="52" s="1"/>
  <c r="CW169" i="52" s="1"/>
  <c r="CU196" i="52"/>
  <c r="CU214" i="52" s="1"/>
  <c r="CW212" i="52"/>
  <c r="CW124" i="52"/>
  <c r="CW214" i="52" s="1"/>
  <c r="CY109" i="52"/>
  <c r="CZ178" i="52"/>
  <c r="CZ181" i="52" s="1"/>
  <c r="CY178" i="52"/>
  <c r="CZ198" i="52"/>
  <c r="CZ199" i="52" s="1"/>
  <c r="CZ201" i="52" s="1"/>
  <c r="CZ191" i="52"/>
  <c r="CZ188" i="52"/>
  <c r="CZ195" i="52" s="1"/>
  <c r="CZ126" i="52"/>
  <c r="CZ116" i="52"/>
  <c r="CZ123" i="52" s="1"/>
  <c r="CZ119" i="52"/>
  <c r="DA175" i="52"/>
  <c r="DA120" i="52"/>
  <c r="DA115" i="52"/>
  <c r="DA118" i="52"/>
  <c r="DA192" i="52"/>
  <c r="DA190" i="52"/>
  <c r="DA187" i="52"/>
  <c r="DA156" i="52"/>
  <c r="DA154" i="52"/>
  <c r="DA151" i="52"/>
  <c r="DB174" i="52"/>
  <c r="DB144" i="52"/>
  <c r="DB186" i="52"/>
  <c r="DB106" i="52"/>
  <c r="DB102" i="52"/>
  <c r="DB143" i="52"/>
  <c r="DB180" i="52"/>
  <c r="DB193" i="52"/>
  <c r="DB189" i="52"/>
  <c r="DB142" i="52"/>
  <c r="DB108" i="52"/>
  <c r="DB179" i="52"/>
  <c r="DB107" i="52"/>
  <c r="DB140" i="52"/>
  <c r="DB203" i="52"/>
  <c r="DB7" i="52"/>
  <c r="DB104" i="52"/>
  <c r="DB114" i="52"/>
  <c r="DB167" i="52"/>
  <c r="DB117" i="52"/>
  <c r="DB131" i="52"/>
  <c r="DC6" i="52"/>
  <c r="DB121" i="52"/>
  <c r="DB138" i="52"/>
  <c r="DB150" i="52"/>
  <c r="DB153" i="52"/>
  <c r="DB127" i="52"/>
  <c r="DB129" i="52" s="1"/>
  <c r="DB157" i="52"/>
  <c r="DB163" i="52"/>
  <c r="DB165" i="52" s="1"/>
  <c r="CZ162" i="52"/>
  <c r="CZ155" i="52"/>
  <c r="CZ152" i="52"/>
  <c r="CZ159" i="52" s="1"/>
  <c r="CT133" i="52"/>
  <c r="CU132" i="52"/>
  <c r="CV128" i="52" s="1"/>
  <c r="CU130" i="52"/>
  <c r="CS135" i="52"/>
  <c r="CS204" i="52"/>
  <c r="CT200" i="52" s="1"/>
  <c r="CS202" i="52"/>
  <c r="CR216" i="52"/>
  <c r="CR205" i="52"/>
  <c r="CQ217" i="52"/>
  <c r="CQ207" i="52"/>
  <c r="CP219" i="52"/>
  <c r="CY147" i="52"/>
  <c r="CY148" i="52"/>
  <c r="CZ105" i="52"/>
  <c r="CZ109" i="52" s="1"/>
  <c r="CZ110" i="52"/>
  <c r="CZ210" i="52"/>
  <c r="CZ146" i="52"/>
  <c r="CZ141" i="52"/>
  <c r="CX213" i="52"/>
  <c r="CX148" i="52"/>
  <c r="CX147" i="52"/>
  <c r="CX149" i="52" s="1"/>
  <c r="CX211" i="52"/>
  <c r="CU169" i="52"/>
  <c r="CU171" i="52" s="1"/>
  <c r="CX185" i="52"/>
  <c r="DA103" i="52"/>
  <c r="DA139" i="52"/>
  <c r="CV185" i="52"/>
  <c r="CV196" i="52" s="1"/>
  <c r="CU135" i="53"/>
  <c r="CW132" i="53"/>
  <c r="CX128" i="53" s="1"/>
  <c r="CW130" i="53"/>
  <c r="CX166" i="52"/>
  <c r="CX168" i="52"/>
  <c r="CY164" i="52" s="1"/>
  <c r="CY159" i="53" l="1"/>
  <c r="DB194" i="53"/>
  <c r="DB158" i="53"/>
  <c r="DB122" i="53"/>
  <c r="DC194" i="52"/>
  <c r="DC158" i="52"/>
  <c r="DC122" i="52"/>
  <c r="CX213" i="53"/>
  <c r="CX147" i="53"/>
  <c r="CX148" i="53"/>
  <c r="DC6" i="53"/>
  <c r="DB167" i="53"/>
  <c r="DB163" i="53"/>
  <c r="DB165" i="53" s="1"/>
  <c r="DB157" i="53"/>
  <c r="DB144" i="53"/>
  <c r="DB143" i="53"/>
  <c r="DB142" i="53"/>
  <c r="DB140" i="53"/>
  <c r="DB138" i="53"/>
  <c r="DB139" i="53" s="1"/>
  <c r="DB131" i="53"/>
  <c r="DB127" i="53"/>
  <c r="DB129" i="53" s="1"/>
  <c r="DB7" i="53"/>
  <c r="DB106" i="53"/>
  <c r="DB193" i="53"/>
  <c r="DB176" i="53"/>
  <c r="DB186" i="53"/>
  <c r="DB150" i="53"/>
  <c r="DB121" i="53"/>
  <c r="DB174" i="53"/>
  <c r="DB189" i="53"/>
  <c r="DB203" i="53"/>
  <c r="DB102" i="53"/>
  <c r="DB180" i="53"/>
  <c r="DB108" i="53"/>
  <c r="DB107" i="53"/>
  <c r="DB104" i="53"/>
  <c r="DB117" i="53"/>
  <c r="DB114" i="53"/>
  <c r="DB153" i="53"/>
  <c r="DB178" i="53"/>
  <c r="DB179" i="53"/>
  <c r="DA139" i="53"/>
  <c r="DA182" i="53"/>
  <c r="DA177" i="53"/>
  <c r="DA151" i="53"/>
  <c r="DA154" i="53"/>
  <c r="DA156" i="53"/>
  <c r="DA187" i="53"/>
  <c r="DA190" i="53"/>
  <c r="DA192" i="53"/>
  <c r="DA115" i="53"/>
  <c r="DA118" i="53"/>
  <c r="DA120" i="53"/>
  <c r="DA210" i="53"/>
  <c r="DA110" i="53"/>
  <c r="DA105" i="53"/>
  <c r="DA109" i="53" s="1"/>
  <c r="CZ147" i="53"/>
  <c r="CZ148" i="53"/>
  <c r="CZ126" i="53"/>
  <c r="CZ116" i="53"/>
  <c r="CZ119" i="53"/>
  <c r="CZ210" i="53"/>
  <c r="CZ110" i="53"/>
  <c r="CZ105" i="53"/>
  <c r="CZ198" i="53"/>
  <c r="CZ199" i="53" s="1"/>
  <c r="CZ201" i="53" s="1"/>
  <c r="CZ188" i="53"/>
  <c r="CZ191" i="53"/>
  <c r="CZ176" i="53"/>
  <c r="CZ178" i="53" s="1"/>
  <c r="CZ182" i="53"/>
  <c r="CZ177" i="53"/>
  <c r="CZ162" i="53"/>
  <c r="CZ152" i="53"/>
  <c r="CZ155" i="53"/>
  <c r="CX211" i="53"/>
  <c r="CX112" i="53"/>
  <c r="CX111" i="53"/>
  <c r="CX113" i="53" s="1"/>
  <c r="CY184" i="53"/>
  <c r="CY183" i="53"/>
  <c r="CY185" i="53"/>
  <c r="CX184" i="53"/>
  <c r="CX183" i="53"/>
  <c r="CX185" i="53" s="1"/>
  <c r="CX196" i="53" s="1"/>
  <c r="CW196" i="53"/>
  <c r="CY113" i="53"/>
  <c r="CV214" i="53"/>
  <c r="CV133" i="53"/>
  <c r="CV135" i="53" s="1"/>
  <c r="CY145" i="53"/>
  <c r="CT204" i="53"/>
  <c r="CU200" i="53" s="1"/>
  <c r="CT202" i="53"/>
  <c r="CT205" i="53" s="1"/>
  <c r="CT207" i="53" s="1"/>
  <c r="CU168" i="53"/>
  <c r="CV164" i="53" s="1"/>
  <c r="CU166" i="53"/>
  <c r="CT216" i="53"/>
  <c r="CT169" i="53"/>
  <c r="CS171" i="53"/>
  <c r="CS217" i="53"/>
  <c r="CR219" i="53"/>
  <c r="CS206" i="53"/>
  <c r="CU197" i="52"/>
  <c r="CV197" i="52" s="1"/>
  <c r="CW197" i="52" s="1"/>
  <c r="CY112" i="52"/>
  <c r="CY111" i="52"/>
  <c r="CY113" i="52" s="1"/>
  <c r="CZ184" i="52"/>
  <c r="CZ183" i="52"/>
  <c r="CZ185" i="52" s="1"/>
  <c r="CY181" i="52"/>
  <c r="CY211" i="52" s="1"/>
  <c r="DA182" i="52"/>
  <c r="DA177" i="52"/>
  <c r="DA176" i="52"/>
  <c r="DA126" i="52"/>
  <c r="DA116" i="52"/>
  <c r="DA119" i="52"/>
  <c r="DA198" i="52"/>
  <c r="DA199" i="52" s="1"/>
  <c r="DA201" i="52" s="1"/>
  <c r="DA191" i="52"/>
  <c r="DA188" i="52"/>
  <c r="DA195" i="52" s="1"/>
  <c r="DA162" i="52"/>
  <c r="DA155" i="52"/>
  <c r="DA152" i="52"/>
  <c r="DA159" i="52" s="1"/>
  <c r="DB192" i="52"/>
  <c r="DB190" i="52"/>
  <c r="DB187" i="52"/>
  <c r="DB118" i="52"/>
  <c r="DB115" i="52"/>
  <c r="DB120" i="52"/>
  <c r="DC144" i="52"/>
  <c r="DC142" i="52"/>
  <c r="DC106" i="52"/>
  <c r="DC108" i="52"/>
  <c r="DC140" i="52"/>
  <c r="DC107" i="52"/>
  <c r="DC180" i="52"/>
  <c r="DC7" i="52"/>
  <c r="DC179" i="52"/>
  <c r="DC174" i="52"/>
  <c r="DC175" i="52" s="1"/>
  <c r="DC104" i="52"/>
  <c r="DC167" i="52"/>
  <c r="DC193" i="52"/>
  <c r="DC203" i="52"/>
  <c r="DC143" i="52"/>
  <c r="DC102" i="52"/>
  <c r="DC103" i="52" s="1"/>
  <c r="DC186" i="52"/>
  <c r="DC189" i="52"/>
  <c r="DC114" i="52"/>
  <c r="DC121" i="52"/>
  <c r="DC138" i="52"/>
  <c r="DC139" i="52" s="1"/>
  <c r="DC150" i="52"/>
  <c r="DC153" i="52"/>
  <c r="DC117" i="52"/>
  <c r="DC127" i="52"/>
  <c r="DC129" i="52" s="1"/>
  <c r="DC131" i="52"/>
  <c r="DC163" i="52"/>
  <c r="DC165" i="52" s="1"/>
  <c r="DD6" i="52"/>
  <c r="DC157" i="52"/>
  <c r="DB151" i="52"/>
  <c r="DB156" i="52"/>
  <c r="DB154" i="52"/>
  <c r="CT135" i="52"/>
  <c r="CV132" i="52"/>
  <c r="CW128" i="52" s="1"/>
  <c r="CV130" i="52"/>
  <c r="CU133" i="52"/>
  <c r="CT202" i="52"/>
  <c r="CT204" i="52"/>
  <c r="CU200" i="52" s="1"/>
  <c r="CS216" i="52"/>
  <c r="CS205" i="52"/>
  <c r="CR206" i="52"/>
  <c r="CS206" i="52" s="1"/>
  <c r="CR217" i="52"/>
  <c r="CR207" i="52"/>
  <c r="CQ219" i="52"/>
  <c r="CZ112" i="52"/>
  <c r="CZ111" i="52"/>
  <c r="CZ145" i="52"/>
  <c r="CZ211" i="52" s="1"/>
  <c r="CX212" i="52"/>
  <c r="CX160" i="52"/>
  <c r="DA105" i="52"/>
  <c r="DA110" i="52"/>
  <c r="DA210" i="52"/>
  <c r="DA141" i="52"/>
  <c r="DA146" i="52"/>
  <c r="CY149" i="52"/>
  <c r="CY160" i="52" s="1"/>
  <c r="DB175" i="52"/>
  <c r="DB103" i="52"/>
  <c r="DB139" i="52"/>
  <c r="CX196" i="52"/>
  <c r="CX130" i="53"/>
  <c r="CX132" i="53"/>
  <c r="CY128" i="53" s="1"/>
  <c r="CW133" i="53"/>
  <c r="CW171" i="52"/>
  <c r="CY166" i="52"/>
  <c r="CY168" i="52"/>
  <c r="CZ164" i="52" s="1"/>
  <c r="CZ159" i="53" l="1"/>
  <c r="CZ123" i="53"/>
  <c r="CZ195" i="53"/>
  <c r="DC194" i="53"/>
  <c r="DC158" i="53"/>
  <c r="DC122" i="53"/>
  <c r="DA123" i="52"/>
  <c r="DD194" i="52"/>
  <c r="DD158" i="52"/>
  <c r="DD122" i="52"/>
  <c r="CZ113" i="52"/>
  <c r="CZ124" i="52" s="1"/>
  <c r="CX197" i="52"/>
  <c r="CZ196" i="52"/>
  <c r="CY213" i="53"/>
  <c r="DC138" i="53"/>
  <c r="DC153" i="53"/>
  <c r="DC174" i="53"/>
  <c r="DC175" i="53" s="1"/>
  <c r="DC186" i="53"/>
  <c r="DC108" i="53"/>
  <c r="DC163" i="53"/>
  <c r="DC165" i="53" s="1"/>
  <c r="DC102" i="53"/>
  <c r="DC103" i="53" s="1"/>
  <c r="DC178" i="53"/>
  <c r="DC203" i="53"/>
  <c r="DC7" i="53"/>
  <c r="DC107" i="53"/>
  <c r="DC143" i="53"/>
  <c r="DC140" i="53"/>
  <c r="DC179" i="53"/>
  <c r="DC121" i="53"/>
  <c r="DC150" i="53"/>
  <c r="DC176" i="53"/>
  <c r="DC117" i="53"/>
  <c r="DD6" i="53"/>
  <c r="DC144" i="53"/>
  <c r="DC127" i="53"/>
  <c r="DC129" i="53" s="1"/>
  <c r="DC193" i="53"/>
  <c r="DC114" i="53"/>
  <c r="DC189" i="53"/>
  <c r="DC157" i="53"/>
  <c r="DC142" i="53"/>
  <c r="DC106" i="53"/>
  <c r="DC104" i="53"/>
  <c r="DC167" i="53"/>
  <c r="DC131" i="53"/>
  <c r="DC180" i="53"/>
  <c r="DB141" i="53"/>
  <c r="DB145" i="53" s="1"/>
  <c r="DB146" i="53"/>
  <c r="DB187" i="53"/>
  <c r="DB190" i="53"/>
  <c r="DB192" i="53"/>
  <c r="DB151" i="53"/>
  <c r="DB154" i="53"/>
  <c r="DB156" i="53"/>
  <c r="DB175" i="53"/>
  <c r="DB103" i="53"/>
  <c r="DB115" i="53"/>
  <c r="DB118" i="53"/>
  <c r="DB120" i="53"/>
  <c r="DA141" i="53"/>
  <c r="DA146" i="53"/>
  <c r="DA162" i="53"/>
  <c r="DA152" i="53"/>
  <c r="DA155" i="53"/>
  <c r="DA198" i="53"/>
  <c r="DA199" i="53" s="1"/>
  <c r="DA201" i="53" s="1"/>
  <c r="DA188" i="53"/>
  <c r="DA191" i="53"/>
  <c r="DA126" i="53"/>
  <c r="DA116" i="53"/>
  <c r="DA119" i="53"/>
  <c r="DA111" i="53"/>
  <c r="DA112" i="53"/>
  <c r="CZ109" i="53"/>
  <c r="CZ181" i="53"/>
  <c r="CX124" i="53"/>
  <c r="CX133" i="53" s="1"/>
  <c r="CW197" i="53"/>
  <c r="CX197" i="53" s="1"/>
  <c r="CW214" i="53"/>
  <c r="CY124" i="53"/>
  <c r="CY148" i="53"/>
  <c r="CY147" i="53"/>
  <c r="CY211" i="53"/>
  <c r="CY196" i="53"/>
  <c r="CX149" i="53"/>
  <c r="CZ149" i="53"/>
  <c r="CU204" i="53"/>
  <c r="CV200" i="53" s="1"/>
  <c r="CU202" i="53"/>
  <c r="CU205" i="53" s="1"/>
  <c r="CU207" i="53" s="1"/>
  <c r="CV168" i="53"/>
  <c r="CW164" i="53" s="1"/>
  <c r="CV166" i="53"/>
  <c r="CU216" i="53"/>
  <c r="CU169" i="53"/>
  <c r="CT171" i="53"/>
  <c r="CT217" i="53"/>
  <c r="CS219" i="53"/>
  <c r="CT206" i="53"/>
  <c r="CY124" i="52"/>
  <c r="CY184" i="52"/>
  <c r="CY183" i="52"/>
  <c r="DA178" i="52"/>
  <c r="DB198" i="52"/>
  <c r="DB199" i="52" s="1"/>
  <c r="DB201" i="52" s="1"/>
  <c r="DB191" i="52"/>
  <c r="DB188" i="52"/>
  <c r="DB195" i="52" s="1"/>
  <c r="DB126" i="52"/>
  <c r="DB119" i="52"/>
  <c r="DB116" i="52"/>
  <c r="DB123" i="52" s="1"/>
  <c r="DC182" i="52"/>
  <c r="DC177" i="52"/>
  <c r="DC210" i="52"/>
  <c r="DC110" i="52"/>
  <c r="DC105" i="52"/>
  <c r="DC109" i="52" s="1"/>
  <c r="DC192" i="52"/>
  <c r="DC190" i="52"/>
  <c r="DC187" i="52"/>
  <c r="DC120" i="52"/>
  <c r="DC118" i="52"/>
  <c r="DC115" i="52"/>
  <c r="DC141" i="52"/>
  <c r="DC145" i="52" s="1"/>
  <c r="DC146" i="52"/>
  <c r="DC156" i="52"/>
  <c r="DC154" i="52"/>
  <c r="DC151" i="52"/>
  <c r="DD180" i="52"/>
  <c r="DD114" i="52"/>
  <c r="DD104" i="52"/>
  <c r="DD174" i="52"/>
  <c r="DD167" i="52"/>
  <c r="DD179" i="52"/>
  <c r="DD143" i="52"/>
  <c r="DD186" i="52"/>
  <c r="DD144" i="52"/>
  <c r="DD106" i="52"/>
  <c r="DD107" i="52"/>
  <c r="DD102" i="52"/>
  <c r="DD142" i="52"/>
  <c r="DD7" i="52"/>
  <c r="DD140" i="52"/>
  <c r="DD108" i="52"/>
  <c r="DD193" i="52"/>
  <c r="DD203" i="52"/>
  <c r="DD189" i="52"/>
  <c r="DD127" i="52"/>
  <c r="DD129" i="52" s="1"/>
  <c r="DD131" i="52"/>
  <c r="DD157" i="52"/>
  <c r="DE6" i="52"/>
  <c r="DD121" i="52"/>
  <c r="DD138" i="52"/>
  <c r="DD150" i="52"/>
  <c r="DD153" i="52"/>
  <c r="DD117" i="52"/>
  <c r="DD163" i="52"/>
  <c r="DD165" i="52" s="1"/>
  <c r="DB162" i="52"/>
  <c r="DB155" i="52"/>
  <c r="DB152" i="52"/>
  <c r="DB159" i="52" s="1"/>
  <c r="CW130" i="52"/>
  <c r="CW132" i="52"/>
  <c r="CX128" i="52" s="1"/>
  <c r="CV133" i="52"/>
  <c r="CU135" i="52"/>
  <c r="CT216" i="52"/>
  <c r="CT205" i="52"/>
  <c r="CU204" i="52"/>
  <c r="CV200" i="52" s="1"/>
  <c r="CU202" i="52"/>
  <c r="CS217" i="52"/>
  <c r="CS207" i="52"/>
  <c r="CR219" i="52"/>
  <c r="CZ147" i="52"/>
  <c r="CZ148" i="52"/>
  <c r="DA109" i="52"/>
  <c r="CZ213" i="52"/>
  <c r="DB176" i="52"/>
  <c r="DB177" i="52"/>
  <c r="DB182" i="52"/>
  <c r="DB105" i="52"/>
  <c r="DB110" i="52"/>
  <c r="DB210" i="52"/>
  <c r="DB141" i="52"/>
  <c r="DB145" i="52" s="1"/>
  <c r="DB146" i="52"/>
  <c r="DC176" i="52"/>
  <c r="CX214" i="52"/>
  <c r="CX169" i="52"/>
  <c r="DA145" i="52"/>
  <c r="CX171" i="52"/>
  <c r="CY132" i="53"/>
  <c r="CZ128" i="53" s="1"/>
  <c r="CY130" i="53"/>
  <c r="CW135" i="53"/>
  <c r="CZ166" i="52"/>
  <c r="CZ168" i="52"/>
  <c r="DA164" i="52" s="1"/>
  <c r="CY169" i="52"/>
  <c r="DA159" i="53" l="1"/>
  <c r="DA195" i="53"/>
  <c r="DA123" i="53"/>
  <c r="DA113" i="53"/>
  <c r="DA124" i="53" s="1"/>
  <c r="DB210" i="53"/>
  <c r="DD194" i="53"/>
  <c r="DD158" i="53"/>
  <c r="DD122" i="53"/>
  <c r="DE194" i="52"/>
  <c r="DE158" i="52"/>
  <c r="DE122" i="52"/>
  <c r="CY149" i="53"/>
  <c r="CZ160" i="53"/>
  <c r="DC139" i="53"/>
  <c r="DC177" i="53"/>
  <c r="DC181" i="53" s="1"/>
  <c r="DC182" i="53"/>
  <c r="DC187" i="53"/>
  <c r="DC190" i="53"/>
  <c r="DC192" i="53"/>
  <c r="DC105" i="53"/>
  <c r="DC109" i="53" s="1"/>
  <c r="DC110" i="53"/>
  <c r="DC210" i="53"/>
  <c r="DC151" i="53"/>
  <c r="DC154" i="53"/>
  <c r="DC156" i="53"/>
  <c r="DE6" i="53"/>
  <c r="DD167" i="53"/>
  <c r="DD163" i="53"/>
  <c r="DD165" i="53" s="1"/>
  <c r="DD157" i="53"/>
  <c r="DD144" i="53"/>
  <c r="DD143" i="53"/>
  <c r="DD142" i="53"/>
  <c r="DD140" i="53"/>
  <c r="DD138" i="53"/>
  <c r="DD131" i="53"/>
  <c r="DD127" i="53"/>
  <c r="DD129" i="53" s="1"/>
  <c r="DD102" i="53"/>
  <c r="DD117" i="53"/>
  <c r="DD104" i="53"/>
  <c r="DD174" i="53"/>
  <c r="DD150" i="53"/>
  <c r="DD7" i="53"/>
  <c r="DD178" i="53"/>
  <c r="DD107" i="53"/>
  <c r="DD114" i="53"/>
  <c r="DD193" i="53"/>
  <c r="DD153" i="53"/>
  <c r="DD179" i="53"/>
  <c r="DD186" i="53"/>
  <c r="DD180" i="53"/>
  <c r="DD189" i="53"/>
  <c r="DD176" i="53"/>
  <c r="DD121" i="53"/>
  <c r="DD108" i="53"/>
  <c r="DD106" i="53"/>
  <c r="DD203" i="53"/>
  <c r="DC115" i="53"/>
  <c r="DC118" i="53"/>
  <c r="DC120" i="53"/>
  <c r="DB148" i="53"/>
  <c r="DB147" i="53"/>
  <c r="DB198" i="53"/>
  <c r="DB199" i="53" s="1"/>
  <c r="DB201" i="53" s="1"/>
  <c r="DB188" i="53"/>
  <c r="DB191" i="53"/>
  <c r="DB162" i="53"/>
  <c r="DB152" i="53"/>
  <c r="DB155" i="53"/>
  <c r="DB182" i="53"/>
  <c r="DB177" i="53"/>
  <c r="DB105" i="53"/>
  <c r="DB110" i="53"/>
  <c r="DB126" i="53"/>
  <c r="DB116" i="53"/>
  <c r="DB119" i="53"/>
  <c r="DA145" i="53"/>
  <c r="CZ111" i="53"/>
  <c r="CZ112" i="53"/>
  <c r="CZ211" i="53"/>
  <c r="CZ183" i="53"/>
  <c r="CZ184" i="53"/>
  <c r="CZ213" i="53"/>
  <c r="CY197" i="53"/>
  <c r="CU206" i="53"/>
  <c r="CX160" i="53"/>
  <c r="CX214" i="53" s="1"/>
  <c r="CX212" i="53"/>
  <c r="CV204" i="53"/>
  <c r="CW200" i="53" s="1"/>
  <c r="CV202" i="53"/>
  <c r="CV205" i="53" s="1"/>
  <c r="CW168" i="53"/>
  <c r="CX164" i="53" s="1"/>
  <c r="CW166" i="53"/>
  <c r="CV169" i="53"/>
  <c r="CV216" i="53"/>
  <c r="CU217" i="53"/>
  <c r="CU171" i="53"/>
  <c r="CT219" i="53"/>
  <c r="CY185" i="52"/>
  <c r="DA181" i="52"/>
  <c r="DA211" i="52" s="1"/>
  <c r="DC112" i="52"/>
  <c r="DC111" i="52"/>
  <c r="DC198" i="52"/>
  <c r="DC199" i="52" s="1"/>
  <c r="DC201" i="52" s="1"/>
  <c r="DC191" i="52"/>
  <c r="DC188" i="52"/>
  <c r="DC195" i="52" s="1"/>
  <c r="DC126" i="52"/>
  <c r="DC116" i="52"/>
  <c r="DC119" i="52"/>
  <c r="DC147" i="52"/>
  <c r="DC148" i="52"/>
  <c r="DC162" i="52"/>
  <c r="DC155" i="52"/>
  <c r="DC152" i="52"/>
  <c r="DC159" i="52" s="1"/>
  <c r="DD118" i="52"/>
  <c r="DD115" i="52"/>
  <c r="DD120" i="52"/>
  <c r="DD175" i="52"/>
  <c r="DD192" i="52"/>
  <c r="DD190" i="52"/>
  <c r="DD187" i="52"/>
  <c r="DD103" i="52"/>
  <c r="DE108" i="52"/>
  <c r="DE7" i="52"/>
  <c r="DE203" i="52"/>
  <c r="DE180" i="52"/>
  <c r="DE143" i="52"/>
  <c r="DE174" i="52"/>
  <c r="DE175" i="52" s="1"/>
  <c r="DE142" i="52"/>
  <c r="DE140" i="52"/>
  <c r="DE114" i="52"/>
  <c r="DE189" i="52"/>
  <c r="DE186" i="52"/>
  <c r="DE144" i="52"/>
  <c r="DE102" i="52"/>
  <c r="DE103" i="52" s="1"/>
  <c r="DE193" i="52"/>
  <c r="DE107" i="52"/>
  <c r="DE106" i="52"/>
  <c r="DE167" i="52"/>
  <c r="DE179" i="52"/>
  <c r="DE104" i="52"/>
  <c r="DE121" i="52"/>
  <c r="DE138" i="52"/>
  <c r="DE139" i="52" s="1"/>
  <c r="DE150" i="52"/>
  <c r="DE153" i="52"/>
  <c r="DE127" i="52"/>
  <c r="DE129" i="52" s="1"/>
  <c r="DE157" i="52"/>
  <c r="DE163" i="52"/>
  <c r="DE165" i="52" s="1"/>
  <c r="DF6" i="52"/>
  <c r="DE117" i="52"/>
  <c r="DE131" i="52"/>
  <c r="DD139" i="52"/>
  <c r="DD151" i="52"/>
  <c r="DD154" i="52"/>
  <c r="DD156" i="52"/>
  <c r="CW133" i="52"/>
  <c r="CX132" i="52"/>
  <c r="CY128" i="52" s="1"/>
  <c r="CX130" i="52"/>
  <c r="CV135" i="52"/>
  <c r="CT206" i="52"/>
  <c r="CT217" i="52"/>
  <c r="CT207" i="52"/>
  <c r="CV204" i="52"/>
  <c r="CW200" i="52" s="1"/>
  <c r="CV202" i="52"/>
  <c r="CU205" i="52"/>
  <c r="CU216" i="52"/>
  <c r="CS219" i="52"/>
  <c r="DA112" i="52"/>
  <c r="DA111" i="52"/>
  <c r="DA113" i="52" s="1"/>
  <c r="DB147" i="52"/>
  <c r="DB148" i="52"/>
  <c r="DA148" i="52"/>
  <c r="DA147" i="52"/>
  <c r="DA149" i="52" s="1"/>
  <c r="DA160" i="52" s="1"/>
  <c r="DA213" i="52"/>
  <c r="CZ149" i="52"/>
  <c r="DC178" i="52"/>
  <c r="DB178" i="52"/>
  <c r="DB181" i="52" s="1"/>
  <c r="DB109" i="52"/>
  <c r="CX135" i="53"/>
  <c r="CZ130" i="53"/>
  <c r="CZ132" i="53"/>
  <c r="DA128" i="53" s="1"/>
  <c r="CY133" i="53"/>
  <c r="DA166" i="52"/>
  <c r="DA168" i="52"/>
  <c r="DB164" i="52" s="1"/>
  <c r="CY171" i="52"/>
  <c r="DB195" i="53" l="1"/>
  <c r="DB159" i="53"/>
  <c r="DB123" i="53"/>
  <c r="CY160" i="53"/>
  <c r="CY214" i="53" s="1"/>
  <c r="CY212" i="53"/>
  <c r="DE194" i="53"/>
  <c r="DE158" i="53"/>
  <c r="DE122" i="53"/>
  <c r="DC123" i="52"/>
  <c r="DF194" i="52"/>
  <c r="DF158" i="52"/>
  <c r="DF122" i="52"/>
  <c r="DC113" i="52"/>
  <c r="DC146" i="53"/>
  <c r="DC141" i="53"/>
  <c r="DC183" i="53"/>
  <c r="DC184" i="53"/>
  <c r="DC198" i="53"/>
  <c r="DC199" i="53" s="1"/>
  <c r="DC201" i="53" s="1"/>
  <c r="DC188" i="53"/>
  <c r="DC191" i="53"/>
  <c r="DC111" i="53"/>
  <c r="DC112" i="53"/>
  <c r="DC162" i="53"/>
  <c r="DC152" i="53"/>
  <c r="DC159" i="53" s="1"/>
  <c r="DC155" i="53"/>
  <c r="DE163" i="53"/>
  <c r="DE165" i="53" s="1"/>
  <c r="DF6" i="53"/>
  <c r="DE167" i="53"/>
  <c r="DE157" i="53"/>
  <c r="DE144" i="53"/>
  <c r="DE143" i="53"/>
  <c r="DE142" i="53"/>
  <c r="DE140" i="53"/>
  <c r="DE138" i="53"/>
  <c r="DE139" i="53" s="1"/>
  <c r="DE131" i="53"/>
  <c r="DE127" i="53"/>
  <c r="DE129" i="53" s="1"/>
  <c r="DE176" i="53"/>
  <c r="DE174" i="53"/>
  <c r="DE175" i="53" s="1"/>
  <c r="DE203" i="53"/>
  <c r="DE104" i="53"/>
  <c r="DE108" i="53"/>
  <c r="DE179" i="53"/>
  <c r="DE189" i="53"/>
  <c r="DE180" i="53"/>
  <c r="DE107" i="53"/>
  <c r="DE150" i="53"/>
  <c r="DE186" i="53"/>
  <c r="DE117" i="53"/>
  <c r="DE193" i="53"/>
  <c r="DE178" i="53"/>
  <c r="DE153" i="53"/>
  <c r="DE114" i="53"/>
  <c r="DE7" i="53"/>
  <c r="DE106" i="53"/>
  <c r="DE121" i="53"/>
  <c r="DE102" i="53"/>
  <c r="DE103" i="53" s="1"/>
  <c r="DD103" i="53"/>
  <c r="DD175" i="53"/>
  <c r="DD151" i="53"/>
  <c r="DD154" i="53"/>
  <c r="DD156" i="53"/>
  <c r="DD115" i="53"/>
  <c r="DD118" i="53"/>
  <c r="DD120" i="53"/>
  <c r="DD187" i="53"/>
  <c r="DD190" i="53"/>
  <c r="DD192" i="53"/>
  <c r="DC126" i="53"/>
  <c r="DC116" i="53"/>
  <c r="DC119" i="53"/>
  <c r="DB181" i="53"/>
  <c r="DB109" i="53"/>
  <c r="DA147" i="53"/>
  <c r="DA148" i="53"/>
  <c r="DA213" i="53"/>
  <c r="CZ113" i="53"/>
  <c r="CZ185" i="53"/>
  <c r="DB149" i="53"/>
  <c r="DD139" i="53"/>
  <c r="CW204" i="53"/>
  <c r="CX200" i="53" s="1"/>
  <c r="CW202" i="53"/>
  <c r="CW205" i="53" s="1"/>
  <c r="CW207" i="53" s="1"/>
  <c r="CV206" i="53"/>
  <c r="CV207" i="53"/>
  <c r="CX168" i="53"/>
  <c r="CY164" i="53" s="1"/>
  <c r="CX166" i="53"/>
  <c r="CW169" i="53"/>
  <c r="CW216" i="53"/>
  <c r="CV171" i="53"/>
  <c r="CV217" i="53"/>
  <c r="CU219" i="53"/>
  <c r="CY212" i="52"/>
  <c r="CY196" i="52"/>
  <c r="DA184" i="52"/>
  <c r="DA183" i="52"/>
  <c r="DB213" i="52"/>
  <c r="DD126" i="52"/>
  <c r="DD119" i="52"/>
  <c r="DD116" i="52"/>
  <c r="DD123" i="52" s="1"/>
  <c r="DD176" i="52"/>
  <c r="DD182" i="52"/>
  <c r="DD177" i="52"/>
  <c r="DD198" i="52"/>
  <c r="DD199" i="52" s="1"/>
  <c r="DD201" i="52" s="1"/>
  <c r="DD191" i="52"/>
  <c r="DD188" i="52"/>
  <c r="DD195" i="52" s="1"/>
  <c r="DD210" i="52"/>
  <c r="DD110" i="52"/>
  <c r="DD105" i="52"/>
  <c r="DE182" i="52"/>
  <c r="DE177" i="52"/>
  <c r="DE176" i="52"/>
  <c r="DE120" i="52"/>
  <c r="DE115" i="52"/>
  <c r="DE118" i="52"/>
  <c r="DE192" i="52"/>
  <c r="DE190" i="52"/>
  <c r="DE187" i="52"/>
  <c r="DE210" i="52"/>
  <c r="DE110" i="52"/>
  <c r="DE105" i="52"/>
  <c r="DE109" i="52" s="1"/>
  <c r="DE141" i="52"/>
  <c r="DE145" i="52" s="1"/>
  <c r="DE146" i="52"/>
  <c r="DE156" i="52"/>
  <c r="DE154" i="52"/>
  <c r="DE151" i="52"/>
  <c r="DF144" i="52"/>
  <c r="DF140" i="52"/>
  <c r="DF167" i="52"/>
  <c r="DF102" i="52"/>
  <c r="DF180" i="52"/>
  <c r="DF179" i="52"/>
  <c r="DF143" i="52"/>
  <c r="DF108" i="52"/>
  <c r="DF189" i="52"/>
  <c r="DF106" i="52"/>
  <c r="DF107" i="52"/>
  <c r="DF104" i="52"/>
  <c r="DF203" i="52"/>
  <c r="DF7" i="52"/>
  <c r="DF174" i="52"/>
  <c r="DF186" i="52"/>
  <c r="DF142" i="52"/>
  <c r="DF114" i="52"/>
  <c r="DF193" i="52"/>
  <c r="DF117" i="52"/>
  <c r="DF127" i="52"/>
  <c r="DF129" i="52" s="1"/>
  <c r="DF157" i="52"/>
  <c r="DG6" i="52"/>
  <c r="DF121" i="52"/>
  <c r="DF138" i="52"/>
  <c r="DF150" i="52"/>
  <c r="DF153" i="52"/>
  <c r="DF131" i="52"/>
  <c r="DF163" i="52"/>
  <c r="DF165" i="52" s="1"/>
  <c r="DD146" i="52"/>
  <c r="DD141" i="52"/>
  <c r="DD162" i="52"/>
  <c r="DD155" i="52"/>
  <c r="DD152" i="52"/>
  <c r="DD159" i="52" s="1"/>
  <c r="CW135" i="52"/>
  <c r="CY132" i="52"/>
  <c r="CZ128" i="52" s="1"/>
  <c r="CY130" i="52"/>
  <c r="CX133" i="52"/>
  <c r="CT219" i="52"/>
  <c r="CW204" i="52"/>
  <c r="CX200" i="52" s="1"/>
  <c r="CW202" i="52"/>
  <c r="CV216" i="52"/>
  <c r="CV205" i="52"/>
  <c r="CV207" i="52" s="1"/>
  <c r="CU217" i="52"/>
  <c r="CU207" i="52"/>
  <c r="DA124" i="52"/>
  <c r="CZ212" i="52"/>
  <c r="CZ160" i="52"/>
  <c r="DB183" i="52"/>
  <c r="DB184" i="52"/>
  <c r="DB111" i="52"/>
  <c r="DB112" i="52"/>
  <c r="DB211" i="52"/>
  <c r="CU206" i="52"/>
  <c r="DB149" i="52"/>
  <c r="DB160" i="52" s="1"/>
  <c r="DC149" i="52"/>
  <c r="DC181" i="52"/>
  <c r="DA132" i="53"/>
  <c r="DB128" i="53" s="1"/>
  <c r="DA130" i="53"/>
  <c r="CY135" i="53"/>
  <c r="DB166" i="52"/>
  <c r="DB168" i="52"/>
  <c r="DC164" i="52" s="1"/>
  <c r="DA169" i="52"/>
  <c r="DB160" i="53" l="1"/>
  <c r="DC123" i="53"/>
  <c r="DC195" i="53"/>
  <c r="DF194" i="53"/>
  <c r="DF158" i="53"/>
  <c r="DF122" i="53"/>
  <c r="DG194" i="52"/>
  <c r="DG158" i="52"/>
  <c r="DG122" i="52"/>
  <c r="DC124" i="52"/>
  <c r="DB113" i="52"/>
  <c r="DB124" i="52" s="1"/>
  <c r="DA149" i="53"/>
  <c r="DA160" i="53" s="1"/>
  <c r="DC145" i="53"/>
  <c r="DF167" i="53"/>
  <c r="DF7" i="53"/>
  <c r="DF174" i="53"/>
  <c r="DF176" i="53"/>
  <c r="DF157" i="53"/>
  <c r="DF142" i="53"/>
  <c r="DF186" i="53"/>
  <c r="DF104" i="53"/>
  <c r="DF179" i="53"/>
  <c r="DF114" i="53"/>
  <c r="DF140" i="53"/>
  <c r="DF106" i="53"/>
  <c r="DF144" i="53"/>
  <c r="DF127" i="53"/>
  <c r="DF129" i="53" s="1"/>
  <c r="DF102" i="53"/>
  <c r="DF121" i="53"/>
  <c r="DF203" i="53"/>
  <c r="DF178" i="53"/>
  <c r="DF108" i="53"/>
  <c r="DG6" i="53"/>
  <c r="DF143" i="53"/>
  <c r="DF138" i="53"/>
  <c r="DF131" i="53"/>
  <c r="DF180" i="53"/>
  <c r="DF117" i="53"/>
  <c r="DF193" i="53"/>
  <c r="DF163" i="53"/>
  <c r="DF165" i="53" s="1"/>
  <c r="DF189" i="53"/>
  <c r="DF107" i="53"/>
  <c r="DF153" i="53"/>
  <c r="DF150" i="53"/>
  <c r="DE141" i="53"/>
  <c r="DE145" i="53" s="1"/>
  <c r="DE146" i="53"/>
  <c r="DE210" i="53"/>
  <c r="DE177" i="53"/>
  <c r="DE181" i="53" s="1"/>
  <c r="DE182" i="53"/>
  <c r="DE151" i="53"/>
  <c r="DE156" i="53"/>
  <c r="DE154" i="53"/>
  <c r="DE190" i="53"/>
  <c r="DE192" i="53"/>
  <c r="DE187" i="53"/>
  <c r="DE115" i="53"/>
  <c r="DE118" i="53"/>
  <c r="DE120" i="53"/>
  <c r="DE105" i="53"/>
  <c r="DE109" i="53" s="1"/>
  <c r="DE110" i="53"/>
  <c r="DD210" i="53"/>
  <c r="DD110" i="53"/>
  <c r="DD105" i="53"/>
  <c r="DD182" i="53"/>
  <c r="DD177" i="53"/>
  <c r="DD162" i="53"/>
  <c r="DD155" i="53"/>
  <c r="DD152" i="53"/>
  <c r="DD159" i="53" s="1"/>
  <c r="DD126" i="53"/>
  <c r="DD119" i="53"/>
  <c r="DD116" i="53"/>
  <c r="DD123" i="53" s="1"/>
  <c r="DD198" i="53"/>
  <c r="DD199" i="53" s="1"/>
  <c r="DD201" i="53" s="1"/>
  <c r="DD191" i="53"/>
  <c r="DD188" i="53"/>
  <c r="DD195" i="53" s="1"/>
  <c r="DB183" i="53"/>
  <c r="DB184" i="53"/>
  <c r="DB211" i="53"/>
  <c r="DB111" i="53"/>
  <c r="DB112" i="53"/>
  <c r="DB213" i="53"/>
  <c r="CZ124" i="53"/>
  <c r="CZ212" i="53"/>
  <c r="CZ196" i="53"/>
  <c r="DD146" i="53"/>
  <c r="DD141" i="53"/>
  <c r="DC185" i="53"/>
  <c r="DC113" i="53"/>
  <c r="CW206" i="53"/>
  <c r="CX204" i="53"/>
  <c r="CY200" i="53" s="1"/>
  <c r="CX202" i="53"/>
  <c r="CY168" i="53"/>
  <c r="CZ164" i="53" s="1"/>
  <c r="CY166" i="53"/>
  <c r="CX169" i="53"/>
  <c r="CW217" i="53"/>
  <c r="CW171" i="53"/>
  <c r="CV219" i="53"/>
  <c r="CY214" i="52"/>
  <c r="CY197" i="52"/>
  <c r="CZ197" i="52" s="1"/>
  <c r="DA185" i="52"/>
  <c r="DE178" i="52"/>
  <c r="DE181" i="52" s="1"/>
  <c r="DD178" i="52"/>
  <c r="DD109" i="52"/>
  <c r="DE126" i="52"/>
  <c r="DE119" i="52"/>
  <c r="DE116" i="52"/>
  <c r="DE123" i="52" s="1"/>
  <c r="DE198" i="52"/>
  <c r="DE199" i="52" s="1"/>
  <c r="DE201" i="52" s="1"/>
  <c r="DE191" i="52"/>
  <c r="DE188" i="52"/>
  <c r="DE195" i="52" s="1"/>
  <c r="DE211" i="52"/>
  <c r="DE112" i="52"/>
  <c r="DE111" i="52"/>
  <c r="DE113" i="52" s="1"/>
  <c r="DE147" i="52"/>
  <c r="DE148" i="52"/>
  <c r="DE162" i="52"/>
  <c r="DE155" i="52"/>
  <c r="DE152" i="52"/>
  <c r="DE159" i="52" s="1"/>
  <c r="DF103" i="52"/>
  <c r="DF175" i="52"/>
  <c r="DF192" i="52"/>
  <c r="DF190" i="52"/>
  <c r="DF187" i="52"/>
  <c r="DF120" i="52"/>
  <c r="DF118" i="52"/>
  <c r="DF115" i="52"/>
  <c r="DG186" i="52"/>
  <c r="DG174" i="52"/>
  <c r="DG176" i="52"/>
  <c r="DG114" i="52"/>
  <c r="DG7" i="52"/>
  <c r="DG178" i="52"/>
  <c r="DG203" i="52"/>
  <c r="DG104" i="52"/>
  <c r="DG107" i="52"/>
  <c r="DG106" i="52"/>
  <c r="DG189" i="52"/>
  <c r="DG193" i="52"/>
  <c r="DG142" i="52"/>
  <c r="DG108" i="52"/>
  <c r="DG143" i="52"/>
  <c r="DG180" i="52"/>
  <c r="DG102" i="52"/>
  <c r="DG140" i="52"/>
  <c r="DG167" i="52"/>
  <c r="DG144" i="52"/>
  <c r="DG121" i="52"/>
  <c r="DG138" i="52"/>
  <c r="DG139" i="52" s="1"/>
  <c r="DG150" i="52"/>
  <c r="DG153" i="52"/>
  <c r="DG117" i="52"/>
  <c r="DG127" i="52"/>
  <c r="DG129" i="52" s="1"/>
  <c r="DG163" i="52"/>
  <c r="DG165" i="52" s="1"/>
  <c r="DH6" i="52"/>
  <c r="DG131" i="52"/>
  <c r="DG157" i="52"/>
  <c r="DF139" i="52"/>
  <c r="DF156" i="52"/>
  <c r="DF151" i="52"/>
  <c r="DF154" i="52"/>
  <c r="DD145" i="52"/>
  <c r="CZ132" i="52"/>
  <c r="DA128" i="52" s="1"/>
  <c r="CZ130" i="52"/>
  <c r="CY133" i="52"/>
  <c r="CX135" i="52"/>
  <c r="CX204" i="52"/>
  <c r="CY200" i="52" s="1"/>
  <c r="CX202" i="52"/>
  <c r="CW216" i="52"/>
  <c r="CW205" i="52"/>
  <c r="CU219" i="52"/>
  <c r="CZ169" i="52"/>
  <c r="CZ171" i="52" s="1"/>
  <c r="CZ214" i="52"/>
  <c r="DC213" i="52"/>
  <c r="DC184" i="52"/>
  <c r="DC183" i="52"/>
  <c r="DC211" i="52"/>
  <c r="DB185" i="52"/>
  <c r="CV206" i="52"/>
  <c r="DC160" i="52"/>
  <c r="DA171" i="52"/>
  <c r="DB130" i="53"/>
  <c r="DB132" i="53"/>
  <c r="DC128" i="53" s="1"/>
  <c r="DA133" i="53"/>
  <c r="DC166" i="52"/>
  <c r="DC168" i="52"/>
  <c r="DD164" i="52" s="1"/>
  <c r="DB169" i="52"/>
  <c r="DG194" i="53" l="1"/>
  <c r="DG158" i="53"/>
  <c r="DG122" i="53"/>
  <c r="DH194" i="52"/>
  <c r="DH158" i="52"/>
  <c r="DH122" i="52"/>
  <c r="DB185" i="53"/>
  <c r="DB196" i="53" s="1"/>
  <c r="DB113" i="53"/>
  <c r="DC211" i="53"/>
  <c r="DC147" i="53"/>
  <c r="DC148" i="53"/>
  <c r="DF175" i="53"/>
  <c r="DF187" i="53"/>
  <c r="DF192" i="53"/>
  <c r="DF190" i="53"/>
  <c r="DF115" i="53"/>
  <c r="DF118" i="53"/>
  <c r="DF120" i="53"/>
  <c r="DF103" i="53"/>
  <c r="DH6" i="53"/>
  <c r="DG163" i="53"/>
  <c r="DG165" i="53" s="1"/>
  <c r="DG157" i="53"/>
  <c r="DG142" i="53"/>
  <c r="DG138" i="53"/>
  <c r="DG139" i="53" s="1"/>
  <c r="DG131" i="53"/>
  <c r="DG127" i="53"/>
  <c r="DG129" i="53" s="1"/>
  <c r="DG150" i="53"/>
  <c r="DG176" i="53"/>
  <c r="DG7" i="53"/>
  <c r="DG193" i="53"/>
  <c r="DG107" i="53"/>
  <c r="DG189" i="53"/>
  <c r="DG178" i="53"/>
  <c r="DG106" i="53"/>
  <c r="DG186" i="53"/>
  <c r="DG108" i="53"/>
  <c r="DG167" i="53"/>
  <c r="DG144" i="53"/>
  <c r="DG143" i="53"/>
  <c r="DG140" i="53"/>
  <c r="DG203" i="53"/>
  <c r="DG174" i="53"/>
  <c r="DG121" i="53"/>
  <c r="DG102" i="53"/>
  <c r="DG180" i="53"/>
  <c r="DG179" i="53"/>
  <c r="DG117" i="53"/>
  <c r="DG153" i="53"/>
  <c r="DG114" i="53"/>
  <c r="DG104" i="53"/>
  <c r="DF139" i="53"/>
  <c r="DF151" i="53"/>
  <c r="DF154" i="53"/>
  <c r="DF156" i="53"/>
  <c r="DE148" i="53"/>
  <c r="DE147" i="53"/>
  <c r="DE149" i="53" s="1"/>
  <c r="DE183" i="53"/>
  <c r="DE184" i="53"/>
  <c r="DE162" i="53"/>
  <c r="DE152" i="53"/>
  <c r="DE155" i="53"/>
  <c r="DE198" i="53"/>
  <c r="DE199" i="53" s="1"/>
  <c r="DE201" i="53" s="1"/>
  <c r="DE188" i="53"/>
  <c r="DE191" i="53"/>
  <c r="DE126" i="53"/>
  <c r="DE116" i="53"/>
  <c r="DE119" i="53"/>
  <c r="DE211" i="53"/>
  <c r="DE111" i="53"/>
  <c r="DE112" i="53"/>
  <c r="DD109" i="53"/>
  <c r="DD181" i="53"/>
  <c r="CZ133" i="53"/>
  <c r="CZ135" i="53" s="1"/>
  <c r="CZ214" i="53"/>
  <c r="CZ197" i="53"/>
  <c r="DC124" i="53"/>
  <c r="DC213" i="53"/>
  <c r="DC196" i="53"/>
  <c r="DD145" i="53"/>
  <c r="CX205" i="53"/>
  <c r="CX217" i="53" s="1"/>
  <c r="CX216" i="53"/>
  <c r="CY204" i="53"/>
  <c r="CZ200" i="53" s="1"/>
  <c r="CY202" i="53"/>
  <c r="CY205" i="53" s="1"/>
  <c r="CY207" i="53" s="1"/>
  <c r="CX206" i="53"/>
  <c r="CX207" i="53"/>
  <c r="CZ168" i="53"/>
  <c r="DA164" i="53" s="1"/>
  <c r="CZ166" i="53"/>
  <c r="CY169" i="53"/>
  <c r="CY216" i="53"/>
  <c r="CX171" i="53"/>
  <c r="CW219" i="53"/>
  <c r="DE149" i="52"/>
  <c r="CW206" i="52"/>
  <c r="DA212" i="52"/>
  <c r="DA196" i="52"/>
  <c r="DE184" i="52"/>
  <c r="DE183" i="52"/>
  <c r="DD181" i="52"/>
  <c r="DD211" i="52" s="1"/>
  <c r="DD112" i="52"/>
  <c r="DD111" i="52"/>
  <c r="DD113" i="52" s="1"/>
  <c r="DF210" i="52"/>
  <c r="DF110" i="52"/>
  <c r="DF105" i="52"/>
  <c r="DF176" i="52"/>
  <c r="DF178" i="52" s="1"/>
  <c r="DF182" i="52"/>
  <c r="DF177" i="52"/>
  <c r="DF198" i="52"/>
  <c r="DF199" i="52" s="1"/>
  <c r="DF201" i="52" s="1"/>
  <c r="DF191" i="52"/>
  <c r="DF188" i="52"/>
  <c r="DF195" i="52" s="1"/>
  <c r="DF126" i="52"/>
  <c r="DF119" i="52"/>
  <c r="DF116" i="52"/>
  <c r="DF123" i="52" s="1"/>
  <c r="DG192" i="52"/>
  <c r="DG190" i="52"/>
  <c r="DG187" i="52"/>
  <c r="DG118" i="52"/>
  <c r="DG115" i="52"/>
  <c r="DG120" i="52"/>
  <c r="DG146" i="52"/>
  <c r="DG141" i="52"/>
  <c r="DG145" i="52" s="1"/>
  <c r="DG156" i="52"/>
  <c r="DG154" i="52"/>
  <c r="DG151" i="52"/>
  <c r="DH176" i="52"/>
  <c r="DH140" i="52"/>
  <c r="DH186" i="52"/>
  <c r="DH144" i="52"/>
  <c r="DH167" i="52"/>
  <c r="DH179" i="52"/>
  <c r="DH180" i="52"/>
  <c r="DH189" i="52"/>
  <c r="DH102" i="52"/>
  <c r="DH103" i="52" s="1"/>
  <c r="DH193" i="52"/>
  <c r="DH143" i="52"/>
  <c r="DH104" i="52"/>
  <c r="DH203" i="52"/>
  <c r="DH107" i="52"/>
  <c r="DH178" i="52"/>
  <c r="DH7" i="52"/>
  <c r="DH142" i="52"/>
  <c r="DH108" i="52"/>
  <c r="DH114" i="52"/>
  <c r="DH106" i="52"/>
  <c r="DH174" i="52"/>
  <c r="DH175" i="52" s="1"/>
  <c r="DH117" i="52"/>
  <c r="DI6" i="52"/>
  <c r="DH121" i="52"/>
  <c r="DH138" i="52"/>
  <c r="DH150" i="52"/>
  <c r="DH153" i="52"/>
  <c r="DH127" i="52"/>
  <c r="DH129" i="52" s="1"/>
  <c r="DH131" i="52"/>
  <c r="DH157" i="52"/>
  <c r="DH163" i="52"/>
  <c r="DH165" i="52" s="1"/>
  <c r="DF146" i="52"/>
  <c r="DF141" i="52"/>
  <c r="DF162" i="52"/>
  <c r="DF155" i="52"/>
  <c r="DF152" i="52"/>
  <c r="DF159" i="52" s="1"/>
  <c r="DD147" i="52"/>
  <c r="DD148" i="52"/>
  <c r="DA132" i="52"/>
  <c r="DB128" i="52" s="1"/>
  <c r="DA130" i="52"/>
  <c r="CZ133" i="52"/>
  <c r="CY135" i="52"/>
  <c r="CY204" i="52"/>
  <c r="CZ200" i="52" s="1"/>
  <c r="CY202" i="52"/>
  <c r="CX216" i="52"/>
  <c r="CX205" i="52"/>
  <c r="CW217" i="52"/>
  <c r="CW207" i="52"/>
  <c r="DD213" i="52"/>
  <c r="DC185" i="52"/>
  <c r="DE124" i="52"/>
  <c r="DG175" i="52"/>
  <c r="DG103" i="52"/>
  <c r="DB196" i="52"/>
  <c r="DB214" i="52" s="1"/>
  <c r="DB212" i="52"/>
  <c r="DC130" i="53"/>
  <c r="DC132" i="53"/>
  <c r="DD128" i="53" s="1"/>
  <c r="DA135" i="53"/>
  <c r="DD166" i="52"/>
  <c r="DD168" i="52"/>
  <c r="DE164" i="52" s="1"/>
  <c r="DB171" i="52"/>
  <c r="DC169" i="52"/>
  <c r="DC171" i="52" s="1"/>
  <c r="DE159" i="53" l="1"/>
  <c r="DE195" i="53"/>
  <c r="DE123" i="53"/>
  <c r="DH194" i="53"/>
  <c r="DH158" i="53"/>
  <c r="DH122" i="53"/>
  <c r="DE185" i="52"/>
  <c r="DE212" i="52" s="1"/>
  <c r="DI194" i="52"/>
  <c r="DI158" i="52"/>
  <c r="DI122" i="52"/>
  <c r="DB212" i="53"/>
  <c r="DB124" i="53"/>
  <c r="DC149" i="53"/>
  <c r="DF182" i="53"/>
  <c r="DF177" i="53"/>
  <c r="DF198" i="53"/>
  <c r="DF199" i="53" s="1"/>
  <c r="DF201" i="53" s="1"/>
  <c r="DF191" i="53"/>
  <c r="DF188" i="53"/>
  <c r="DF195" i="53" s="1"/>
  <c r="DF126" i="53"/>
  <c r="DF119" i="53"/>
  <c r="DF116" i="53"/>
  <c r="DF123" i="53" s="1"/>
  <c r="DF210" i="53"/>
  <c r="DF105" i="53"/>
  <c r="DF110" i="53"/>
  <c r="DH144" i="53"/>
  <c r="DH143" i="53"/>
  <c r="DH107" i="53"/>
  <c r="DH153" i="53"/>
  <c r="DH193" i="53"/>
  <c r="DH203" i="53"/>
  <c r="DH140" i="53"/>
  <c r="DH138" i="53"/>
  <c r="DH7" i="53"/>
  <c r="DH189" i="53"/>
  <c r="DH178" i="53"/>
  <c r="DH108" i="53"/>
  <c r="DH127" i="53"/>
  <c r="DH129" i="53" s="1"/>
  <c r="DH102" i="53"/>
  <c r="DH103" i="53" s="1"/>
  <c r="DH186" i="53"/>
  <c r="DH117" i="53"/>
  <c r="DH176" i="53"/>
  <c r="DH106" i="53"/>
  <c r="DH104" i="53"/>
  <c r="DH150" i="53"/>
  <c r="DH167" i="53"/>
  <c r="DH131" i="53"/>
  <c r="DH121" i="53"/>
  <c r="DH174" i="53"/>
  <c r="DH179" i="53"/>
  <c r="DH180" i="53"/>
  <c r="DH114" i="53"/>
  <c r="DI6" i="53"/>
  <c r="DH163" i="53"/>
  <c r="DH165" i="53" s="1"/>
  <c r="DH157" i="53"/>
  <c r="DH142" i="53"/>
  <c r="DG146" i="53"/>
  <c r="DG141" i="53"/>
  <c r="DG145" i="53" s="1"/>
  <c r="DG154" i="53"/>
  <c r="DG151" i="53"/>
  <c r="DG156" i="53"/>
  <c r="DG192" i="53"/>
  <c r="DG190" i="53"/>
  <c r="DG187" i="53"/>
  <c r="DG115" i="53"/>
  <c r="DG120" i="53"/>
  <c r="DG118" i="53"/>
  <c r="DF141" i="53"/>
  <c r="DF146" i="53"/>
  <c r="DF162" i="53"/>
  <c r="DF152" i="53"/>
  <c r="DF155" i="53"/>
  <c r="DD112" i="53"/>
  <c r="DD211" i="53"/>
  <c r="DD111" i="53"/>
  <c r="DD184" i="53"/>
  <c r="DD183" i="53"/>
  <c r="DD185" i="53" s="1"/>
  <c r="DD196" i="53" s="1"/>
  <c r="DD147" i="53"/>
  <c r="DD148" i="53"/>
  <c r="DD149" i="53" s="1"/>
  <c r="DD160" i="53" s="1"/>
  <c r="DD213" i="53"/>
  <c r="DE185" i="53"/>
  <c r="DE113" i="53"/>
  <c r="DG175" i="53"/>
  <c r="DG103" i="53"/>
  <c r="CZ204" i="53"/>
  <c r="DA200" i="53" s="1"/>
  <c r="CZ202" i="53"/>
  <c r="CZ205" i="53" s="1"/>
  <c r="CZ207" i="53" s="1"/>
  <c r="DA168" i="53"/>
  <c r="DB164" i="53" s="1"/>
  <c r="DA166" i="53"/>
  <c r="CZ216" i="53"/>
  <c r="CZ169" i="53"/>
  <c r="CY171" i="53"/>
  <c r="CY217" i="53"/>
  <c r="CX219" i="53"/>
  <c r="CY206" i="53"/>
  <c r="DA197" i="52"/>
  <c r="DB197" i="52" s="1"/>
  <c r="DA214" i="52"/>
  <c r="DD183" i="52"/>
  <c r="DD184" i="52"/>
  <c r="DD124" i="52"/>
  <c r="DF109" i="52"/>
  <c r="DG198" i="52"/>
  <c r="DG199" i="52" s="1"/>
  <c r="DG201" i="52" s="1"/>
  <c r="DG191" i="52"/>
  <c r="DG188" i="52"/>
  <c r="DG195" i="52" s="1"/>
  <c r="DG126" i="52"/>
  <c r="DG119" i="52"/>
  <c r="DG116" i="52"/>
  <c r="DG123" i="52" s="1"/>
  <c r="DG147" i="52"/>
  <c r="DG148" i="52"/>
  <c r="DG162" i="52"/>
  <c r="DG155" i="52"/>
  <c r="DG152" i="52"/>
  <c r="DG159" i="52" s="1"/>
  <c r="DH192" i="52"/>
  <c r="DH190" i="52"/>
  <c r="DH187" i="52"/>
  <c r="DH110" i="52"/>
  <c r="DH105" i="52"/>
  <c r="DH109" i="52" s="1"/>
  <c r="DH118" i="52"/>
  <c r="DH115" i="52"/>
  <c r="DH120" i="52"/>
  <c r="DH182" i="52"/>
  <c r="DH177" i="52"/>
  <c r="DH181" i="52" s="1"/>
  <c r="DI174" i="52"/>
  <c r="DI178" i="52"/>
  <c r="DI114" i="52"/>
  <c r="DI176" i="52"/>
  <c r="DI142" i="52"/>
  <c r="DI107" i="52"/>
  <c r="DI104" i="52"/>
  <c r="DI7" i="52"/>
  <c r="DI203" i="52"/>
  <c r="DI143" i="52"/>
  <c r="DI108" i="52"/>
  <c r="DI102" i="52"/>
  <c r="DI193" i="52"/>
  <c r="DI189" i="52"/>
  <c r="DI179" i="52"/>
  <c r="DI167" i="52"/>
  <c r="DI180" i="52"/>
  <c r="DI144" i="52"/>
  <c r="DI186" i="52"/>
  <c r="DI140" i="52"/>
  <c r="DI106" i="52"/>
  <c r="DI121" i="52"/>
  <c r="DI138" i="52"/>
  <c r="DI139" i="52" s="1"/>
  <c r="DI150" i="52"/>
  <c r="DI153" i="52"/>
  <c r="DI163" i="52"/>
  <c r="DI165" i="52" s="1"/>
  <c r="DJ6" i="52"/>
  <c r="DI117" i="52"/>
  <c r="DI127" i="52"/>
  <c r="DI129" i="52" s="1"/>
  <c r="DI131" i="52"/>
  <c r="DI157" i="52"/>
  <c r="DH139" i="52"/>
  <c r="DH210" i="52" s="1"/>
  <c r="DH151" i="52"/>
  <c r="DH154" i="52"/>
  <c r="DH156" i="52"/>
  <c r="DF145" i="52"/>
  <c r="DB132" i="52"/>
  <c r="DC128" i="52" s="1"/>
  <c r="DB130" i="52"/>
  <c r="DA133" i="52"/>
  <c r="CZ135" i="52"/>
  <c r="CZ204" i="52"/>
  <c r="DA200" i="52" s="1"/>
  <c r="CZ202" i="52"/>
  <c r="CY216" i="52"/>
  <c r="CY205" i="52"/>
  <c r="CX206" i="52"/>
  <c r="CX217" i="52"/>
  <c r="CX207" i="52"/>
  <c r="CX219" i="52" s="1"/>
  <c r="CW219" i="52"/>
  <c r="DC212" i="52"/>
  <c r="DC196" i="52"/>
  <c r="DE213" i="52"/>
  <c r="DE160" i="52"/>
  <c r="DG177" i="52"/>
  <c r="DG182" i="52"/>
  <c r="DG105" i="52"/>
  <c r="DG110" i="52"/>
  <c r="DG210" i="52"/>
  <c r="DD149" i="52"/>
  <c r="DE196" i="52"/>
  <c r="DF181" i="52"/>
  <c r="DF213" i="52"/>
  <c r="DC133" i="53"/>
  <c r="DD130" i="53"/>
  <c r="DD132" i="53"/>
  <c r="DE128" i="53" s="1"/>
  <c r="DE166" i="52"/>
  <c r="DE168" i="52"/>
  <c r="DF164" i="52" s="1"/>
  <c r="DD113" i="53" l="1"/>
  <c r="DF159" i="53"/>
  <c r="DB214" i="53"/>
  <c r="DB133" i="53"/>
  <c r="DB135" i="53" s="1"/>
  <c r="DC212" i="53"/>
  <c r="DC160" i="53"/>
  <c r="DC214" i="53" s="1"/>
  <c r="DI194" i="53"/>
  <c r="DI158" i="53"/>
  <c r="DI122" i="53"/>
  <c r="DJ194" i="52"/>
  <c r="DJ158" i="52"/>
  <c r="DJ122" i="52"/>
  <c r="CY206" i="52"/>
  <c r="DF181" i="53"/>
  <c r="DF109" i="53"/>
  <c r="DH139" i="53"/>
  <c r="DH105" i="53"/>
  <c r="DH109" i="53" s="1"/>
  <c r="DH110" i="53"/>
  <c r="DH190" i="53"/>
  <c r="DH192" i="53"/>
  <c r="DH187" i="53"/>
  <c r="DH151" i="53"/>
  <c r="DH156" i="53"/>
  <c r="DH154" i="53"/>
  <c r="DH118" i="53"/>
  <c r="DH120" i="53"/>
  <c r="DH115" i="53"/>
  <c r="DI180" i="53"/>
  <c r="DI104" i="53"/>
  <c r="DI176" i="53"/>
  <c r="DI114" i="53"/>
  <c r="DI107" i="53"/>
  <c r="DI150" i="53"/>
  <c r="DJ6" i="53"/>
  <c r="DI167" i="53"/>
  <c r="DI163" i="53"/>
  <c r="DI165" i="53" s="1"/>
  <c r="DI157" i="53"/>
  <c r="DI144" i="53"/>
  <c r="DI143" i="53"/>
  <c r="DI142" i="53"/>
  <c r="DI140" i="53"/>
  <c r="DI138" i="53"/>
  <c r="DI131" i="53"/>
  <c r="DI127" i="53"/>
  <c r="DI129" i="53" s="1"/>
  <c r="DI153" i="53"/>
  <c r="DI121" i="53"/>
  <c r="DI102" i="53"/>
  <c r="DI174" i="53"/>
  <c r="DI175" i="53" s="1"/>
  <c r="DI186" i="53"/>
  <c r="DI117" i="53"/>
  <c r="DI108" i="53"/>
  <c r="DI178" i="53"/>
  <c r="DI106" i="53"/>
  <c r="DI193" i="53"/>
  <c r="DI179" i="53"/>
  <c r="DI7" i="53"/>
  <c r="DI203" i="53"/>
  <c r="DI189" i="53"/>
  <c r="DG147" i="53"/>
  <c r="DG148" i="53"/>
  <c r="DG162" i="53"/>
  <c r="DG155" i="53"/>
  <c r="DG152" i="53"/>
  <c r="DG159" i="53" s="1"/>
  <c r="DG198" i="53"/>
  <c r="DG199" i="53" s="1"/>
  <c r="DG201" i="53" s="1"/>
  <c r="DG188" i="53"/>
  <c r="DG191" i="53"/>
  <c r="DG126" i="53"/>
  <c r="DG119" i="53"/>
  <c r="DG116" i="53"/>
  <c r="DG123" i="53" s="1"/>
  <c r="DF145" i="53"/>
  <c r="DD124" i="53"/>
  <c r="DD212" i="53"/>
  <c r="DE160" i="53"/>
  <c r="DE213" i="53"/>
  <c r="DE196" i="53"/>
  <c r="DE124" i="53"/>
  <c r="DG177" i="53"/>
  <c r="DG182" i="53"/>
  <c r="DG105" i="53"/>
  <c r="DG110" i="53"/>
  <c r="DG210" i="53"/>
  <c r="DE212" i="53"/>
  <c r="CZ206" i="53"/>
  <c r="DH175" i="53"/>
  <c r="DA204" i="53"/>
  <c r="DB200" i="53" s="1"/>
  <c r="DA202" i="53"/>
  <c r="DB166" i="53"/>
  <c r="DB168" i="53"/>
  <c r="DC164" i="53" s="1"/>
  <c r="DA216" i="53"/>
  <c r="DA169" i="53"/>
  <c r="CZ217" i="53"/>
  <c r="CZ171" i="53"/>
  <c r="CZ219" i="53" s="1"/>
  <c r="CY219" i="53"/>
  <c r="DD185" i="52"/>
  <c r="DD212" i="52" s="1"/>
  <c r="DF211" i="52"/>
  <c r="DF112" i="52"/>
  <c r="DF111" i="52"/>
  <c r="DF113" i="52" s="1"/>
  <c r="DH198" i="52"/>
  <c r="DH199" i="52" s="1"/>
  <c r="DH201" i="52" s="1"/>
  <c r="DH191" i="52"/>
  <c r="DH188" i="52"/>
  <c r="DH195" i="52" s="1"/>
  <c r="DH112" i="52"/>
  <c r="DH111" i="52"/>
  <c r="DH113" i="52" s="1"/>
  <c r="DH126" i="52"/>
  <c r="DH119" i="52"/>
  <c r="DH116" i="52"/>
  <c r="DH123" i="52" s="1"/>
  <c r="DH184" i="52"/>
  <c r="DH183" i="52"/>
  <c r="DH185" i="52" s="1"/>
  <c r="DI175" i="52"/>
  <c r="DI120" i="52"/>
  <c r="DI118" i="52"/>
  <c r="DI115" i="52"/>
  <c r="DI103" i="52"/>
  <c r="DI192" i="52"/>
  <c r="DI190" i="52"/>
  <c r="DI187" i="52"/>
  <c r="DI141" i="52"/>
  <c r="DI145" i="52" s="1"/>
  <c r="DI146" i="52"/>
  <c r="DI151" i="52"/>
  <c r="DI156" i="52"/>
  <c r="DI154" i="52"/>
  <c r="DJ140" i="52"/>
  <c r="DJ178" i="52"/>
  <c r="DJ102" i="52"/>
  <c r="DJ142" i="52"/>
  <c r="DJ203" i="52"/>
  <c r="DJ176" i="52"/>
  <c r="DJ186" i="52"/>
  <c r="DJ179" i="52"/>
  <c r="DJ143" i="52"/>
  <c r="DJ144" i="52"/>
  <c r="DJ114" i="52"/>
  <c r="DJ189" i="52"/>
  <c r="DJ7" i="52"/>
  <c r="DJ106" i="52"/>
  <c r="DJ107" i="52"/>
  <c r="DJ193" i="52"/>
  <c r="DJ167" i="52"/>
  <c r="DJ174" i="52"/>
  <c r="DJ104" i="52"/>
  <c r="DJ180" i="52"/>
  <c r="DJ108" i="52"/>
  <c r="DJ127" i="52"/>
  <c r="DJ129" i="52" s="1"/>
  <c r="DJ121" i="52"/>
  <c r="DJ138" i="52"/>
  <c r="DJ150" i="52"/>
  <c r="DJ153" i="52"/>
  <c r="DK6" i="52"/>
  <c r="DJ117" i="52"/>
  <c r="DJ131" i="52"/>
  <c r="DJ157" i="52"/>
  <c r="DJ163" i="52"/>
  <c r="DJ165" i="52" s="1"/>
  <c r="DH146" i="52"/>
  <c r="DH141" i="52"/>
  <c r="DH162" i="52"/>
  <c r="DH155" i="52"/>
  <c r="DH152" i="52"/>
  <c r="DH159" i="52" s="1"/>
  <c r="DF147" i="52"/>
  <c r="DF148" i="52"/>
  <c r="DC132" i="52"/>
  <c r="DD128" i="52" s="1"/>
  <c r="DC130" i="52"/>
  <c r="DB133" i="52"/>
  <c r="DA135" i="52"/>
  <c r="DA204" i="52"/>
  <c r="DB200" i="52" s="1"/>
  <c r="DA202" i="52"/>
  <c r="CZ216" i="52"/>
  <c r="CZ205" i="52"/>
  <c r="CY217" i="52"/>
  <c r="CY207" i="52"/>
  <c r="DF183" i="52"/>
  <c r="DF184" i="52"/>
  <c r="DG149" i="52"/>
  <c r="DE214" i="52"/>
  <c r="DC197" i="52"/>
  <c r="DC214" i="52"/>
  <c r="DG109" i="52"/>
  <c r="DD160" i="52"/>
  <c r="DC135" i="53"/>
  <c r="DE130" i="53"/>
  <c r="DE132" i="53"/>
  <c r="DF128" i="53" s="1"/>
  <c r="DE169" i="52"/>
  <c r="DF166" i="52"/>
  <c r="DF168" i="52"/>
  <c r="DG164" i="52" s="1"/>
  <c r="DG195" i="53" l="1"/>
  <c r="DJ194" i="53"/>
  <c r="DJ158" i="53"/>
  <c r="DJ122" i="53"/>
  <c r="DK194" i="52"/>
  <c r="DK158" i="52"/>
  <c r="DK122" i="52"/>
  <c r="DF183" i="53"/>
  <c r="DF184" i="53"/>
  <c r="DF111" i="53"/>
  <c r="DF112" i="53"/>
  <c r="DF211" i="53"/>
  <c r="DH141" i="53"/>
  <c r="DH146" i="53"/>
  <c r="DH210" i="53"/>
  <c r="DH111" i="53"/>
  <c r="DH112" i="53"/>
  <c r="DH198" i="53"/>
  <c r="DH199" i="53" s="1"/>
  <c r="DH201" i="53" s="1"/>
  <c r="DH188" i="53"/>
  <c r="DH191" i="53"/>
  <c r="DH162" i="53"/>
  <c r="DH152" i="53"/>
  <c r="DH155" i="53"/>
  <c r="DH126" i="53"/>
  <c r="DH116" i="53"/>
  <c r="DH119" i="53"/>
  <c r="DI115" i="53"/>
  <c r="DI118" i="53"/>
  <c r="DI120" i="53"/>
  <c r="DI151" i="53"/>
  <c r="DI154" i="53"/>
  <c r="DI156" i="53"/>
  <c r="DJ163" i="53"/>
  <c r="DJ165" i="53" s="1"/>
  <c r="DJ143" i="53"/>
  <c r="DJ138" i="53"/>
  <c r="DJ139" i="53" s="1"/>
  <c r="DJ127" i="53"/>
  <c r="DJ129" i="53" s="1"/>
  <c r="DJ106" i="53"/>
  <c r="DJ104" i="53"/>
  <c r="DJ107" i="53"/>
  <c r="DJ7" i="53"/>
  <c r="DJ114" i="53"/>
  <c r="DJ150" i="53"/>
  <c r="DJ178" i="53"/>
  <c r="DJ186" i="53"/>
  <c r="DJ121" i="53"/>
  <c r="DJ117" i="53"/>
  <c r="DJ102" i="53"/>
  <c r="DJ103" i="53" s="1"/>
  <c r="DJ174" i="53"/>
  <c r="DJ153" i="53"/>
  <c r="DJ179" i="53"/>
  <c r="DK6" i="53"/>
  <c r="DJ157" i="53"/>
  <c r="DJ140" i="53"/>
  <c r="DJ108" i="53"/>
  <c r="DJ176" i="53"/>
  <c r="DJ180" i="53"/>
  <c r="DJ167" i="53"/>
  <c r="DJ144" i="53"/>
  <c r="DJ142" i="53"/>
  <c r="DJ131" i="53"/>
  <c r="DJ193" i="53"/>
  <c r="DJ203" i="53"/>
  <c r="DJ189" i="53"/>
  <c r="DI103" i="53"/>
  <c r="DI177" i="53"/>
  <c r="DI181" i="53" s="1"/>
  <c r="DI182" i="53"/>
  <c r="DI187" i="53"/>
  <c r="DI190" i="53"/>
  <c r="DI192" i="53"/>
  <c r="DF148" i="53"/>
  <c r="DF147" i="53"/>
  <c r="DH177" i="53"/>
  <c r="DH181" i="53" s="1"/>
  <c r="DH182" i="53"/>
  <c r="DG149" i="53"/>
  <c r="DG160" i="53" s="1"/>
  <c r="DF213" i="53"/>
  <c r="DE214" i="53"/>
  <c r="DI139" i="53"/>
  <c r="DD214" i="53"/>
  <c r="DD133" i="53"/>
  <c r="DD135" i="53" s="1"/>
  <c r="DG181" i="53"/>
  <c r="DG109" i="53"/>
  <c r="DB204" i="53"/>
  <c r="DC200" i="53" s="1"/>
  <c r="DB202" i="53"/>
  <c r="DB205" i="53" s="1"/>
  <c r="DB207" i="53" s="1"/>
  <c r="DB216" i="53"/>
  <c r="DB169" i="53"/>
  <c r="DC168" i="53"/>
  <c r="DD164" i="53" s="1"/>
  <c r="DC166" i="53"/>
  <c r="DA171" i="53"/>
  <c r="DF149" i="52"/>
  <c r="DF160" i="52" s="1"/>
  <c r="DF169" i="52" s="1"/>
  <c r="DF171" i="52" s="1"/>
  <c r="DG160" i="52"/>
  <c r="DD196" i="52"/>
  <c r="DD214" i="52" s="1"/>
  <c r="DF124" i="52"/>
  <c r="DG213" i="52"/>
  <c r="DI182" i="52"/>
  <c r="DI177" i="52"/>
  <c r="DI126" i="52"/>
  <c r="DI119" i="52"/>
  <c r="DI116" i="52"/>
  <c r="DI123" i="52" s="1"/>
  <c r="DI210" i="52"/>
  <c r="DI110" i="52"/>
  <c r="DI105" i="52"/>
  <c r="DI198" i="52"/>
  <c r="DI199" i="52" s="1"/>
  <c r="DI201" i="52" s="1"/>
  <c r="DI191" i="52"/>
  <c r="DI188" i="52"/>
  <c r="DI195" i="52" s="1"/>
  <c r="DI147" i="52"/>
  <c r="DI148" i="52"/>
  <c r="DI162" i="52"/>
  <c r="DI155" i="52"/>
  <c r="DI152" i="52"/>
  <c r="DI159" i="52" s="1"/>
  <c r="DJ192" i="52"/>
  <c r="DJ190" i="52"/>
  <c r="DJ187" i="52"/>
  <c r="DJ120" i="52"/>
  <c r="DJ115" i="52"/>
  <c r="DJ118" i="52"/>
  <c r="DJ139" i="52"/>
  <c r="DJ156" i="52"/>
  <c r="DJ151" i="52"/>
  <c r="DJ154" i="52"/>
  <c r="DK142" i="52"/>
  <c r="DK189" i="52"/>
  <c r="DK144" i="52"/>
  <c r="DK143" i="52"/>
  <c r="DK179" i="52"/>
  <c r="DK186" i="52"/>
  <c r="DK106" i="52"/>
  <c r="DK193" i="52"/>
  <c r="DK107" i="52"/>
  <c r="DK167" i="52"/>
  <c r="DK108" i="52"/>
  <c r="DK114" i="52"/>
  <c r="DK104" i="52"/>
  <c r="DK178" i="52"/>
  <c r="DK140" i="52"/>
  <c r="DK203" i="52"/>
  <c r="DK102" i="52"/>
  <c r="DK174" i="52"/>
  <c r="DK175" i="52" s="1"/>
  <c r="DK180" i="52"/>
  <c r="DK176" i="52"/>
  <c r="DK7" i="52"/>
  <c r="DK163" i="52"/>
  <c r="DK165" i="52" s="1"/>
  <c r="DL6" i="52"/>
  <c r="DK117" i="52"/>
  <c r="DK127" i="52"/>
  <c r="DK129" i="52" s="1"/>
  <c r="DK131" i="52"/>
  <c r="DK157" i="52"/>
  <c r="DK121" i="52"/>
  <c r="DK138" i="52"/>
  <c r="DK139" i="52" s="1"/>
  <c r="DK150" i="52"/>
  <c r="DK153" i="52"/>
  <c r="DH145" i="52"/>
  <c r="DD132" i="52"/>
  <c r="DE128" i="52" s="1"/>
  <c r="DD130" i="52"/>
  <c r="DC133" i="52"/>
  <c r="DB135" i="52"/>
  <c r="DB204" i="52"/>
  <c r="DC200" i="52" s="1"/>
  <c r="DB202" i="52"/>
  <c r="DA205" i="52"/>
  <c r="DA216" i="52"/>
  <c r="CZ206" i="52"/>
  <c r="CZ217" i="52"/>
  <c r="CZ207" i="52"/>
  <c r="CZ219" i="52" s="1"/>
  <c r="CY219" i="52"/>
  <c r="DG111" i="52"/>
  <c r="DG112" i="52"/>
  <c r="DD169" i="52"/>
  <c r="DD171" i="52" s="1"/>
  <c r="DF185" i="52"/>
  <c r="DH124" i="52"/>
  <c r="DJ103" i="52"/>
  <c r="DJ175" i="52"/>
  <c r="DE133" i="53"/>
  <c r="DF132" i="53"/>
  <c r="DG128" i="53" s="1"/>
  <c r="DF130" i="53"/>
  <c r="DE171" i="52"/>
  <c r="DG166" i="52"/>
  <c r="DG168" i="52"/>
  <c r="DH164" i="52" s="1"/>
  <c r="DH195" i="53" l="1"/>
  <c r="DF149" i="53"/>
  <c r="DF160" i="53" s="1"/>
  <c r="DH159" i="53"/>
  <c r="DH123" i="53"/>
  <c r="DK194" i="53"/>
  <c r="DK158" i="53"/>
  <c r="DK122" i="53"/>
  <c r="DG113" i="52"/>
  <c r="DG124" i="52" s="1"/>
  <c r="DL194" i="52"/>
  <c r="DL158" i="52"/>
  <c r="DL122" i="52"/>
  <c r="DF196" i="52"/>
  <c r="DF214" i="52" s="1"/>
  <c r="DF212" i="52"/>
  <c r="DA206" i="52"/>
  <c r="DH145" i="53"/>
  <c r="DH213" i="53"/>
  <c r="DI126" i="53"/>
  <c r="DI116" i="53"/>
  <c r="DI119" i="53"/>
  <c r="DI162" i="53"/>
  <c r="DI155" i="53"/>
  <c r="DI152" i="53"/>
  <c r="DI159" i="53" s="1"/>
  <c r="DJ146" i="53"/>
  <c r="DJ141" i="53"/>
  <c r="DJ145" i="53" s="1"/>
  <c r="DJ118" i="53"/>
  <c r="DJ115" i="53"/>
  <c r="DJ120" i="53"/>
  <c r="DJ151" i="53"/>
  <c r="DJ156" i="53"/>
  <c r="DJ154" i="53"/>
  <c r="DJ190" i="53"/>
  <c r="DJ187" i="53"/>
  <c r="DJ192" i="53"/>
  <c r="DJ110" i="53"/>
  <c r="DJ105" i="53"/>
  <c r="DJ109" i="53" s="1"/>
  <c r="DJ175" i="53"/>
  <c r="DJ210" i="53" s="1"/>
  <c r="DL6" i="53"/>
  <c r="DK163" i="53"/>
  <c r="DK165" i="53" s="1"/>
  <c r="DK144" i="53"/>
  <c r="DK142" i="53"/>
  <c r="DK138" i="53"/>
  <c r="DK127" i="53"/>
  <c r="DK129" i="53" s="1"/>
  <c r="DK150" i="53"/>
  <c r="DK179" i="53"/>
  <c r="DK186" i="53"/>
  <c r="DK117" i="53"/>
  <c r="DK102" i="53"/>
  <c r="DK176" i="53"/>
  <c r="DK189" i="53"/>
  <c r="DK7" i="53"/>
  <c r="DK107" i="53"/>
  <c r="DK108" i="53"/>
  <c r="DK167" i="53"/>
  <c r="DK157" i="53"/>
  <c r="DK143" i="53"/>
  <c r="DK140" i="53"/>
  <c r="DK131" i="53"/>
  <c r="DK203" i="53"/>
  <c r="DK153" i="53"/>
  <c r="DK121" i="53"/>
  <c r="DK174" i="53"/>
  <c r="DK175" i="53" s="1"/>
  <c r="DK104" i="53"/>
  <c r="DK180" i="53"/>
  <c r="DK178" i="53"/>
  <c r="DK114" i="53"/>
  <c r="DK193" i="53"/>
  <c r="DK106" i="53"/>
  <c r="DI210" i="53"/>
  <c r="DI105" i="53"/>
  <c r="DI110" i="53"/>
  <c r="DI183" i="53"/>
  <c r="DI184" i="53"/>
  <c r="DI198" i="53"/>
  <c r="DI199" i="53" s="1"/>
  <c r="DI201" i="53" s="1"/>
  <c r="DI188" i="53"/>
  <c r="DI191" i="53"/>
  <c r="DH183" i="53"/>
  <c r="DH184" i="53"/>
  <c r="DG213" i="53"/>
  <c r="DI146" i="53"/>
  <c r="DI141" i="53"/>
  <c r="DG183" i="53"/>
  <c r="DG184" i="53"/>
  <c r="DG185" i="53"/>
  <c r="DG196" i="53" s="1"/>
  <c r="DG112" i="53"/>
  <c r="DG211" i="53"/>
  <c r="DG111" i="53"/>
  <c r="DG113" i="53"/>
  <c r="DH113" i="53"/>
  <c r="DH124" i="53" s="1"/>
  <c r="DF185" i="53"/>
  <c r="DF196" i="53" s="1"/>
  <c r="DF113" i="53"/>
  <c r="DC204" i="53"/>
  <c r="DD200" i="53" s="1"/>
  <c r="DC202" i="53"/>
  <c r="DC205" i="53" s="1"/>
  <c r="DB217" i="53"/>
  <c r="DB171" i="53"/>
  <c r="DD168" i="53"/>
  <c r="DE164" i="53" s="1"/>
  <c r="DD166" i="53"/>
  <c r="DC216" i="53"/>
  <c r="DC169" i="53"/>
  <c r="DG169" i="52"/>
  <c r="DG171" i="52" s="1"/>
  <c r="DD197" i="52"/>
  <c r="DE197" i="52" s="1"/>
  <c r="DH196" i="52"/>
  <c r="DI181" i="52"/>
  <c r="DI109" i="52"/>
  <c r="DJ198" i="52"/>
  <c r="DJ199" i="52" s="1"/>
  <c r="DJ201" i="52" s="1"/>
  <c r="DJ191" i="52"/>
  <c r="DJ188" i="52"/>
  <c r="DJ195" i="52" s="1"/>
  <c r="DJ126" i="52"/>
  <c r="DJ119" i="52"/>
  <c r="DJ116" i="52"/>
  <c r="DJ123" i="52" s="1"/>
  <c r="DJ146" i="52"/>
  <c r="DJ141" i="52"/>
  <c r="DJ162" i="52"/>
  <c r="DJ155" i="52"/>
  <c r="DJ152" i="52"/>
  <c r="DJ159" i="52" s="1"/>
  <c r="DK192" i="52"/>
  <c r="DK190" i="52"/>
  <c r="DK187" i="52"/>
  <c r="DK118" i="52"/>
  <c r="DK115" i="52"/>
  <c r="DK120" i="52"/>
  <c r="DK182" i="52"/>
  <c r="DK177" i="52"/>
  <c r="DK181" i="52" s="1"/>
  <c r="DL203" i="52"/>
  <c r="DL176" i="52"/>
  <c r="DL174" i="52"/>
  <c r="DL104" i="52"/>
  <c r="DL180" i="52"/>
  <c r="DL102" i="52"/>
  <c r="DL140" i="52"/>
  <c r="DL106" i="52"/>
  <c r="DL193" i="52"/>
  <c r="DL179" i="52"/>
  <c r="DL167" i="52"/>
  <c r="DL7" i="52"/>
  <c r="DL107" i="52"/>
  <c r="DL114" i="52"/>
  <c r="DL142" i="52"/>
  <c r="DL186" i="52"/>
  <c r="DL108" i="52"/>
  <c r="DL143" i="52"/>
  <c r="DL144" i="52"/>
  <c r="DL189" i="52"/>
  <c r="DL178" i="52"/>
  <c r="DM6" i="52"/>
  <c r="DL121" i="52"/>
  <c r="DL138" i="52"/>
  <c r="DL150" i="52"/>
  <c r="DL153" i="52"/>
  <c r="DL117" i="52"/>
  <c r="DL127" i="52"/>
  <c r="DL129" i="52" s="1"/>
  <c r="DL131" i="52"/>
  <c r="DL157" i="52"/>
  <c r="DL163" i="52"/>
  <c r="DL165" i="52" s="1"/>
  <c r="DK146" i="52"/>
  <c r="DK141" i="52"/>
  <c r="DK145" i="52" s="1"/>
  <c r="DK156" i="52"/>
  <c r="DK154" i="52"/>
  <c r="DK151" i="52"/>
  <c r="DH211" i="52"/>
  <c r="DH147" i="52"/>
  <c r="DH148" i="52"/>
  <c r="DE132" i="52"/>
  <c r="DF128" i="52" s="1"/>
  <c r="DE130" i="52"/>
  <c r="DD133" i="52"/>
  <c r="DC135" i="52"/>
  <c r="DC204" i="52"/>
  <c r="DD200" i="52" s="1"/>
  <c r="DC202" i="52"/>
  <c r="DB216" i="52"/>
  <c r="DB205" i="52"/>
  <c r="DA217" i="52"/>
  <c r="DA207" i="52"/>
  <c r="DJ105" i="52"/>
  <c r="DJ110" i="52"/>
  <c r="DJ210" i="52"/>
  <c r="DJ177" i="52"/>
  <c r="DJ182" i="52"/>
  <c r="DH213" i="52"/>
  <c r="DI149" i="52"/>
  <c r="DK103" i="52"/>
  <c r="DE135" i="53"/>
  <c r="DG130" i="53"/>
  <c r="DG132" i="53"/>
  <c r="DH128" i="53" s="1"/>
  <c r="DH166" i="52"/>
  <c r="DH168" i="52"/>
  <c r="DI164" i="52" s="1"/>
  <c r="DI195" i="53" l="1"/>
  <c r="DI123" i="53"/>
  <c r="DL194" i="53"/>
  <c r="DL158" i="53"/>
  <c r="DL122" i="53"/>
  <c r="DM194" i="52"/>
  <c r="DM158" i="52"/>
  <c r="DM122" i="52"/>
  <c r="DF197" i="52"/>
  <c r="DI213" i="52"/>
  <c r="DH185" i="53"/>
  <c r="DH196" i="53" s="1"/>
  <c r="DH211" i="53"/>
  <c r="DH148" i="53"/>
  <c r="DH147" i="53"/>
  <c r="DH149" i="53" s="1"/>
  <c r="DJ148" i="53"/>
  <c r="DJ147" i="53"/>
  <c r="DJ149" i="53" s="1"/>
  <c r="DJ126" i="53"/>
  <c r="DJ116" i="53"/>
  <c r="DJ119" i="53"/>
  <c r="DJ162" i="53"/>
  <c r="DJ152" i="53"/>
  <c r="DJ159" i="53" s="1"/>
  <c r="DJ155" i="53"/>
  <c r="DJ198" i="53"/>
  <c r="DJ199" i="53" s="1"/>
  <c r="DJ201" i="53" s="1"/>
  <c r="DJ188" i="53"/>
  <c r="DJ191" i="53"/>
  <c r="DJ112" i="53"/>
  <c r="DJ111" i="53"/>
  <c r="DJ113" i="53" s="1"/>
  <c r="DJ177" i="53"/>
  <c r="DJ182" i="53"/>
  <c r="DL167" i="53"/>
  <c r="DL157" i="53"/>
  <c r="DL143" i="53"/>
  <c r="DL140" i="53"/>
  <c r="DL131" i="53"/>
  <c r="DL127" i="53"/>
  <c r="DL129" i="53" s="1"/>
  <c r="DL106" i="53"/>
  <c r="DL108" i="53"/>
  <c r="DL107" i="53"/>
  <c r="DL7" i="53"/>
  <c r="DL104" i="53"/>
  <c r="DL114" i="53"/>
  <c r="DL174" i="53"/>
  <c r="DL121" i="53"/>
  <c r="DM6" i="53"/>
  <c r="DL163" i="53"/>
  <c r="DL165" i="53" s="1"/>
  <c r="DL144" i="53"/>
  <c r="DL142" i="53"/>
  <c r="DL138" i="53"/>
  <c r="DL139" i="53" s="1"/>
  <c r="DL193" i="53"/>
  <c r="DL199" i="53"/>
  <c r="DL178" i="53"/>
  <c r="DL189" i="53"/>
  <c r="DL102" i="53"/>
  <c r="DL103" i="53" s="1"/>
  <c r="DL117" i="53"/>
  <c r="DL186" i="53"/>
  <c r="DL153" i="53"/>
  <c r="DL179" i="53"/>
  <c r="DL150" i="53"/>
  <c r="DL176" i="53"/>
  <c r="DK139" i="53"/>
  <c r="DK154" i="53"/>
  <c r="DK151" i="53"/>
  <c r="DK156" i="53"/>
  <c r="DK187" i="53"/>
  <c r="DK192" i="53"/>
  <c r="DK190" i="53"/>
  <c r="DK103" i="53"/>
  <c r="DK182" i="53"/>
  <c r="DK177" i="53"/>
  <c r="DK181" i="53" s="1"/>
  <c r="DK115" i="53"/>
  <c r="DK118" i="53"/>
  <c r="DK120" i="53"/>
  <c r="DI109" i="53"/>
  <c r="DG212" i="53"/>
  <c r="DG124" i="53"/>
  <c r="DF124" i="53"/>
  <c r="DF212" i="53"/>
  <c r="DI185" i="53"/>
  <c r="DI145" i="53"/>
  <c r="DD204" i="53"/>
  <c r="DE200" i="53" s="1"/>
  <c r="DD202" i="53"/>
  <c r="DD205" i="53" s="1"/>
  <c r="DD207" i="53" s="1"/>
  <c r="DC207" i="53"/>
  <c r="DE166" i="53"/>
  <c r="DE168" i="53"/>
  <c r="DF164" i="53" s="1"/>
  <c r="DD216" i="53"/>
  <c r="DD169" i="53"/>
  <c r="DC171" i="53"/>
  <c r="DC217" i="53"/>
  <c r="DB219" i="53"/>
  <c r="DI160" i="52"/>
  <c r="DI184" i="52"/>
  <c r="DI183" i="52"/>
  <c r="DI185" i="52" s="1"/>
  <c r="DI196" i="52" s="1"/>
  <c r="DI211" i="52"/>
  <c r="DI112" i="52"/>
  <c r="DI111" i="52"/>
  <c r="DI113" i="52" s="1"/>
  <c r="DJ145" i="52"/>
  <c r="DK198" i="52"/>
  <c r="DK199" i="52" s="1"/>
  <c r="DK201" i="52" s="1"/>
  <c r="DK191" i="52"/>
  <c r="DK188" i="52"/>
  <c r="DK195" i="52" s="1"/>
  <c r="DK126" i="52"/>
  <c r="DK119" i="52"/>
  <c r="DK116" i="52"/>
  <c r="DK123" i="52" s="1"/>
  <c r="DK184" i="52"/>
  <c r="DK183" i="52"/>
  <c r="DK185" i="52" s="1"/>
  <c r="DL175" i="52"/>
  <c r="DL120" i="52"/>
  <c r="DL118" i="52"/>
  <c r="DL115" i="52"/>
  <c r="DL192" i="52"/>
  <c r="DL190" i="52"/>
  <c r="DL187" i="52"/>
  <c r="DM178" i="52"/>
  <c r="DM142" i="52"/>
  <c r="DM107" i="52"/>
  <c r="DM143" i="52"/>
  <c r="DM108" i="52"/>
  <c r="DM114" i="52"/>
  <c r="DM179" i="52"/>
  <c r="DM180" i="52"/>
  <c r="DM193" i="52"/>
  <c r="DM203" i="52"/>
  <c r="DM104" i="52"/>
  <c r="DM102" i="52"/>
  <c r="DM106" i="52"/>
  <c r="DM140" i="52"/>
  <c r="DM7" i="52"/>
  <c r="DM186" i="52"/>
  <c r="DM144" i="52"/>
  <c r="DM174" i="52"/>
  <c r="DM176" i="52"/>
  <c r="DM189" i="52"/>
  <c r="DM121" i="52"/>
  <c r="DM138" i="52"/>
  <c r="DM139" i="52" s="1"/>
  <c r="DM150" i="52"/>
  <c r="DM153" i="52"/>
  <c r="DM157" i="52"/>
  <c r="DM163" i="52"/>
  <c r="DM165" i="52" s="1"/>
  <c r="DM167" i="52"/>
  <c r="DN6" i="52"/>
  <c r="DM117" i="52"/>
  <c r="DM127" i="52"/>
  <c r="DM129" i="52" s="1"/>
  <c r="DM131" i="52"/>
  <c r="DL139" i="52"/>
  <c r="DL156" i="52"/>
  <c r="DL154" i="52"/>
  <c r="DL151" i="52"/>
  <c r="DK147" i="52"/>
  <c r="DK148" i="52"/>
  <c r="DK162" i="52"/>
  <c r="DK155" i="52"/>
  <c r="DK152" i="52"/>
  <c r="DK159" i="52" s="1"/>
  <c r="DF132" i="52"/>
  <c r="DG128" i="52" s="1"/>
  <c r="DF130" i="52"/>
  <c r="DE133" i="52"/>
  <c r="DD135" i="52"/>
  <c r="DD204" i="52"/>
  <c r="DE200" i="52" s="1"/>
  <c r="DD202" i="52"/>
  <c r="DC216" i="52"/>
  <c r="DC205" i="52"/>
  <c r="DB206" i="52"/>
  <c r="DC206" i="52" s="1"/>
  <c r="DB217" i="52"/>
  <c r="DB207" i="52"/>
  <c r="DB219" i="52" s="1"/>
  <c r="DA219" i="52"/>
  <c r="DK105" i="52"/>
  <c r="DK110" i="52"/>
  <c r="DK210" i="52"/>
  <c r="DH149" i="52"/>
  <c r="DL103" i="52"/>
  <c r="DJ109" i="52"/>
  <c r="DJ181" i="52"/>
  <c r="DH130" i="53"/>
  <c r="DH132" i="53"/>
  <c r="DI128" i="53" s="1"/>
  <c r="DI166" i="52"/>
  <c r="DI168" i="52"/>
  <c r="DJ164" i="52" s="1"/>
  <c r="DJ195" i="53" l="1"/>
  <c r="DJ123" i="53"/>
  <c r="DM194" i="53"/>
  <c r="DM158" i="53"/>
  <c r="DM122" i="53"/>
  <c r="DN194" i="52"/>
  <c r="DN158" i="52"/>
  <c r="DN122" i="52"/>
  <c r="DI169" i="52"/>
  <c r="DI171" i="52" s="1"/>
  <c r="DH212" i="53"/>
  <c r="DH160" i="53"/>
  <c r="DH214" i="53" s="1"/>
  <c r="DI213" i="53"/>
  <c r="DJ181" i="53"/>
  <c r="DL115" i="53"/>
  <c r="DL118" i="53"/>
  <c r="DL120" i="53"/>
  <c r="DL175" i="53"/>
  <c r="DL210" i="53" s="1"/>
  <c r="DN6" i="53"/>
  <c r="DM167" i="53"/>
  <c r="DM163" i="53"/>
  <c r="DM165" i="53" s="1"/>
  <c r="DM157" i="53"/>
  <c r="DM144" i="53"/>
  <c r="DM143" i="53"/>
  <c r="DM142" i="53"/>
  <c r="DM138" i="53"/>
  <c r="DM114" i="53"/>
  <c r="DM193" i="53"/>
  <c r="DM121" i="53"/>
  <c r="DM203" i="53"/>
  <c r="DM180" i="53"/>
  <c r="DM7" i="53"/>
  <c r="DM174" i="53"/>
  <c r="DM189" i="53"/>
  <c r="DM107" i="53"/>
  <c r="DM150" i="53"/>
  <c r="DM108" i="53"/>
  <c r="DM102" i="53"/>
  <c r="DM178" i="53"/>
  <c r="DM186" i="53"/>
  <c r="DM106" i="53"/>
  <c r="DM104" i="53"/>
  <c r="DM199" i="53"/>
  <c r="DM201" i="53" s="1"/>
  <c r="DM153" i="53"/>
  <c r="DM140" i="53"/>
  <c r="DM131" i="53"/>
  <c r="DM127" i="53"/>
  <c r="DM129" i="53" s="1"/>
  <c r="DM179" i="53"/>
  <c r="DM176" i="53"/>
  <c r="DM117" i="53"/>
  <c r="DL146" i="53"/>
  <c r="DL141" i="53"/>
  <c r="DL145" i="53" s="1"/>
  <c r="DL105" i="53"/>
  <c r="DL109" i="53" s="1"/>
  <c r="DL110" i="53"/>
  <c r="DL187" i="53"/>
  <c r="DL190" i="53"/>
  <c r="DL192" i="53"/>
  <c r="DL151" i="53"/>
  <c r="DL154" i="53"/>
  <c r="DL156" i="53"/>
  <c r="DK141" i="53"/>
  <c r="DK146" i="53"/>
  <c r="DK210" i="53"/>
  <c r="DK162" i="53"/>
  <c r="DK152" i="53"/>
  <c r="DK159" i="53" s="1"/>
  <c r="DK155" i="53"/>
  <c r="DK198" i="53"/>
  <c r="DK199" i="53" s="1"/>
  <c r="DK188" i="53"/>
  <c r="DK191" i="53"/>
  <c r="DK110" i="53"/>
  <c r="DK105" i="53"/>
  <c r="DK183" i="53"/>
  <c r="DK184" i="53"/>
  <c r="DK126" i="53"/>
  <c r="DK116" i="53"/>
  <c r="DK119" i="53"/>
  <c r="DI111" i="53"/>
  <c r="DI112" i="53"/>
  <c r="DI211" i="53"/>
  <c r="DF133" i="53"/>
  <c r="DF135" i="53" s="1"/>
  <c r="DF214" i="53"/>
  <c r="DI147" i="53"/>
  <c r="DI148" i="53"/>
  <c r="DI149" i="53"/>
  <c r="DI160" i="53" s="1"/>
  <c r="DI196" i="53"/>
  <c r="DG214" i="53"/>
  <c r="DG133" i="53"/>
  <c r="DG135" i="53" s="1"/>
  <c r="DE204" i="53"/>
  <c r="DF200" i="53" s="1"/>
  <c r="DE202" i="53"/>
  <c r="DE205" i="53" s="1"/>
  <c r="DE169" i="53"/>
  <c r="DE216" i="53"/>
  <c r="DF166" i="53"/>
  <c r="DF168" i="53"/>
  <c r="DG164" i="53" s="1"/>
  <c r="DD217" i="53"/>
  <c r="DD171" i="53"/>
  <c r="DC219" i="53"/>
  <c r="DK149" i="52"/>
  <c r="DK160" i="52" s="1"/>
  <c r="DI212" i="52"/>
  <c r="DI124" i="52"/>
  <c r="DI214" i="52" s="1"/>
  <c r="DJ147" i="52"/>
  <c r="DJ148" i="52"/>
  <c r="DK213" i="52"/>
  <c r="DL182" i="52"/>
  <c r="DL177" i="52"/>
  <c r="DL126" i="52"/>
  <c r="DL119" i="52"/>
  <c r="DL116" i="52"/>
  <c r="DL123" i="52" s="1"/>
  <c r="DL198" i="52"/>
  <c r="DL199" i="52" s="1"/>
  <c r="DL201" i="52" s="1"/>
  <c r="DL191" i="52"/>
  <c r="DL188" i="52"/>
  <c r="DL195" i="52" s="1"/>
  <c r="DM118" i="52"/>
  <c r="DM115" i="52"/>
  <c r="DM120" i="52"/>
  <c r="DM192" i="52"/>
  <c r="DM190" i="52"/>
  <c r="DM187" i="52"/>
  <c r="DM146" i="52"/>
  <c r="DM141" i="52"/>
  <c r="DM145" i="52" s="1"/>
  <c r="DM156" i="52"/>
  <c r="DM154" i="52"/>
  <c r="DM151" i="52"/>
  <c r="DN140" i="52"/>
  <c r="DN107" i="52"/>
  <c r="DN178" i="52"/>
  <c r="DN143" i="52"/>
  <c r="DN108" i="52"/>
  <c r="DN174" i="52"/>
  <c r="DN175" i="52" s="1"/>
  <c r="DN144" i="52"/>
  <c r="DN189" i="52"/>
  <c r="DN186" i="52"/>
  <c r="DN142" i="52"/>
  <c r="DN180" i="52"/>
  <c r="DN106" i="52"/>
  <c r="DN179" i="52"/>
  <c r="DN114" i="52"/>
  <c r="DN193" i="52"/>
  <c r="DN104" i="52"/>
  <c r="DN7" i="52"/>
  <c r="DN102" i="52"/>
  <c r="DN103" i="52" s="1"/>
  <c r="DN176" i="52"/>
  <c r="DN203" i="52"/>
  <c r="DN117" i="52"/>
  <c r="DN127" i="52"/>
  <c r="DN129" i="52" s="1"/>
  <c r="DN157" i="52"/>
  <c r="DO6" i="52"/>
  <c r="DN121" i="52"/>
  <c r="DN138" i="52"/>
  <c r="DN150" i="52"/>
  <c r="DN153" i="52"/>
  <c r="DN131" i="52"/>
  <c r="DN163" i="52"/>
  <c r="DN165" i="52" s="1"/>
  <c r="DN167" i="52"/>
  <c r="DL146" i="52"/>
  <c r="DL141" i="52"/>
  <c r="DL162" i="52"/>
  <c r="DL155" i="52"/>
  <c r="DL152" i="52"/>
  <c r="DL159" i="52" s="1"/>
  <c r="DG132" i="52"/>
  <c r="DH128" i="52" s="1"/>
  <c r="DG130" i="52"/>
  <c r="DF133" i="52"/>
  <c r="DE135" i="52"/>
  <c r="DE204" i="52"/>
  <c r="DF200" i="52" s="1"/>
  <c r="DE202" i="52"/>
  <c r="DD205" i="52"/>
  <c r="DD216" i="52"/>
  <c r="DC217" i="52"/>
  <c r="DC207" i="52"/>
  <c r="DH160" i="52"/>
  <c r="DH212" i="52"/>
  <c r="DJ213" i="52"/>
  <c r="DL105" i="52"/>
  <c r="DL109" i="52" s="1"/>
  <c r="DL110" i="52"/>
  <c r="DL210" i="52"/>
  <c r="DJ111" i="52"/>
  <c r="DJ112" i="52"/>
  <c r="DJ113" i="52"/>
  <c r="DJ211" i="52"/>
  <c r="DJ183" i="52"/>
  <c r="DJ184" i="52"/>
  <c r="DM103" i="52"/>
  <c r="DM175" i="52"/>
  <c r="DK109" i="52"/>
  <c r="DH133" i="53"/>
  <c r="DI130" i="53"/>
  <c r="DI132" i="53"/>
  <c r="DJ128" i="53" s="1"/>
  <c r="DJ166" i="52"/>
  <c r="DJ168" i="52"/>
  <c r="DK164" i="52" s="1"/>
  <c r="DK195" i="53" l="1"/>
  <c r="DK123" i="53"/>
  <c r="DN194" i="53"/>
  <c r="DN158" i="53"/>
  <c r="DN122" i="53"/>
  <c r="DO194" i="52"/>
  <c r="DO158" i="52"/>
  <c r="DO122" i="52"/>
  <c r="DJ185" i="52"/>
  <c r="DJ196" i="52" s="1"/>
  <c r="DJ211" i="53"/>
  <c r="DJ184" i="53"/>
  <c r="DJ183" i="53"/>
  <c r="DJ185" i="53" s="1"/>
  <c r="DL126" i="53"/>
  <c r="DL119" i="53"/>
  <c r="DL116" i="53"/>
  <c r="DL123" i="53" s="1"/>
  <c r="DL177" i="53"/>
  <c r="DL182" i="53"/>
  <c r="DN157" i="53"/>
  <c r="DN143" i="53"/>
  <c r="DN102" i="53"/>
  <c r="DN103" i="53" s="1"/>
  <c r="DN108" i="53"/>
  <c r="DN107" i="53"/>
  <c r="DN114" i="53"/>
  <c r="DN104" i="53"/>
  <c r="DN7" i="53"/>
  <c r="DN199" i="53"/>
  <c r="DN201" i="53" s="1"/>
  <c r="DN203" i="53"/>
  <c r="DN179" i="53"/>
  <c r="DO6" i="53"/>
  <c r="DN167" i="53"/>
  <c r="DN163" i="53"/>
  <c r="DN165" i="53" s="1"/>
  <c r="DN144" i="53"/>
  <c r="DN142" i="53"/>
  <c r="DN140" i="53"/>
  <c r="DN138" i="53"/>
  <c r="DN139" i="53" s="1"/>
  <c r="DN131" i="53"/>
  <c r="DN127" i="53"/>
  <c r="DN129" i="53" s="1"/>
  <c r="DN193" i="53"/>
  <c r="DN106" i="53"/>
  <c r="DN186" i="53"/>
  <c r="DN178" i="53"/>
  <c r="DN150" i="53"/>
  <c r="DN189" i="53"/>
  <c r="DN174" i="53"/>
  <c r="DN175" i="53" s="1"/>
  <c r="DN176" i="53"/>
  <c r="DN117" i="53"/>
  <c r="DN121" i="53"/>
  <c r="DN180" i="53"/>
  <c r="DN153" i="53"/>
  <c r="DM139" i="53"/>
  <c r="DM120" i="53"/>
  <c r="DM115" i="53"/>
  <c r="DM118" i="53"/>
  <c r="DM154" i="53"/>
  <c r="DM151" i="53"/>
  <c r="DM156" i="53"/>
  <c r="DM103" i="53"/>
  <c r="DM187" i="53"/>
  <c r="DM192" i="53"/>
  <c r="DM190" i="53"/>
  <c r="DL147" i="53"/>
  <c r="DL148" i="53"/>
  <c r="DL111" i="53"/>
  <c r="DL112" i="53"/>
  <c r="DL198" i="53"/>
  <c r="DL188" i="53"/>
  <c r="DL191" i="53"/>
  <c r="DL162" i="53"/>
  <c r="DL152" i="53"/>
  <c r="DL155" i="53"/>
  <c r="DK145" i="53"/>
  <c r="DL201" i="53"/>
  <c r="DK201" i="53"/>
  <c r="DK109" i="53"/>
  <c r="DJ160" i="53"/>
  <c r="DI113" i="53"/>
  <c r="DK185" i="53"/>
  <c r="DM175" i="53"/>
  <c r="DJ213" i="53"/>
  <c r="DJ124" i="53"/>
  <c r="DF204" i="53"/>
  <c r="DG200" i="53" s="1"/>
  <c r="DF202" i="53"/>
  <c r="DF205" i="53" s="1"/>
  <c r="DF207" i="53" s="1"/>
  <c r="DE207" i="53"/>
  <c r="DE171" i="53"/>
  <c r="DE217" i="53"/>
  <c r="DF169" i="53"/>
  <c r="DF216" i="53"/>
  <c r="DG168" i="53"/>
  <c r="DH164" i="53" s="1"/>
  <c r="DG166" i="53"/>
  <c r="DD219" i="53"/>
  <c r="DK196" i="52"/>
  <c r="DL181" i="52"/>
  <c r="DM126" i="52"/>
  <c r="DM119" i="52"/>
  <c r="DM116" i="52"/>
  <c r="DM123" i="52" s="1"/>
  <c r="DM198" i="52"/>
  <c r="DM199" i="52" s="1"/>
  <c r="DM201" i="52" s="1"/>
  <c r="DM191" i="52"/>
  <c r="DM188" i="52"/>
  <c r="DM195" i="52" s="1"/>
  <c r="DM147" i="52"/>
  <c r="DM148" i="52"/>
  <c r="DM162" i="52"/>
  <c r="DM155" i="52"/>
  <c r="DM152" i="52"/>
  <c r="DM159" i="52" s="1"/>
  <c r="DN182" i="52"/>
  <c r="DN177" i="52"/>
  <c r="DN181" i="52" s="1"/>
  <c r="DN192" i="52"/>
  <c r="DN190" i="52"/>
  <c r="DN187" i="52"/>
  <c r="DN120" i="52"/>
  <c r="DN118" i="52"/>
  <c r="DN115" i="52"/>
  <c r="DN110" i="52"/>
  <c r="DN105" i="52"/>
  <c r="DN109" i="52" s="1"/>
  <c r="DO180" i="52"/>
  <c r="DO203" i="52"/>
  <c r="DO189" i="52"/>
  <c r="DO174" i="52"/>
  <c r="DO106" i="52"/>
  <c r="DO193" i="52"/>
  <c r="DO108" i="52"/>
  <c r="DO114" i="52"/>
  <c r="DO178" i="52"/>
  <c r="DO142" i="52"/>
  <c r="DO179" i="52"/>
  <c r="DO107" i="52"/>
  <c r="DO102" i="52"/>
  <c r="DO7" i="52"/>
  <c r="DO176" i="52"/>
  <c r="DO104" i="52"/>
  <c r="DO186" i="52"/>
  <c r="DO144" i="52"/>
  <c r="DO143" i="52"/>
  <c r="DO140" i="52"/>
  <c r="DO121" i="52"/>
  <c r="DO150" i="52"/>
  <c r="DO153" i="52"/>
  <c r="DO117" i="52"/>
  <c r="DO138" i="52"/>
  <c r="DO157" i="52"/>
  <c r="DO163" i="52"/>
  <c r="DO165" i="52" s="1"/>
  <c r="DO167" i="52"/>
  <c r="DP6" i="52"/>
  <c r="DO127" i="52"/>
  <c r="DO129" i="52" s="1"/>
  <c r="DO131" i="52"/>
  <c r="DN139" i="52"/>
  <c r="DN210" i="52" s="1"/>
  <c r="DN156" i="52"/>
  <c r="DN154" i="52"/>
  <c r="DN151" i="52"/>
  <c r="DL145" i="52"/>
  <c r="DH132" i="52"/>
  <c r="DI128" i="52" s="1"/>
  <c r="DH130" i="52"/>
  <c r="DG133" i="52"/>
  <c r="DF135" i="52"/>
  <c r="DF204" i="52"/>
  <c r="DG200" i="52" s="1"/>
  <c r="DF202" i="52"/>
  <c r="DE216" i="52"/>
  <c r="DE205" i="52"/>
  <c r="DD206" i="52"/>
  <c r="DE206" i="52" s="1"/>
  <c r="DD217" i="52"/>
  <c r="DD207" i="52"/>
  <c r="DD219" i="52" s="1"/>
  <c r="DC219" i="52"/>
  <c r="DH169" i="52"/>
  <c r="DH171" i="52" s="1"/>
  <c r="DH214" i="52"/>
  <c r="DL112" i="52"/>
  <c r="DL111" i="52"/>
  <c r="DJ124" i="52"/>
  <c r="DM105" i="52"/>
  <c r="DM110" i="52"/>
  <c r="DM210" i="52"/>
  <c r="DM177" i="52"/>
  <c r="DM182" i="52"/>
  <c r="DK111" i="52"/>
  <c r="DK112" i="52"/>
  <c r="DK211" i="52"/>
  <c r="DJ149" i="52"/>
  <c r="DH135" i="53"/>
  <c r="DJ130" i="53"/>
  <c r="DJ132" i="53"/>
  <c r="DK128" i="53" s="1"/>
  <c r="DK166" i="52"/>
  <c r="DK168" i="52"/>
  <c r="DL164" i="52" s="1"/>
  <c r="DL195" i="53" l="1"/>
  <c r="DL159" i="53"/>
  <c r="DO194" i="53"/>
  <c r="DO158" i="53"/>
  <c r="DO122" i="53"/>
  <c r="DP194" i="52"/>
  <c r="DP158" i="52"/>
  <c r="DP122" i="52"/>
  <c r="DL211" i="52"/>
  <c r="DK113" i="52"/>
  <c r="DL113" i="52"/>
  <c r="DL124" i="52" s="1"/>
  <c r="DJ160" i="52"/>
  <c r="DJ212" i="52"/>
  <c r="DL113" i="53"/>
  <c r="DL124" i="53" s="1"/>
  <c r="DJ212" i="53"/>
  <c r="DJ196" i="53"/>
  <c r="DJ214" i="53" s="1"/>
  <c r="DN210" i="53"/>
  <c r="DN110" i="53"/>
  <c r="DN105" i="53"/>
  <c r="DN109" i="53" s="1"/>
  <c r="DN115" i="53"/>
  <c r="DN118" i="53"/>
  <c r="DN120" i="53"/>
  <c r="DP6" i="53"/>
  <c r="DO167" i="53"/>
  <c r="DO163" i="53"/>
  <c r="DO165" i="53" s="1"/>
  <c r="DO157" i="53"/>
  <c r="DO144" i="53"/>
  <c r="DO143" i="53"/>
  <c r="DO142" i="53"/>
  <c r="DO140" i="53"/>
  <c r="DO138" i="53"/>
  <c r="DO131" i="53"/>
  <c r="DO127" i="53"/>
  <c r="DO129" i="53" s="1"/>
  <c r="DO180" i="53"/>
  <c r="DO186" i="53"/>
  <c r="DO199" i="53"/>
  <c r="DO201" i="53" s="1"/>
  <c r="DO203" i="53"/>
  <c r="DO121" i="53"/>
  <c r="DO114" i="53"/>
  <c r="DO117" i="53"/>
  <c r="DO174" i="53"/>
  <c r="DO7" i="53"/>
  <c r="DO153" i="53"/>
  <c r="DO107" i="53"/>
  <c r="DO176" i="53"/>
  <c r="DO178" i="53"/>
  <c r="DO108" i="53"/>
  <c r="DO189" i="53"/>
  <c r="DO150" i="53"/>
  <c r="DO104" i="53"/>
  <c r="DO179" i="53"/>
  <c r="DO106" i="53"/>
  <c r="DO193" i="53"/>
  <c r="DO102" i="53"/>
  <c r="DN141" i="53"/>
  <c r="DN145" i="53" s="1"/>
  <c r="DN146" i="53"/>
  <c r="DN187" i="53"/>
  <c r="DN190" i="53"/>
  <c r="DN192" i="53"/>
  <c r="DN156" i="53"/>
  <c r="DN151" i="53"/>
  <c r="DN154" i="53"/>
  <c r="DN182" i="53"/>
  <c r="DN177" i="53"/>
  <c r="DN181" i="53" s="1"/>
  <c r="DM146" i="53"/>
  <c r="DM141" i="53"/>
  <c r="DM126" i="53"/>
  <c r="DM119" i="53"/>
  <c r="DM116" i="53"/>
  <c r="DM123" i="53" s="1"/>
  <c r="DM162" i="53"/>
  <c r="DM152" i="53"/>
  <c r="DM155" i="53"/>
  <c r="DM105" i="53"/>
  <c r="DM210" i="53"/>
  <c r="DM110" i="53"/>
  <c r="DM198" i="53"/>
  <c r="DM188" i="53"/>
  <c r="DM195" i="53" s="1"/>
  <c r="DM191" i="53"/>
  <c r="DK147" i="53"/>
  <c r="DK148" i="53"/>
  <c r="DK211" i="53"/>
  <c r="DK111" i="53"/>
  <c r="DK112" i="53"/>
  <c r="DK213" i="53"/>
  <c r="DI124" i="53"/>
  <c r="DI212" i="53"/>
  <c r="DK196" i="53"/>
  <c r="DM177" i="53"/>
  <c r="DM181" i="53" s="1"/>
  <c r="DM182" i="53"/>
  <c r="DL149" i="53"/>
  <c r="DG204" i="53"/>
  <c r="DH200" i="53" s="1"/>
  <c r="DG202" i="53"/>
  <c r="DG205" i="53" s="1"/>
  <c r="DE219" i="53"/>
  <c r="DF217" i="53"/>
  <c r="DF171" i="53"/>
  <c r="DH166" i="53"/>
  <c r="DH168" i="53"/>
  <c r="DI164" i="53" s="1"/>
  <c r="DG169" i="53"/>
  <c r="DG216" i="53"/>
  <c r="DL184" i="52"/>
  <c r="DL183" i="52"/>
  <c r="DL185" i="52" s="1"/>
  <c r="DL196" i="52" s="1"/>
  <c r="DL213" i="52"/>
  <c r="DN184" i="52"/>
  <c r="DN183" i="52"/>
  <c r="DN185" i="52" s="1"/>
  <c r="DN198" i="52"/>
  <c r="DN199" i="52" s="1"/>
  <c r="DN201" i="52" s="1"/>
  <c r="DN191" i="52"/>
  <c r="DN188" i="52"/>
  <c r="DN195" i="52" s="1"/>
  <c r="DN126" i="52"/>
  <c r="DN116" i="52"/>
  <c r="DN119" i="52"/>
  <c r="DN112" i="52"/>
  <c r="DN111" i="52"/>
  <c r="DN113" i="52" s="1"/>
  <c r="DO175" i="52"/>
  <c r="DO120" i="52"/>
  <c r="DO115" i="52"/>
  <c r="DO118" i="52"/>
  <c r="DO103" i="52"/>
  <c r="DO192" i="52"/>
  <c r="DO190" i="52"/>
  <c r="DO187" i="52"/>
  <c r="DO156" i="52"/>
  <c r="DO151" i="52"/>
  <c r="DO154" i="52"/>
  <c r="DP143" i="52"/>
  <c r="DP176" i="52"/>
  <c r="DP186" i="52"/>
  <c r="DP104" i="52"/>
  <c r="DP179" i="52"/>
  <c r="DP144" i="52"/>
  <c r="DP107" i="52"/>
  <c r="DP106" i="52"/>
  <c r="DP114" i="52"/>
  <c r="DP7" i="52"/>
  <c r="DP142" i="52"/>
  <c r="DP178" i="52"/>
  <c r="DP108" i="52"/>
  <c r="DP193" i="52"/>
  <c r="DP102" i="52"/>
  <c r="DP174" i="52"/>
  <c r="DP140" i="52"/>
  <c r="DP189" i="52"/>
  <c r="DP203" i="52"/>
  <c r="DP180" i="52"/>
  <c r="DP117" i="52"/>
  <c r="DP138" i="52"/>
  <c r="DP139" i="52" s="1"/>
  <c r="DP157" i="52"/>
  <c r="DP121" i="52"/>
  <c r="DP150" i="52"/>
  <c r="DP153" i="52"/>
  <c r="DQ6" i="52"/>
  <c r="DP127" i="52"/>
  <c r="DP129" i="52" s="1"/>
  <c r="DP131" i="52"/>
  <c r="DP163" i="52"/>
  <c r="DP165" i="52" s="1"/>
  <c r="DP167" i="52"/>
  <c r="DN141" i="52"/>
  <c r="DN146" i="52"/>
  <c r="DN162" i="52"/>
  <c r="DN155" i="52"/>
  <c r="DN152" i="52"/>
  <c r="DN159" i="52" s="1"/>
  <c r="DL147" i="52"/>
  <c r="DL148" i="52"/>
  <c r="DI132" i="52"/>
  <c r="DJ128" i="52" s="1"/>
  <c r="DI130" i="52"/>
  <c r="DH133" i="52"/>
  <c r="DG135" i="52"/>
  <c r="DG204" i="52"/>
  <c r="DH200" i="52" s="1"/>
  <c r="DG202" i="52"/>
  <c r="DG216" i="52" s="1"/>
  <c r="DF216" i="52"/>
  <c r="DF205" i="52"/>
  <c r="DE217" i="52"/>
  <c r="DE207" i="52"/>
  <c r="DM109" i="52"/>
  <c r="DM149" i="52"/>
  <c r="DO139" i="52"/>
  <c r="DM181" i="52"/>
  <c r="DJ133" i="53"/>
  <c r="DK130" i="53"/>
  <c r="DK132" i="53"/>
  <c r="DL128" i="53" s="1"/>
  <c r="DL166" i="52"/>
  <c r="DL168" i="52"/>
  <c r="DM164" i="52" s="1"/>
  <c r="DK169" i="52"/>
  <c r="DK171" i="52" s="1"/>
  <c r="DM159" i="53" l="1"/>
  <c r="DP194" i="53"/>
  <c r="DP158" i="53"/>
  <c r="DP122" i="53"/>
  <c r="DN123" i="52"/>
  <c r="DQ194" i="52"/>
  <c r="DQ158" i="52"/>
  <c r="DQ122" i="52"/>
  <c r="DK212" i="52"/>
  <c r="DK124" i="52"/>
  <c r="DK214" i="52" s="1"/>
  <c r="DJ169" i="52"/>
  <c r="DJ171" i="52" s="1"/>
  <c r="DJ214" i="52"/>
  <c r="DN124" i="52"/>
  <c r="DK149" i="53"/>
  <c r="DK160" i="53" s="1"/>
  <c r="DN111" i="53"/>
  <c r="DN211" i="53"/>
  <c r="DN112" i="53"/>
  <c r="DN126" i="53"/>
  <c r="DN116" i="53"/>
  <c r="DN119" i="53"/>
  <c r="DQ6" i="53"/>
  <c r="DP167" i="53"/>
  <c r="DP163" i="53"/>
  <c r="DP165" i="53" s="1"/>
  <c r="DP157" i="53"/>
  <c r="DP144" i="53"/>
  <c r="DP143" i="53"/>
  <c r="DP142" i="53"/>
  <c r="DP140" i="53"/>
  <c r="DP138" i="53"/>
  <c r="DP139" i="53" s="1"/>
  <c r="DP131" i="53"/>
  <c r="DP127" i="53"/>
  <c r="DP129" i="53" s="1"/>
  <c r="DP121" i="53"/>
  <c r="DP150" i="53"/>
  <c r="DP186" i="53"/>
  <c r="DP102" i="53"/>
  <c r="DP193" i="53"/>
  <c r="DP179" i="53"/>
  <c r="DP106" i="53"/>
  <c r="DP107" i="53"/>
  <c r="DP189" i="53"/>
  <c r="DP108" i="53"/>
  <c r="DP153" i="53"/>
  <c r="DP176" i="53"/>
  <c r="DP178" i="53"/>
  <c r="DP7" i="53"/>
  <c r="DP174" i="53"/>
  <c r="DP114" i="53"/>
  <c r="DP180" i="53"/>
  <c r="DP199" i="53"/>
  <c r="DP201" i="53" s="1"/>
  <c r="DP203" i="53"/>
  <c r="DP117" i="53"/>
  <c r="DP104" i="53"/>
  <c r="DO139" i="53"/>
  <c r="DO187" i="53"/>
  <c r="DO190" i="53"/>
  <c r="DO192" i="53"/>
  <c r="DO115" i="53"/>
  <c r="DO118" i="53"/>
  <c r="DO120" i="53"/>
  <c r="DO175" i="53"/>
  <c r="DO151" i="53"/>
  <c r="DO154" i="53"/>
  <c r="DO156" i="53"/>
  <c r="DO103" i="53"/>
  <c r="DN148" i="53"/>
  <c r="DN147" i="53"/>
  <c r="DN149" i="53" s="1"/>
  <c r="DN198" i="53"/>
  <c r="DN188" i="53"/>
  <c r="DN195" i="53" s="1"/>
  <c r="DN191" i="53"/>
  <c r="DN162" i="53"/>
  <c r="DN152" i="53"/>
  <c r="DN155" i="53"/>
  <c r="DN184" i="53"/>
  <c r="DN183" i="53"/>
  <c r="DN185" i="53" s="1"/>
  <c r="DM145" i="53"/>
  <c r="DM109" i="53"/>
  <c r="DI133" i="53"/>
  <c r="DI135" i="53" s="1"/>
  <c r="DI214" i="53"/>
  <c r="DM184" i="53"/>
  <c r="DM183" i="53"/>
  <c r="DM185" i="53" s="1"/>
  <c r="DL213" i="53"/>
  <c r="DK113" i="53"/>
  <c r="DL160" i="53"/>
  <c r="DH202" i="53"/>
  <c r="DH205" i="53" s="1"/>
  <c r="DH207" i="53" s="1"/>
  <c r="DH204" i="53"/>
  <c r="DI200" i="53" s="1"/>
  <c r="DG207" i="53"/>
  <c r="DF219" i="53"/>
  <c r="DH216" i="53"/>
  <c r="DH169" i="53"/>
  <c r="DI168" i="53"/>
  <c r="DJ164" i="53" s="1"/>
  <c r="DI166" i="53"/>
  <c r="DG171" i="53"/>
  <c r="DG217" i="53"/>
  <c r="DM160" i="52"/>
  <c r="DO182" i="52"/>
  <c r="DO177" i="52"/>
  <c r="DO126" i="52"/>
  <c r="DO119" i="52"/>
  <c r="DO116" i="52"/>
  <c r="DO210" i="52"/>
  <c r="DO110" i="52"/>
  <c r="DO105" i="52"/>
  <c r="DO198" i="52"/>
  <c r="DO199" i="52" s="1"/>
  <c r="DO201" i="52" s="1"/>
  <c r="DO191" i="52"/>
  <c r="DO188" i="52"/>
  <c r="DO195" i="52" s="1"/>
  <c r="DO162" i="52"/>
  <c r="DO155" i="52"/>
  <c r="DO152" i="52"/>
  <c r="DO159" i="52" s="1"/>
  <c r="DP192" i="52"/>
  <c r="DP190" i="52"/>
  <c r="DP187" i="52"/>
  <c r="DP118" i="52"/>
  <c r="DP115" i="52"/>
  <c r="DP120" i="52"/>
  <c r="DP146" i="52"/>
  <c r="DP141" i="52"/>
  <c r="DP145" i="52" s="1"/>
  <c r="DP151" i="52"/>
  <c r="DP156" i="52"/>
  <c r="DP154" i="52"/>
  <c r="DQ176" i="52"/>
  <c r="DQ114" i="52"/>
  <c r="DQ108" i="52"/>
  <c r="DQ106" i="52"/>
  <c r="DQ142" i="52"/>
  <c r="DQ178" i="52"/>
  <c r="DQ143" i="52"/>
  <c r="DQ189" i="52"/>
  <c r="DQ203" i="52"/>
  <c r="DQ180" i="52"/>
  <c r="DQ140" i="52"/>
  <c r="DQ7" i="52"/>
  <c r="DQ102" i="52"/>
  <c r="DQ193" i="52"/>
  <c r="DQ174" i="52"/>
  <c r="DQ144" i="52"/>
  <c r="DQ186" i="52"/>
  <c r="DQ104" i="52"/>
  <c r="DQ107" i="52"/>
  <c r="DQ179" i="52"/>
  <c r="DQ117" i="52"/>
  <c r="DQ127" i="52"/>
  <c r="DQ129" i="52" s="1"/>
  <c r="DQ163" i="52"/>
  <c r="DQ165" i="52" s="1"/>
  <c r="DQ167" i="52"/>
  <c r="DQ131" i="52"/>
  <c r="DQ157" i="52"/>
  <c r="DR6" i="52"/>
  <c r="DQ121" i="52"/>
  <c r="DQ138" i="52"/>
  <c r="DQ150" i="52"/>
  <c r="DQ153" i="52"/>
  <c r="DN145" i="52"/>
  <c r="DJ132" i="52"/>
  <c r="DK128" i="52" s="1"/>
  <c r="DJ130" i="52"/>
  <c r="DI133" i="52"/>
  <c r="DH135" i="52"/>
  <c r="DH204" i="52"/>
  <c r="DI200" i="52" s="1"/>
  <c r="DH202" i="52"/>
  <c r="DF206" i="52"/>
  <c r="DF217" i="52"/>
  <c r="DF207" i="52"/>
  <c r="DF219" i="52" s="1"/>
  <c r="DE219" i="52"/>
  <c r="DM211" i="52"/>
  <c r="DM112" i="52"/>
  <c r="DM111" i="52"/>
  <c r="DM113" i="52" s="1"/>
  <c r="DM213" i="52"/>
  <c r="DO146" i="52"/>
  <c r="DO141" i="52"/>
  <c r="DO145" i="52" s="1"/>
  <c r="DM183" i="52"/>
  <c r="DM184" i="52"/>
  <c r="DL149" i="52"/>
  <c r="DP103" i="52"/>
  <c r="DP175" i="52"/>
  <c r="DJ135" i="53"/>
  <c r="DL130" i="53"/>
  <c r="DL132" i="53"/>
  <c r="DM128" i="53" s="1"/>
  <c r="DM166" i="52"/>
  <c r="DM168" i="52"/>
  <c r="DN164" i="52" s="1"/>
  <c r="DN123" i="53" l="1"/>
  <c r="DN159" i="53"/>
  <c r="DQ194" i="53"/>
  <c r="DQ158" i="53"/>
  <c r="DQ122" i="53"/>
  <c r="DO123" i="52"/>
  <c r="DR194" i="52"/>
  <c r="DR158" i="52"/>
  <c r="DR122" i="52"/>
  <c r="DN213" i="52"/>
  <c r="DM185" i="52"/>
  <c r="DN113" i="53"/>
  <c r="DM196" i="53"/>
  <c r="DN212" i="53"/>
  <c r="DR6" i="53"/>
  <c r="DQ167" i="53"/>
  <c r="DQ163" i="53"/>
  <c r="DQ165" i="53" s="1"/>
  <c r="DQ157" i="53"/>
  <c r="DQ144" i="53"/>
  <c r="DQ143" i="53"/>
  <c r="DQ142" i="53"/>
  <c r="DQ140" i="53"/>
  <c r="DQ138" i="53"/>
  <c r="DQ131" i="53"/>
  <c r="DQ127" i="53"/>
  <c r="DQ129" i="53" s="1"/>
  <c r="DQ104" i="53"/>
  <c r="DQ7" i="53"/>
  <c r="DQ108" i="53"/>
  <c r="DQ102" i="53"/>
  <c r="DQ103" i="53" s="1"/>
  <c r="DQ193" i="53"/>
  <c r="DQ180" i="53"/>
  <c r="DQ153" i="53"/>
  <c r="DQ199" i="53"/>
  <c r="DQ201" i="53" s="1"/>
  <c r="DQ176" i="53"/>
  <c r="DQ114" i="53"/>
  <c r="DQ106" i="53"/>
  <c r="DQ189" i="53"/>
  <c r="DQ121" i="53"/>
  <c r="DQ179" i="53"/>
  <c r="DQ174" i="53"/>
  <c r="DQ175" i="53" s="1"/>
  <c r="DQ117" i="53"/>
  <c r="DQ150" i="53"/>
  <c r="DQ203" i="53"/>
  <c r="DQ107" i="53"/>
  <c r="DQ186" i="53"/>
  <c r="DQ178" i="53"/>
  <c r="DP141" i="53"/>
  <c r="DP145" i="53" s="1"/>
  <c r="DP146" i="53"/>
  <c r="DP151" i="53"/>
  <c r="DP154" i="53"/>
  <c r="DP156" i="53"/>
  <c r="DP187" i="53"/>
  <c r="DP190" i="53"/>
  <c r="DP192" i="53"/>
  <c r="DP115" i="53"/>
  <c r="DP118" i="53"/>
  <c r="DP120" i="53"/>
  <c r="DO146" i="53"/>
  <c r="DO141" i="53"/>
  <c r="DO210" i="53"/>
  <c r="DO198" i="53"/>
  <c r="DO188" i="53"/>
  <c r="DO191" i="53"/>
  <c r="DO126" i="53"/>
  <c r="DO116" i="53"/>
  <c r="DO119" i="53"/>
  <c r="DO177" i="53"/>
  <c r="DO182" i="53"/>
  <c r="DO162" i="53"/>
  <c r="DO152" i="53"/>
  <c r="DO155" i="53"/>
  <c r="DO105" i="53"/>
  <c r="DO110" i="53"/>
  <c r="DM147" i="53"/>
  <c r="DM148" i="53"/>
  <c r="DM213" i="53"/>
  <c r="DM211" i="53"/>
  <c r="DM112" i="53"/>
  <c r="DM111" i="53"/>
  <c r="DM113" i="53" s="1"/>
  <c r="DK124" i="53"/>
  <c r="DK212" i="53"/>
  <c r="DP103" i="53"/>
  <c r="DP175" i="53"/>
  <c r="DI204" i="53"/>
  <c r="DJ200" i="53" s="1"/>
  <c r="DI202" i="53"/>
  <c r="DI205" i="53" s="1"/>
  <c r="DH217" i="53"/>
  <c r="DH171" i="53"/>
  <c r="DJ168" i="53"/>
  <c r="DK164" i="53" s="1"/>
  <c r="DJ166" i="53"/>
  <c r="DI169" i="53"/>
  <c r="DI216" i="53"/>
  <c r="DG219" i="53"/>
  <c r="DN196" i="52"/>
  <c r="DO181" i="52"/>
  <c r="DO109" i="52"/>
  <c r="DP198" i="52"/>
  <c r="DP199" i="52" s="1"/>
  <c r="DP201" i="52" s="1"/>
  <c r="DP191" i="52"/>
  <c r="DP188" i="52"/>
  <c r="DP195" i="52" s="1"/>
  <c r="DP126" i="52"/>
  <c r="DP119" i="52"/>
  <c r="DP116" i="52"/>
  <c r="DP123" i="52" s="1"/>
  <c r="DP147" i="52"/>
  <c r="DP148" i="52"/>
  <c r="DP162" i="52"/>
  <c r="DP155" i="52"/>
  <c r="DP152" i="52"/>
  <c r="DP159" i="52" s="1"/>
  <c r="DQ115" i="52"/>
  <c r="DQ118" i="52"/>
  <c r="DQ120" i="52"/>
  <c r="DQ192" i="52"/>
  <c r="DQ190" i="52"/>
  <c r="DQ187" i="52"/>
  <c r="DR179" i="52"/>
  <c r="DR144" i="52"/>
  <c r="DR102" i="52"/>
  <c r="DR103" i="52" s="1"/>
  <c r="DR7" i="52"/>
  <c r="DR203" i="52"/>
  <c r="DR140" i="52"/>
  <c r="DR180" i="52"/>
  <c r="DR189" i="52"/>
  <c r="DR143" i="52"/>
  <c r="DR193" i="52"/>
  <c r="DR178" i="52"/>
  <c r="DR142" i="52"/>
  <c r="DR174" i="52"/>
  <c r="DR106" i="52"/>
  <c r="DR186" i="52"/>
  <c r="DR108" i="52"/>
  <c r="DR107" i="52"/>
  <c r="DR176" i="52"/>
  <c r="DR114" i="52"/>
  <c r="DR104" i="52"/>
  <c r="DR121" i="52"/>
  <c r="DR150" i="52"/>
  <c r="DR153" i="52"/>
  <c r="DS6" i="52"/>
  <c r="DR117" i="52"/>
  <c r="DR127" i="52"/>
  <c r="DR129" i="52" s="1"/>
  <c r="DR138" i="52"/>
  <c r="DR139" i="52" s="1"/>
  <c r="DR157" i="52"/>
  <c r="DR163" i="52"/>
  <c r="DR165" i="52" s="1"/>
  <c r="DR167" i="52"/>
  <c r="DR131" i="52"/>
  <c r="DQ139" i="52"/>
  <c r="DQ154" i="52"/>
  <c r="DQ151" i="52"/>
  <c r="DQ156" i="52"/>
  <c r="DN211" i="52"/>
  <c r="DN147" i="52"/>
  <c r="DN148" i="52"/>
  <c r="DK132" i="52"/>
  <c r="DL128" i="52" s="1"/>
  <c r="DK130" i="52"/>
  <c r="DJ133" i="52"/>
  <c r="DI135" i="52"/>
  <c r="DI204" i="52"/>
  <c r="DJ200" i="52" s="1"/>
  <c r="DI202" i="52"/>
  <c r="DH216" i="52"/>
  <c r="DH205" i="52"/>
  <c r="DM124" i="52"/>
  <c r="DO147" i="52"/>
  <c r="DO148" i="52"/>
  <c r="DL212" i="52"/>
  <c r="DL160" i="52"/>
  <c r="DP105" i="52"/>
  <c r="DP110" i="52"/>
  <c r="DP210" i="52"/>
  <c r="DP177" i="52"/>
  <c r="DP182" i="52"/>
  <c r="DQ103" i="52"/>
  <c r="DQ175" i="52"/>
  <c r="DL133" i="53"/>
  <c r="DM132" i="53"/>
  <c r="DN128" i="53" s="1"/>
  <c r="DM130" i="53"/>
  <c r="DN166" i="52"/>
  <c r="DN168" i="52"/>
  <c r="DO164" i="52" s="1"/>
  <c r="DM169" i="52"/>
  <c r="DM171" i="52" s="1"/>
  <c r="DO159" i="53" l="1"/>
  <c r="DO195" i="53"/>
  <c r="DO123" i="53"/>
  <c r="DR194" i="53"/>
  <c r="DR158" i="53"/>
  <c r="DR122" i="53"/>
  <c r="DS194" i="52"/>
  <c r="DS158" i="52"/>
  <c r="DS122" i="52"/>
  <c r="DM196" i="52"/>
  <c r="DM214" i="52" s="1"/>
  <c r="DM212" i="52"/>
  <c r="DS6" i="53"/>
  <c r="DR163" i="53"/>
  <c r="DR165" i="53" s="1"/>
  <c r="DR140" i="53"/>
  <c r="DR127" i="53"/>
  <c r="DR129" i="53" s="1"/>
  <c r="DR178" i="53"/>
  <c r="DR176" i="53"/>
  <c r="DR104" i="53"/>
  <c r="DR174" i="53"/>
  <c r="DR114" i="53"/>
  <c r="DR106" i="53"/>
  <c r="DR180" i="53"/>
  <c r="DR193" i="53"/>
  <c r="DR102" i="53"/>
  <c r="DR108" i="53"/>
  <c r="DR167" i="53"/>
  <c r="DR157" i="53"/>
  <c r="DR142" i="53"/>
  <c r="DR138" i="53"/>
  <c r="DR150" i="53"/>
  <c r="DR117" i="53"/>
  <c r="DR121" i="53"/>
  <c r="DR203" i="53"/>
  <c r="DR189" i="53"/>
  <c r="DR153" i="53"/>
  <c r="DR7" i="53"/>
  <c r="DR199" i="53"/>
  <c r="DR201" i="53" s="1"/>
  <c r="DR144" i="53"/>
  <c r="DR143" i="53"/>
  <c r="DR131" i="53"/>
  <c r="DR186" i="53"/>
  <c r="DR179" i="53"/>
  <c r="DR107" i="53"/>
  <c r="DQ139" i="53"/>
  <c r="DQ210" i="53" s="1"/>
  <c r="DQ110" i="53"/>
  <c r="DQ105" i="53"/>
  <c r="DQ109" i="53" s="1"/>
  <c r="DQ115" i="53"/>
  <c r="DQ118" i="53"/>
  <c r="DQ120" i="53"/>
  <c r="DQ182" i="53"/>
  <c r="DQ177" i="53"/>
  <c r="DQ181" i="53" s="1"/>
  <c r="DQ151" i="53"/>
  <c r="DQ154" i="53"/>
  <c r="DQ156" i="53"/>
  <c r="DQ187" i="53"/>
  <c r="DQ190" i="53"/>
  <c r="DQ192" i="53"/>
  <c r="DP148" i="53"/>
  <c r="DP147" i="53"/>
  <c r="DP149" i="53" s="1"/>
  <c r="DP162" i="53"/>
  <c r="DP152" i="53"/>
  <c r="DP155" i="53"/>
  <c r="DP198" i="53"/>
  <c r="DP188" i="53"/>
  <c r="DP191" i="53"/>
  <c r="DP126" i="53"/>
  <c r="DP116" i="53"/>
  <c r="DP119" i="53"/>
  <c r="DO145" i="53"/>
  <c r="DO181" i="53"/>
  <c r="DO109" i="53"/>
  <c r="DN196" i="53"/>
  <c r="DM124" i="53"/>
  <c r="DM133" i="53" s="1"/>
  <c r="DK133" i="53"/>
  <c r="DK135" i="53" s="1"/>
  <c r="DK214" i="53"/>
  <c r="DN160" i="53"/>
  <c r="DP210" i="53"/>
  <c r="DP110" i="53"/>
  <c r="DP105" i="53"/>
  <c r="DP182" i="53"/>
  <c r="DP177" i="53"/>
  <c r="DM149" i="53"/>
  <c r="DN213" i="53"/>
  <c r="DN124" i="53"/>
  <c r="DJ204" i="53"/>
  <c r="DK200" i="53" s="1"/>
  <c r="DJ202" i="53"/>
  <c r="DJ205" i="53" s="1"/>
  <c r="DJ207" i="53" s="1"/>
  <c r="DI207" i="53"/>
  <c r="DH219" i="53"/>
  <c r="DK168" i="53"/>
  <c r="DL164" i="53" s="1"/>
  <c r="DK166" i="53"/>
  <c r="DJ216" i="53"/>
  <c r="DJ169" i="53"/>
  <c r="DI171" i="53"/>
  <c r="DI217" i="53"/>
  <c r="DO149" i="52"/>
  <c r="DO160" i="52"/>
  <c r="DO184" i="52"/>
  <c r="DO183" i="52"/>
  <c r="DO185" i="52" s="1"/>
  <c r="DO196" i="52" s="1"/>
  <c r="DO213" i="52"/>
  <c r="DO211" i="52"/>
  <c r="DO112" i="52"/>
  <c r="DO111" i="52"/>
  <c r="DO113" i="52" s="1"/>
  <c r="DQ126" i="52"/>
  <c r="DQ119" i="52"/>
  <c r="DQ116" i="52"/>
  <c r="DQ123" i="52" s="1"/>
  <c r="DQ198" i="52"/>
  <c r="DQ199" i="52" s="1"/>
  <c r="DQ201" i="52" s="1"/>
  <c r="DQ191" i="52"/>
  <c r="DQ188" i="52"/>
  <c r="DQ195" i="52" s="1"/>
  <c r="DR110" i="52"/>
  <c r="DR105" i="52"/>
  <c r="DR109" i="52" s="1"/>
  <c r="DR192" i="52"/>
  <c r="DR190" i="52"/>
  <c r="DR187" i="52"/>
  <c r="DR120" i="52"/>
  <c r="DR115" i="52"/>
  <c r="DR118" i="52"/>
  <c r="DR154" i="52"/>
  <c r="DR151" i="52"/>
  <c r="DR156" i="52"/>
  <c r="DS104" i="52"/>
  <c r="DS144" i="52"/>
  <c r="DS102" i="52"/>
  <c r="DS176" i="52"/>
  <c r="DS180" i="52"/>
  <c r="DS193" i="52"/>
  <c r="DS179" i="52"/>
  <c r="DS108" i="52"/>
  <c r="DS186" i="52"/>
  <c r="DS174" i="52"/>
  <c r="DS175" i="52" s="1"/>
  <c r="DS203" i="52"/>
  <c r="DS114" i="52"/>
  <c r="DS142" i="52"/>
  <c r="DS107" i="52"/>
  <c r="DS178" i="52"/>
  <c r="DS143" i="52"/>
  <c r="DS189" i="52"/>
  <c r="DS7" i="52"/>
  <c r="DS140" i="52"/>
  <c r="DS106" i="52"/>
  <c r="DS163" i="52"/>
  <c r="DS165" i="52" s="1"/>
  <c r="DS167" i="52"/>
  <c r="DS117" i="52"/>
  <c r="DS127" i="52"/>
  <c r="DS129" i="52" s="1"/>
  <c r="DS131" i="52"/>
  <c r="DS138" i="52"/>
  <c r="DS157" i="52"/>
  <c r="DT6" i="52"/>
  <c r="DS121" i="52"/>
  <c r="DS150" i="52"/>
  <c r="DS153" i="52"/>
  <c r="DR146" i="52"/>
  <c r="DR141" i="52"/>
  <c r="DR145" i="52" s="1"/>
  <c r="DQ141" i="52"/>
  <c r="DQ146" i="52"/>
  <c r="DQ162" i="52"/>
  <c r="DQ152" i="52"/>
  <c r="DQ155" i="52"/>
  <c r="DL132" i="52"/>
  <c r="DM128" i="52" s="1"/>
  <c r="DL130" i="52"/>
  <c r="DK133" i="52"/>
  <c r="DJ135" i="52"/>
  <c r="DJ204" i="52"/>
  <c r="DK200" i="52" s="1"/>
  <c r="DJ202" i="52"/>
  <c r="DI216" i="52"/>
  <c r="DI205" i="52"/>
  <c r="DH217" i="52"/>
  <c r="DH207" i="52"/>
  <c r="DH219" i="52" s="1"/>
  <c r="DL169" i="52"/>
  <c r="DL171" i="52" s="1"/>
  <c r="DL214" i="52"/>
  <c r="DQ105" i="52"/>
  <c r="DQ109" i="52" s="1"/>
  <c r="DQ110" i="52"/>
  <c r="DQ210" i="52"/>
  <c r="DQ177" i="52"/>
  <c r="DQ182" i="52"/>
  <c r="DN149" i="52"/>
  <c r="DP149" i="52"/>
  <c r="DR175" i="52"/>
  <c r="DR210" i="52" s="1"/>
  <c r="DP109" i="52"/>
  <c r="DP181" i="52"/>
  <c r="DL135" i="53"/>
  <c r="DN132" i="53"/>
  <c r="DO128" i="53" s="1"/>
  <c r="DN130" i="53"/>
  <c r="DO166" i="52"/>
  <c r="DO168" i="52"/>
  <c r="DP164" i="52" s="1"/>
  <c r="DP159" i="53" l="1"/>
  <c r="DP195" i="53"/>
  <c r="DP123" i="53"/>
  <c r="DS194" i="53"/>
  <c r="DS158" i="53"/>
  <c r="DS122" i="53"/>
  <c r="DQ159" i="52"/>
  <c r="DT194" i="52"/>
  <c r="DT158" i="52"/>
  <c r="DT122" i="52"/>
  <c r="DN214" i="53"/>
  <c r="DT6" i="53"/>
  <c r="DS167" i="53"/>
  <c r="DS163" i="53"/>
  <c r="DS165" i="53" s="1"/>
  <c r="DS157" i="53"/>
  <c r="DS144" i="53"/>
  <c r="DS143" i="53"/>
  <c r="DS142" i="53"/>
  <c r="DS140" i="53"/>
  <c r="DS138" i="53"/>
  <c r="DS139" i="53" s="1"/>
  <c r="DS131" i="53"/>
  <c r="DS127" i="53"/>
  <c r="DS129" i="53" s="1"/>
  <c r="DS107" i="53"/>
  <c r="DS108" i="53"/>
  <c r="DS114" i="53"/>
  <c r="DS180" i="53"/>
  <c r="DS199" i="53"/>
  <c r="DS201" i="53" s="1"/>
  <c r="DS176" i="53"/>
  <c r="DS193" i="53"/>
  <c r="DS106" i="53"/>
  <c r="DS189" i="53"/>
  <c r="DS104" i="53"/>
  <c r="DS7" i="53"/>
  <c r="DS150" i="53"/>
  <c r="DS117" i="53"/>
  <c r="DS186" i="53"/>
  <c r="DS179" i="53"/>
  <c r="DS178" i="53"/>
  <c r="DS121" i="53"/>
  <c r="DS153" i="53"/>
  <c r="DS203" i="53"/>
  <c r="DS102" i="53"/>
  <c r="DS103" i="53" s="1"/>
  <c r="DS174" i="53"/>
  <c r="DS175" i="53" s="1"/>
  <c r="DR175" i="53"/>
  <c r="DR115" i="53"/>
  <c r="DR118" i="53"/>
  <c r="DR120" i="53"/>
  <c r="DR103" i="53"/>
  <c r="DR151" i="53"/>
  <c r="DR154" i="53"/>
  <c r="DR156" i="53"/>
  <c r="DR187" i="53"/>
  <c r="DR190" i="53"/>
  <c r="DR192" i="53"/>
  <c r="DQ141" i="53"/>
  <c r="DQ146" i="53"/>
  <c r="DQ112" i="53"/>
  <c r="DQ111" i="53"/>
  <c r="DQ113" i="53" s="1"/>
  <c r="DQ126" i="53"/>
  <c r="DQ116" i="53"/>
  <c r="DQ119" i="53"/>
  <c r="DQ184" i="53"/>
  <c r="DQ183" i="53"/>
  <c r="DQ185" i="53" s="1"/>
  <c r="DQ162" i="53"/>
  <c r="DQ152" i="53"/>
  <c r="DQ155" i="53"/>
  <c r="DQ198" i="53"/>
  <c r="DQ188" i="53"/>
  <c r="DQ195" i="53" s="1"/>
  <c r="DQ191" i="53"/>
  <c r="DO147" i="53"/>
  <c r="DO148" i="53"/>
  <c r="DO213" i="53"/>
  <c r="DO183" i="53"/>
  <c r="DO184" i="53"/>
  <c r="DO211" i="53"/>
  <c r="DO111" i="53"/>
  <c r="DO112" i="53"/>
  <c r="DR139" i="53"/>
  <c r="DP109" i="53"/>
  <c r="DP181" i="53"/>
  <c r="DM160" i="53"/>
  <c r="DM214" i="53" s="1"/>
  <c r="DM212" i="53"/>
  <c r="DK204" i="53"/>
  <c r="DL200" i="53" s="1"/>
  <c r="DK202" i="53"/>
  <c r="DL168" i="53"/>
  <c r="DM164" i="53" s="1"/>
  <c r="DL166" i="53"/>
  <c r="DK169" i="53"/>
  <c r="DJ217" i="53"/>
  <c r="DJ171" i="53"/>
  <c r="DI219" i="53"/>
  <c r="DP160" i="52"/>
  <c r="DO212" i="52"/>
  <c r="DO124" i="52"/>
  <c r="DO214" i="52" s="1"/>
  <c r="DR112" i="52"/>
  <c r="DR111" i="52"/>
  <c r="DR113" i="52" s="1"/>
  <c r="DR198" i="52"/>
  <c r="DR199" i="52" s="1"/>
  <c r="DR201" i="52" s="1"/>
  <c r="DR191" i="52"/>
  <c r="DR188" i="52"/>
  <c r="DR195" i="52" s="1"/>
  <c r="DR126" i="52"/>
  <c r="DR116" i="52"/>
  <c r="DR119" i="52"/>
  <c r="DR162" i="52"/>
  <c r="DR155" i="52"/>
  <c r="DR152" i="52"/>
  <c r="DR159" i="52" s="1"/>
  <c r="DS103" i="52"/>
  <c r="DS192" i="52"/>
  <c r="DS190" i="52"/>
  <c r="DS187" i="52"/>
  <c r="DS182" i="52"/>
  <c r="DS177" i="52"/>
  <c r="DS181" i="52" s="1"/>
  <c r="DS120" i="52"/>
  <c r="DS115" i="52"/>
  <c r="DS118" i="52"/>
  <c r="DS139" i="52"/>
  <c r="DT106" i="52"/>
  <c r="DT176" i="52"/>
  <c r="DT108" i="52"/>
  <c r="DT193" i="52"/>
  <c r="DT144" i="52"/>
  <c r="DT102" i="52"/>
  <c r="DT142" i="52"/>
  <c r="DT186" i="52"/>
  <c r="DT174" i="52"/>
  <c r="DT114" i="52"/>
  <c r="DT104" i="52"/>
  <c r="DT107" i="52"/>
  <c r="DT178" i="52"/>
  <c r="DT143" i="52"/>
  <c r="DT189" i="52"/>
  <c r="DT7" i="52"/>
  <c r="DT140" i="52"/>
  <c r="DT179" i="52"/>
  <c r="DT199" i="52"/>
  <c r="DT121" i="52"/>
  <c r="DT138" i="52"/>
  <c r="DT150" i="52"/>
  <c r="DT153" i="52"/>
  <c r="DU6" i="52"/>
  <c r="DT117" i="52"/>
  <c r="DT163" i="52"/>
  <c r="DT165" i="52" s="1"/>
  <c r="DT167" i="52"/>
  <c r="DT127" i="52"/>
  <c r="DT129" i="52" s="1"/>
  <c r="DT131" i="52"/>
  <c r="DT157" i="52"/>
  <c r="DS151" i="52"/>
  <c r="DS156" i="52"/>
  <c r="DS154" i="52"/>
  <c r="DR147" i="52"/>
  <c r="DR148" i="52"/>
  <c r="DQ145" i="52"/>
  <c r="DM132" i="52"/>
  <c r="DN128" i="52" s="1"/>
  <c r="DM130" i="52"/>
  <c r="DL133" i="52"/>
  <c r="DK135" i="52"/>
  <c r="DK204" i="52"/>
  <c r="DL200" i="52" s="1"/>
  <c r="DK202" i="52"/>
  <c r="DJ216" i="52"/>
  <c r="DJ205" i="52"/>
  <c r="DI217" i="52"/>
  <c r="DI207" i="52"/>
  <c r="DI219" i="52" s="1"/>
  <c r="DQ112" i="52"/>
  <c r="DQ111" i="52"/>
  <c r="DQ113" i="52" s="1"/>
  <c r="DN160" i="52"/>
  <c r="DN212" i="52"/>
  <c r="DP213" i="52"/>
  <c r="DR177" i="52"/>
  <c r="DR182" i="52"/>
  <c r="DP111" i="52"/>
  <c r="DP112" i="52"/>
  <c r="DP113" i="52"/>
  <c r="DP211" i="52"/>
  <c r="DP183" i="52"/>
  <c r="DP184" i="52"/>
  <c r="DP185" i="52"/>
  <c r="DP196" i="52" s="1"/>
  <c r="DQ181" i="52"/>
  <c r="DO130" i="53"/>
  <c r="DO132" i="53"/>
  <c r="DP128" i="53" s="1"/>
  <c r="DN133" i="53"/>
  <c r="DM135" i="53"/>
  <c r="DP166" i="52"/>
  <c r="DP168" i="52"/>
  <c r="DQ164" i="52" s="1"/>
  <c r="DO169" i="52"/>
  <c r="DQ123" i="53" l="1"/>
  <c r="DQ159" i="53"/>
  <c r="DT194" i="53"/>
  <c r="DT158" i="53"/>
  <c r="DT122" i="53"/>
  <c r="DR123" i="52"/>
  <c r="DR124" i="52" s="1"/>
  <c r="DU194" i="52"/>
  <c r="DU158" i="52"/>
  <c r="DU122" i="52"/>
  <c r="DQ211" i="52"/>
  <c r="DO149" i="53"/>
  <c r="DO160" i="53" s="1"/>
  <c r="DK205" i="53"/>
  <c r="DK216" i="53"/>
  <c r="DT108" i="53"/>
  <c r="DT199" i="53"/>
  <c r="DT201" i="53" s="1"/>
  <c r="DT180" i="53"/>
  <c r="DT203" i="53"/>
  <c r="DT106" i="53"/>
  <c r="DT117" i="53"/>
  <c r="DU6" i="53"/>
  <c r="DT167" i="53"/>
  <c r="DT163" i="53"/>
  <c r="DT165" i="53" s="1"/>
  <c r="DT157" i="53"/>
  <c r="DT144" i="53"/>
  <c r="DT143" i="53"/>
  <c r="DT142" i="53"/>
  <c r="DT140" i="53"/>
  <c r="DT138" i="53"/>
  <c r="DT131" i="53"/>
  <c r="DT127" i="53"/>
  <c r="DT129" i="53" s="1"/>
  <c r="DT176" i="53"/>
  <c r="DT193" i="53"/>
  <c r="DT107" i="53"/>
  <c r="DT186" i="53"/>
  <c r="DT102" i="53"/>
  <c r="DT7" i="53"/>
  <c r="DT150" i="53"/>
  <c r="DT179" i="53"/>
  <c r="DT121" i="53"/>
  <c r="DT114" i="53"/>
  <c r="DT174" i="53"/>
  <c r="DT189" i="53"/>
  <c r="DT178" i="53"/>
  <c r="DT153" i="53"/>
  <c r="DT104" i="53"/>
  <c r="DS146" i="53"/>
  <c r="DS141" i="53"/>
  <c r="DS145" i="53" s="1"/>
  <c r="DS118" i="53"/>
  <c r="DS115" i="53"/>
  <c r="DS120" i="53"/>
  <c r="DS154" i="53"/>
  <c r="DS156" i="53"/>
  <c r="DS151" i="53"/>
  <c r="DS187" i="53"/>
  <c r="DS190" i="53"/>
  <c r="DS192" i="53"/>
  <c r="DS105" i="53"/>
  <c r="DS109" i="53" s="1"/>
  <c r="DS110" i="53"/>
  <c r="DS210" i="53"/>
  <c r="DS177" i="53"/>
  <c r="DS181" i="53" s="1"/>
  <c r="DS182" i="53"/>
  <c r="DR177" i="53"/>
  <c r="DR182" i="53"/>
  <c r="DR126" i="53"/>
  <c r="DR116" i="53"/>
  <c r="DR123" i="53" s="1"/>
  <c r="DR119" i="53"/>
  <c r="DR105" i="53"/>
  <c r="DR110" i="53"/>
  <c r="DR162" i="53"/>
  <c r="DR152" i="53"/>
  <c r="DR155" i="53"/>
  <c r="DR198" i="53"/>
  <c r="DR188" i="53"/>
  <c r="DR191" i="53"/>
  <c r="DQ145" i="53"/>
  <c r="DQ124" i="53"/>
  <c r="DP160" i="53"/>
  <c r="DP213" i="53"/>
  <c r="DR210" i="53"/>
  <c r="DR141" i="53"/>
  <c r="DR145" i="53" s="1"/>
  <c r="DR146" i="53"/>
  <c r="DP211" i="53"/>
  <c r="DP112" i="53"/>
  <c r="DP111" i="53"/>
  <c r="DP113" i="53" s="1"/>
  <c r="DP184" i="53"/>
  <c r="DP183" i="53"/>
  <c r="DP185" i="53" s="1"/>
  <c r="DP196" i="53" s="1"/>
  <c r="DO185" i="53"/>
  <c r="DO196" i="53" s="1"/>
  <c r="DO113" i="53"/>
  <c r="DL202" i="53"/>
  <c r="DL216" i="53" s="1"/>
  <c r="DL203" i="53"/>
  <c r="DM166" i="53"/>
  <c r="DM168" i="53"/>
  <c r="DN164" i="53" s="1"/>
  <c r="DL169" i="53"/>
  <c r="DK171" i="53"/>
  <c r="DJ219" i="53"/>
  <c r="DS210" i="52"/>
  <c r="DS110" i="52"/>
  <c r="DS105" i="52"/>
  <c r="DS198" i="52"/>
  <c r="DS199" i="52" s="1"/>
  <c r="DS191" i="52"/>
  <c r="DS188" i="52"/>
  <c r="DS195" i="52" s="1"/>
  <c r="DS184" i="52"/>
  <c r="DS183" i="52"/>
  <c r="DS185" i="52" s="1"/>
  <c r="DS126" i="52"/>
  <c r="DS119" i="52"/>
  <c r="DS116" i="52"/>
  <c r="DS123" i="52" s="1"/>
  <c r="DS146" i="52"/>
  <c r="DS141" i="52"/>
  <c r="DT192" i="52"/>
  <c r="DT190" i="52"/>
  <c r="DT187" i="52"/>
  <c r="DT175" i="52"/>
  <c r="DT115" i="52"/>
  <c r="DT120" i="52"/>
  <c r="DT118" i="52"/>
  <c r="DT154" i="52"/>
  <c r="DT151" i="52"/>
  <c r="DT156" i="52"/>
  <c r="DU186" i="52"/>
  <c r="DU144" i="52"/>
  <c r="DU174" i="52"/>
  <c r="DU175" i="52" s="1"/>
  <c r="DU102" i="52"/>
  <c r="DU103" i="52" s="1"/>
  <c r="DU199" i="52"/>
  <c r="DU201" i="52" s="1"/>
  <c r="DU106" i="52"/>
  <c r="DU176" i="52"/>
  <c r="DU178" i="52"/>
  <c r="DU104" i="52"/>
  <c r="DU114" i="52"/>
  <c r="DU107" i="52"/>
  <c r="DU180" i="52"/>
  <c r="DU143" i="52"/>
  <c r="DU189" i="52"/>
  <c r="DU108" i="52"/>
  <c r="DU179" i="52"/>
  <c r="DU7" i="52"/>
  <c r="DU140" i="52"/>
  <c r="DU203" i="52"/>
  <c r="DU142" i="52"/>
  <c r="DU193" i="52"/>
  <c r="DU117" i="52"/>
  <c r="DU163" i="52"/>
  <c r="DU165" i="52" s="1"/>
  <c r="DU167" i="52"/>
  <c r="DU127" i="52"/>
  <c r="DU129" i="52" s="1"/>
  <c r="DU131" i="52"/>
  <c r="DU138" i="52"/>
  <c r="DU139" i="52" s="1"/>
  <c r="DV6" i="52"/>
  <c r="DU121" i="52"/>
  <c r="DU150" i="52"/>
  <c r="DU153" i="52"/>
  <c r="DU157" i="52"/>
  <c r="DS162" i="52"/>
  <c r="DS155" i="52"/>
  <c r="DS152" i="52"/>
  <c r="DS159" i="52" s="1"/>
  <c r="DQ147" i="52"/>
  <c r="DQ148" i="52"/>
  <c r="DN132" i="52"/>
  <c r="DO128" i="52" s="1"/>
  <c r="DN130" i="52"/>
  <c r="DM133" i="52"/>
  <c r="DL135" i="52"/>
  <c r="DL204" i="52"/>
  <c r="DM200" i="52" s="1"/>
  <c r="DL202" i="52"/>
  <c r="DK216" i="52"/>
  <c r="DK205" i="52"/>
  <c r="DJ217" i="52"/>
  <c r="DJ207" i="52"/>
  <c r="DJ219" i="52" s="1"/>
  <c r="DQ124" i="52"/>
  <c r="DN169" i="52"/>
  <c r="DN171" i="52" s="1"/>
  <c r="DN214" i="52"/>
  <c r="DP212" i="52"/>
  <c r="DP124" i="52"/>
  <c r="DP214" i="52" s="1"/>
  <c r="DQ183" i="52"/>
  <c r="DQ184" i="52"/>
  <c r="DR149" i="52"/>
  <c r="DT103" i="52"/>
  <c r="DT139" i="52"/>
  <c r="DR181" i="52"/>
  <c r="DQ213" i="52"/>
  <c r="DP132" i="53"/>
  <c r="DQ128" i="53" s="1"/>
  <c r="DP130" i="53"/>
  <c r="DN135" i="53"/>
  <c r="DQ166" i="52"/>
  <c r="DQ168" i="52"/>
  <c r="DR164" i="52" s="1"/>
  <c r="DO171" i="52"/>
  <c r="DP169" i="52"/>
  <c r="DP171" i="52" s="1"/>
  <c r="DR195" i="53" l="1"/>
  <c r="DR159" i="53"/>
  <c r="DU194" i="53"/>
  <c r="DU158" i="53"/>
  <c r="DU122" i="53"/>
  <c r="DQ185" i="52"/>
  <c r="DQ196" i="52" s="1"/>
  <c r="DV194" i="52"/>
  <c r="DV158" i="52"/>
  <c r="DV122" i="52"/>
  <c r="DK207" i="53"/>
  <c r="DK219" i="53" s="1"/>
  <c r="DK217" i="53"/>
  <c r="DV6" i="53"/>
  <c r="DU167" i="53"/>
  <c r="DU163" i="53"/>
  <c r="DU165" i="53" s="1"/>
  <c r="DU157" i="53"/>
  <c r="DU144" i="53"/>
  <c r="DU143" i="53"/>
  <c r="DU142" i="53"/>
  <c r="DU140" i="53"/>
  <c r="DU138" i="53"/>
  <c r="DU139" i="53" s="1"/>
  <c r="DU131" i="53"/>
  <c r="DU127" i="53"/>
  <c r="DU129" i="53" s="1"/>
  <c r="DU180" i="53"/>
  <c r="DU114" i="53"/>
  <c r="DU150" i="53"/>
  <c r="DU199" i="53"/>
  <c r="DU201" i="53" s="1"/>
  <c r="DU174" i="53"/>
  <c r="DU175" i="53" s="1"/>
  <c r="DU7" i="53"/>
  <c r="DU178" i="53"/>
  <c r="DU189" i="53"/>
  <c r="DU153" i="53"/>
  <c r="DU106" i="53"/>
  <c r="DU108" i="53"/>
  <c r="DU176" i="53"/>
  <c r="DU107" i="53"/>
  <c r="DU193" i="53"/>
  <c r="DU104" i="53"/>
  <c r="DU117" i="53"/>
  <c r="DU186" i="53"/>
  <c r="DU179" i="53"/>
  <c r="DU121" i="53"/>
  <c r="DU102" i="53"/>
  <c r="DU103" i="53" s="1"/>
  <c r="DU203" i="53"/>
  <c r="DT139" i="53"/>
  <c r="DT187" i="53"/>
  <c r="DT190" i="53"/>
  <c r="DT192" i="53"/>
  <c r="DT103" i="53"/>
  <c r="DT151" i="53"/>
  <c r="DT154" i="53"/>
  <c r="DT156" i="53"/>
  <c r="DT115" i="53"/>
  <c r="DT118" i="53"/>
  <c r="DT120" i="53"/>
  <c r="DT175" i="53"/>
  <c r="DS148" i="53"/>
  <c r="DS147" i="53"/>
  <c r="DS126" i="53"/>
  <c r="DS116" i="53"/>
  <c r="DS119" i="53"/>
  <c r="DS162" i="53"/>
  <c r="DS152" i="53"/>
  <c r="DS155" i="53"/>
  <c r="DS198" i="53"/>
  <c r="DS188" i="53"/>
  <c r="DS191" i="53"/>
  <c r="DS111" i="53"/>
  <c r="DS211" i="53"/>
  <c r="DS112" i="53"/>
  <c r="DS184" i="53"/>
  <c r="DS183" i="53"/>
  <c r="DS185" i="53" s="1"/>
  <c r="DR181" i="53"/>
  <c r="DR109" i="53"/>
  <c r="DR213" i="53"/>
  <c r="DQ211" i="53"/>
  <c r="DQ147" i="53"/>
  <c r="DQ148" i="53"/>
  <c r="DR148" i="53"/>
  <c r="DR147" i="53"/>
  <c r="DR149" i="53" s="1"/>
  <c r="DR160" i="53" s="1"/>
  <c r="DP124" i="53"/>
  <c r="DP212" i="53"/>
  <c r="DQ196" i="53"/>
  <c r="DO124" i="53"/>
  <c r="DO212" i="53"/>
  <c r="DQ213" i="53"/>
  <c r="DM169" i="53"/>
  <c r="DN168" i="53"/>
  <c r="DO164" i="53" s="1"/>
  <c r="DN166" i="53"/>
  <c r="DL171" i="53"/>
  <c r="DL204" i="53"/>
  <c r="DM200" i="53" s="1"/>
  <c r="DR213" i="52"/>
  <c r="DS109" i="52"/>
  <c r="DT201" i="52"/>
  <c r="DS201" i="52"/>
  <c r="DS145" i="52"/>
  <c r="DT198" i="52"/>
  <c r="DT191" i="52"/>
  <c r="DT188" i="52"/>
  <c r="DT195" i="52" s="1"/>
  <c r="DT182" i="52"/>
  <c r="DT177" i="52"/>
  <c r="DT126" i="52"/>
  <c r="DT119" i="52"/>
  <c r="DT116" i="52"/>
  <c r="DT123" i="52" s="1"/>
  <c r="DT162" i="52"/>
  <c r="DT152" i="52"/>
  <c r="DT159" i="52" s="1"/>
  <c r="DT155" i="52"/>
  <c r="DU192" i="52"/>
  <c r="DU190" i="52"/>
  <c r="DU187" i="52"/>
  <c r="DU182" i="52"/>
  <c r="DU177" i="52"/>
  <c r="DU181" i="52" s="1"/>
  <c r="DU210" i="52"/>
  <c r="DU110" i="52"/>
  <c r="DU105" i="52"/>
  <c r="DU109" i="52" s="1"/>
  <c r="DU115" i="52"/>
  <c r="DU120" i="52"/>
  <c r="DU118" i="52"/>
  <c r="DU146" i="52"/>
  <c r="DU141" i="52"/>
  <c r="DU145" i="52" s="1"/>
  <c r="DV144" i="52"/>
  <c r="DV180" i="52"/>
  <c r="DV107" i="52"/>
  <c r="DV186" i="52"/>
  <c r="DV174" i="52"/>
  <c r="DV102" i="52"/>
  <c r="DV104" i="52"/>
  <c r="DV193" i="52"/>
  <c r="DV114" i="52"/>
  <c r="DV179" i="52"/>
  <c r="DV143" i="52"/>
  <c r="DV189" i="52"/>
  <c r="DV199" i="52"/>
  <c r="DV201" i="52" s="1"/>
  <c r="DV108" i="52"/>
  <c r="DV142" i="52"/>
  <c r="DV7" i="52"/>
  <c r="DV203" i="52"/>
  <c r="DV106" i="52"/>
  <c r="DV176" i="52"/>
  <c r="DV178" i="52"/>
  <c r="DV140" i="52"/>
  <c r="DV121" i="52"/>
  <c r="DV150" i="52"/>
  <c r="DV153" i="52"/>
  <c r="DV157" i="52"/>
  <c r="DW6" i="52"/>
  <c r="DV127" i="52"/>
  <c r="DV129" i="52" s="1"/>
  <c r="DV138" i="52"/>
  <c r="DV163" i="52"/>
  <c r="DV165" i="52" s="1"/>
  <c r="DV167" i="52"/>
  <c r="DV117" i="52"/>
  <c r="DV131" i="52"/>
  <c r="DU151" i="52"/>
  <c r="DU154" i="52"/>
  <c r="DU156" i="52"/>
  <c r="DO132" i="52"/>
  <c r="DP128" i="52" s="1"/>
  <c r="DO130" i="52"/>
  <c r="DN133" i="52"/>
  <c r="DM135" i="52"/>
  <c r="DM204" i="52"/>
  <c r="DN200" i="52" s="1"/>
  <c r="DM202" i="52"/>
  <c r="DL216" i="52"/>
  <c r="DL205" i="52"/>
  <c r="DK217" i="52"/>
  <c r="DK207" i="52"/>
  <c r="DK219" i="52" s="1"/>
  <c r="DT105" i="52"/>
  <c r="DT110" i="52"/>
  <c r="DT210" i="52"/>
  <c r="DT141" i="52"/>
  <c r="DT146" i="52"/>
  <c r="DR183" i="52"/>
  <c r="DR184" i="52"/>
  <c r="DR185" i="52" s="1"/>
  <c r="DR211" i="52"/>
  <c r="DQ149" i="52"/>
  <c r="DR160" i="52"/>
  <c r="DQ132" i="53"/>
  <c r="DR128" i="53" s="1"/>
  <c r="DQ130" i="53"/>
  <c r="DR166" i="52"/>
  <c r="DR168" i="52"/>
  <c r="DS164" i="52" s="1"/>
  <c r="DS123" i="53" l="1"/>
  <c r="DS159" i="53"/>
  <c r="DS195" i="53"/>
  <c r="DV194" i="53"/>
  <c r="DV158" i="53"/>
  <c r="DV122" i="53"/>
  <c r="DW194" i="52"/>
  <c r="DW158" i="52"/>
  <c r="DW122" i="52"/>
  <c r="DQ149" i="53"/>
  <c r="DW6" i="53"/>
  <c r="DV167" i="53"/>
  <c r="DV163" i="53"/>
  <c r="DV165" i="53" s="1"/>
  <c r="DV157" i="53"/>
  <c r="DV144" i="53"/>
  <c r="DV143" i="53"/>
  <c r="DV142" i="53"/>
  <c r="DV140" i="53"/>
  <c r="DV138" i="53"/>
  <c r="DV131" i="53"/>
  <c r="DV127" i="53"/>
  <c r="DV129" i="53" s="1"/>
  <c r="DV7" i="53"/>
  <c r="DV193" i="53"/>
  <c r="DV174" i="53"/>
  <c r="DV104" i="53"/>
  <c r="DV199" i="53"/>
  <c r="DV201" i="53" s="1"/>
  <c r="DV121" i="53"/>
  <c r="DV114" i="53"/>
  <c r="DV186" i="53"/>
  <c r="DV150" i="53"/>
  <c r="DV108" i="53"/>
  <c r="DV203" i="53"/>
  <c r="DV102" i="53"/>
  <c r="DV178" i="53"/>
  <c r="DV107" i="53"/>
  <c r="DV153" i="53"/>
  <c r="DV117" i="53"/>
  <c r="DV176" i="53"/>
  <c r="DV106" i="53"/>
  <c r="DV189" i="53"/>
  <c r="DV180" i="53"/>
  <c r="DV179" i="53"/>
  <c r="DU141" i="53"/>
  <c r="DU145" i="53" s="1"/>
  <c r="DU146" i="53"/>
  <c r="DU210" i="53"/>
  <c r="DU115" i="53"/>
  <c r="DU118" i="53"/>
  <c r="DU120" i="53"/>
  <c r="DU151" i="53"/>
  <c r="DU154" i="53"/>
  <c r="DU156" i="53"/>
  <c r="DU177" i="53"/>
  <c r="DU181" i="53" s="1"/>
  <c r="DU182" i="53"/>
  <c r="DU187" i="53"/>
  <c r="DU190" i="53"/>
  <c r="DU192" i="53"/>
  <c r="DU105" i="53"/>
  <c r="DU109" i="53" s="1"/>
  <c r="DU110" i="53"/>
  <c r="DT141" i="53"/>
  <c r="DT146" i="53"/>
  <c r="DT198" i="53"/>
  <c r="DT188" i="53"/>
  <c r="DT191" i="53"/>
  <c r="DT210" i="53"/>
  <c r="DT110" i="53"/>
  <c r="DT105" i="53"/>
  <c r="DT162" i="53"/>
  <c r="DT152" i="53"/>
  <c r="DT155" i="53"/>
  <c r="DT126" i="53"/>
  <c r="DT116" i="53"/>
  <c r="DT119" i="53"/>
  <c r="DT182" i="53"/>
  <c r="DT177" i="53"/>
  <c r="DR183" i="53"/>
  <c r="DR184" i="53"/>
  <c r="DR211" i="53"/>
  <c r="DR111" i="53"/>
  <c r="DR112" i="53"/>
  <c r="DO133" i="53"/>
  <c r="DO135" i="53" s="1"/>
  <c r="DO214" i="53"/>
  <c r="DS149" i="53"/>
  <c r="DS113" i="53"/>
  <c r="DP214" i="53"/>
  <c r="DP133" i="53"/>
  <c r="DP135" i="53" s="1"/>
  <c r="DM171" i="53"/>
  <c r="DO166" i="53"/>
  <c r="DO168" i="53"/>
  <c r="DP164" i="53" s="1"/>
  <c r="DN169" i="53"/>
  <c r="DM202" i="53"/>
  <c r="DM204" i="53"/>
  <c r="DN200" i="53" s="1"/>
  <c r="DS213" i="52"/>
  <c r="DS211" i="52"/>
  <c r="DS112" i="52"/>
  <c r="DS111" i="52"/>
  <c r="DS113" i="52" s="1"/>
  <c r="DS196" i="52"/>
  <c r="DS147" i="52"/>
  <c r="DS148" i="52"/>
  <c r="DU198" i="52"/>
  <c r="DU191" i="52"/>
  <c r="DU188" i="52"/>
  <c r="DU195" i="52" s="1"/>
  <c r="DU184" i="52"/>
  <c r="DU183" i="52"/>
  <c r="DU211" i="52"/>
  <c r="DU112" i="52"/>
  <c r="DU111" i="52"/>
  <c r="DU113" i="52" s="1"/>
  <c r="DU126" i="52"/>
  <c r="DU119" i="52"/>
  <c r="DU116" i="52"/>
  <c r="DU123" i="52" s="1"/>
  <c r="DU147" i="52"/>
  <c r="DU148" i="52"/>
  <c r="DV192" i="52"/>
  <c r="DV190" i="52"/>
  <c r="DV187" i="52"/>
  <c r="DV175" i="52"/>
  <c r="DV103" i="52"/>
  <c r="DV120" i="52"/>
  <c r="DV118" i="52"/>
  <c r="DV115" i="52"/>
  <c r="DV156" i="52"/>
  <c r="DV154" i="52"/>
  <c r="DV151" i="52"/>
  <c r="DW144" i="52"/>
  <c r="DW7" i="52"/>
  <c r="DW104" i="52"/>
  <c r="DW179" i="52"/>
  <c r="DW143" i="52"/>
  <c r="DW102" i="52"/>
  <c r="DW189" i="52"/>
  <c r="DW114" i="52"/>
  <c r="DW106" i="52"/>
  <c r="DW178" i="52"/>
  <c r="DW142" i="52"/>
  <c r="DW107" i="52"/>
  <c r="DW186" i="52"/>
  <c r="DW108" i="52"/>
  <c r="DW140" i="52"/>
  <c r="DW203" i="52"/>
  <c r="DW180" i="52"/>
  <c r="DW193" i="52"/>
  <c r="DW176" i="52"/>
  <c r="DW199" i="52"/>
  <c r="DW201" i="52" s="1"/>
  <c r="DW174" i="52"/>
  <c r="DW117" i="52"/>
  <c r="DW138" i="52"/>
  <c r="DW139" i="52" s="1"/>
  <c r="DW163" i="52"/>
  <c r="DW165" i="52" s="1"/>
  <c r="DW167" i="52"/>
  <c r="DW127" i="52"/>
  <c r="DW129" i="52" s="1"/>
  <c r="DW131" i="52"/>
  <c r="DX6" i="52"/>
  <c r="DW121" i="52"/>
  <c r="DW150" i="52"/>
  <c r="DW153" i="52"/>
  <c r="DW157" i="52"/>
  <c r="DV139" i="52"/>
  <c r="DU162" i="52"/>
  <c r="DU152" i="52"/>
  <c r="DU155" i="52"/>
  <c r="DP132" i="52"/>
  <c r="DQ128" i="52" s="1"/>
  <c r="DP130" i="52"/>
  <c r="DO133" i="52"/>
  <c r="DN135" i="52"/>
  <c r="DN204" i="52"/>
  <c r="DO200" i="52" s="1"/>
  <c r="DN202" i="52"/>
  <c r="DM216" i="52"/>
  <c r="DM205" i="52"/>
  <c r="DL217" i="52"/>
  <c r="DL207" i="52"/>
  <c r="DL219" i="52" s="1"/>
  <c r="DQ212" i="52"/>
  <c r="DQ160" i="52"/>
  <c r="DT109" i="52"/>
  <c r="DT145" i="52"/>
  <c r="DR196" i="52"/>
  <c r="DR214" i="52" s="1"/>
  <c r="DR212" i="52"/>
  <c r="DR130" i="53"/>
  <c r="DR132" i="53"/>
  <c r="DS128" i="53" s="1"/>
  <c r="DQ133" i="53"/>
  <c r="DS166" i="52"/>
  <c r="DS168" i="52"/>
  <c r="DT164" i="52" s="1"/>
  <c r="DR169" i="52"/>
  <c r="DT195" i="53" l="1"/>
  <c r="DT159" i="53"/>
  <c r="DT123" i="53"/>
  <c r="DW194" i="53"/>
  <c r="DW158" i="53"/>
  <c r="DW122" i="53"/>
  <c r="DU159" i="52"/>
  <c r="DX194" i="52"/>
  <c r="DX158" i="52"/>
  <c r="DX122" i="52"/>
  <c r="DQ212" i="53"/>
  <c r="DQ160" i="53"/>
  <c r="DQ214" i="53" s="1"/>
  <c r="DW138" i="53"/>
  <c r="DW139" i="53" s="1"/>
  <c r="DW180" i="53"/>
  <c r="DW150" i="53"/>
  <c r="DW117" i="53"/>
  <c r="DW176" i="53"/>
  <c r="DW114" i="53"/>
  <c r="DW199" i="53"/>
  <c r="DW201" i="53" s="1"/>
  <c r="DW104" i="53"/>
  <c r="DW179" i="53"/>
  <c r="DW163" i="53"/>
  <c r="DW165" i="53" s="1"/>
  <c r="DW157" i="53"/>
  <c r="DW142" i="53"/>
  <c r="DW131" i="53"/>
  <c r="DW121" i="53"/>
  <c r="DW178" i="53"/>
  <c r="DW203" i="53"/>
  <c r="DW186" i="53"/>
  <c r="DW174" i="53"/>
  <c r="DW175" i="53" s="1"/>
  <c r="DW167" i="53"/>
  <c r="DW144" i="53"/>
  <c r="DW127" i="53"/>
  <c r="DW129" i="53" s="1"/>
  <c r="DW102" i="53"/>
  <c r="DW103" i="53" s="1"/>
  <c r="DW153" i="53"/>
  <c r="DW107" i="53"/>
  <c r="DW106" i="53"/>
  <c r="DW189" i="53"/>
  <c r="DW7" i="53"/>
  <c r="DW108" i="53"/>
  <c r="DX6" i="53"/>
  <c r="DW143" i="53"/>
  <c r="DW140" i="53"/>
  <c r="DW193" i="53"/>
  <c r="DV139" i="53"/>
  <c r="DV175" i="53"/>
  <c r="DV115" i="53"/>
  <c r="DV120" i="53"/>
  <c r="DV118" i="53"/>
  <c r="DV192" i="53"/>
  <c r="DV187" i="53"/>
  <c r="DV190" i="53"/>
  <c r="DV156" i="53"/>
  <c r="DV151" i="53"/>
  <c r="DV154" i="53"/>
  <c r="DV103" i="53"/>
  <c r="DU147" i="53"/>
  <c r="DU148" i="53"/>
  <c r="DU126" i="53"/>
  <c r="DU119" i="53"/>
  <c r="DU116" i="53"/>
  <c r="DU123" i="53" s="1"/>
  <c r="DU162" i="53"/>
  <c r="DU152" i="53"/>
  <c r="DU155" i="53"/>
  <c r="DU183" i="53"/>
  <c r="DU184" i="53"/>
  <c r="DU198" i="53"/>
  <c r="DU188" i="53"/>
  <c r="DU195" i="53" s="1"/>
  <c r="DU191" i="53"/>
  <c r="DU211" i="53"/>
  <c r="DU112" i="53"/>
  <c r="DU111" i="53"/>
  <c r="DU113" i="53" s="1"/>
  <c r="DT145" i="53"/>
  <c r="DT109" i="53"/>
  <c r="DT181" i="53"/>
  <c r="DS213" i="53"/>
  <c r="DS196" i="53"/>
  <c r="DS212" i="53"/>
  <c r="DS124" i="53"/>
  <c r="DR185" i="53"/>
  <c r="DR196" i="53" s="1"/>
  <c r="DR113" i="53"/>
  <c r="DS160" i="53"/>
  <c r="DO169" i="53"/>
  <c r="DP166" i="53"/>
  <c r="DP168" i="53"/>
  <c r="DQ164" i="53" s="1"/>
  <c r="DN171" i="53"/>
  <c r="DM216" i="53"/>
  <c r="DM205" i="53"/>
  <c r="DN204" i="53"/>
  <c r="DO200" i="53" s="1"/>
  <c r="DN202" i="53"/>
  <c r="DU185" i="52"/>
  <c r="DS149" i="52"/>
  <c r="DS124" i="52"/>
  <c r="DT213" i="52"/>
  <c r="DU124" i="52"/>
  <c r="DV198" i="52"/>
  <c r="DV191" i="52"/>
  <c r="DV188" i="52"/>
  <c r="DV195" i="52" s="1"/>
  <c r="DV182" i="52"/>
  <c r="DV177" i="52"/>
  <c r="DV210" i="52"/>
  <c r="DV110" i="52"/>
  <c r="DV105" i="52"/>
  <c r="DV126" i="52"/>
  <c r="DV119" i="52"/>
  <c r="DV116" i="52"/>
  <c r="DV123" i="52" s="1"/>
  <c r="DV162" i="52"/>
  <c r="DV152" i="52"/>
  <c r="DV155" i="52"/>
  <c r="DW120" i="52"/>
  <c r="DW118" i="52"/>
  <c r="DW115" i="52"/>
  <c r="DW192" i="52"/>
  <c r="DW190" i="52"/>
  <c r="DW187" i="52"/>
  <c r="DW141" i="52"/>
  <c r="DW145" i="52" s="1"/>
  <c r="DW146" i="52"/>
  <c r="DX106" i="52"/>
  <c r="DX142" i="52"/>
  <c r="DX176" i="52"/>
  <c r="DX7" i="52"/>
  <c r="DX180" i="52"/>
  <c r="DX193" i="52"/>
  <c r="DX104" i="52"/>
  <c r="DX179" i="52"/>
  <c r="DX203" i="52"/>
  <c r="DX108" i="52"/>
  <c r="DX140" i="52"/>
  <c r="DX186" i="52"/>
  <c r="DX178" i="52"/>
  <c r="DX107" i="52"/>
  <c r="DX114" i="52"/>
  <c r="DX174" i="52"/>
  <c r="DX189" i="52"/>
  <c r="DX143" i="52"/>
  <c r="DX144" i="52"/>
  <c r="DX199" i="52"/>
  <c r="DX201" i="52" s="1"/>
  <c r="DX102" i="52"/>
  <c r="DX121" i="52"/>
  <c r="DX150" i="52"/>
  <c r="DX153" i="52"/>
  <c r="DX157" i="52"/>
  <c r="DY6" i="52"/>
  <c r="DX117" i="52"/>
  <c r="DX127" i="52"/>
  <c r="DX129" i="52" s="1"/>
  <c r="DX163" i="52"/>
  <c r="DX165" i="52" s="1"/>
  <c r="DX167" i="52"/>
  <c r="DX131" i="52"/>
  <c r="DX138" i="52"/>
  <c r="DW154" i="52"/>
  <c r="DW151" i="52"/>
  <c r="DW156" i="52"/>
  <c r="DV146" i="52"/>
  <c r="DV141" i="52"/>
  <c r="DQ132" i="52"/>
  <c r="DR128" i="52" s="1"/>
  <c r="DQ130" i="52"/>
  <c r="DP133" i="52"/>
  <c r="DO135" i="52"/>
  <c r="DO204" i="52"/>
  <c r="DP200" i="52" s="1"/>
  <c r="DO202" i="52"/>
  <c r="DN216" i="52"/>
  <c r="DN205" i="52"/>
  <c r="DM217" i="52"/>
  <c r="DM207" i="52"/>
  <c r="DM219" i="52" s="1"/>
  <c r="DQ169" i="52"/>
  <c r="DQ214" i="52"/>
  <c r="DT111" i="52"/>
  <c r="DT112" i="52"/>
  <c r="DT113" i="52"/>
  <c r="DT148" i="52"/>
  <c r="DT147" i="52"/>
  <c r="DT149" i="52" s="1"/>
  <c r="DT160" i="52" s="1"/>
  <c r="DU149" i="52"/>
  <c r="DW103" i="52"/>
  <c r="DW175" i="52"/>
  <c r="DS130" i="53"/>
  <c r="DS132" i="53"/>
  <c r="DT128" i="53" s="1"/>
  <c r="DQ135" i="53"/>
  <c r="DT166" i="52"/>
  <c r="DT168" i="52"/>
  <c r="DU164" i="52" s="1"/>
  <c r="DR171" i="52"/>
  <c r="DU159" i="53" l="1"/>
  <c r="DX194" i="53"/>
  <c r="DX158" i="53"/>
  <c r="DX122" i="53"/>
  <c r="DV159" i="52"/>
  <c r="DY194" i="52"/>
  <c r="DY158" i="52"/>
  <c r="DY122" i="52"/>
  <c r="DS160" i="52"/>
  <c r="DS212" i="52"/>
  <c r="DU185" i="53"/>
  <c r="DU149" i="53"/>
  <c r="DU212" i="53" s="1"/>
  <c r="DU196" i="53"/>
  <c r="DW141" i="53"/>
  <c r="DW145" i="53" s="1"/>
  <c r="DW146" i="53"/>
  <c r="DW151" i="53"/>
  <c r="DW154" i="53"/>
  <c r="DW156" i="53"/>
  <c r="DW115" i="53"/>
  <c r="DW118" i="53"/>
  <c r="DW120" i="53"/>
  <c r="DW187" i="53"/>
  <c r="DW190" i="53"/>
  <c r="DW192" i="53"/>
  <c r="DW182" i="53"/>
  <c r="DW177" i="53"/>
  <c r="DW181" i="53" s="1"/>
  <c r="DW210" i="53"/>
  <c r="DW105" i="53"/>
  <c r="DW109" i="53" s="1"/>
  <c r="DW110" i="53"/>
  <c r="DY6" i="53"/>
  <c r="DX167" i="53"/>
  <c r="DX163" i="53"/>
  <c r="DX165" i="53" s="1"/>
  <c r="DX157" i="53"/>
  <c r="DX144" i="53"/>
  <c r="DX143" i="53"/>
  <c r="DX142" i="53"/>
  <c r="DX140" i="53"/>
  <c r="DX138" i="53"/>
  <c r="DX131" i="53"/>
  <c r="DX127" i="53"/>
  <c r="DX129" i="53" s="1"/>
  <c r="DX193" i="53"/>
  <c r="DX117" i="53"/>
  <c r="DX189" i="53"/>
  <c r="DX179" i="53"/>
  <c r="DX114" i="53"/>
  <c r="DX174" i="53"/>
  <c r="DX104" i="53"/>
  <c r="DX7" i="53"/>
  <c r="DX203" i="53"/>
  <c r="DX199" i="53"/>
  <c r="DX201" i="53" s="1"/>
  <c r="DX178" i="53"/>
  <c r="DX153" i="53"/>
  <c r="DX186" i="53"/>
  <c r="DX106" i="53"/>
  <c r="DX121" i="53"/>
  <c r="DX107" i="53"/>
  <c r="DX176" i="53"/>
  <c r="DX102" i="53"/>
  <c r="DX180" i="53"/>
  <c r="DX150" i="53"/>
  <c r="DX108" i="53"/>
  <c r="DV146" i="53"/>
  <c r="DV141" i="53"/>
  <c r="DV177" i="53"/>
  <c r="DV182" i="53"/>
  <c r="DV126" i="53"/>
  <c r="DV116" i="53"/>
  <c r="DV119" i="53"/>
  <c r="DV198" i="53"/>
  <c r="DV188" i="53"/>
  <c r="DV195" i="53" s="1"/>
  <c r="DV191" i="53"/>
  <c r="DV162" i="53"/>
  <c r="DV152" i="53"/>
  <c r="DV155" i="53"/>
  <c r="DV105" i="53"/>
  <c r="DV110" i="53"/>
  <c r="DV210" i="53"/>
  <c r="DU124" i="53"/>
  <c r="DT147" i="53"/>
  <c r="DT148" i="53"/>
  <c r="DT211" i="53"/>
  <c r="DT112" i="53"/>
  <c r="DT111" i="53"/>
  <c r="DT184" i="53"/>
  <c r="DT183" i="53"/>
  <c r="DT185" i="53" s="1"/>
  <c r="DT196" i="53" s="1"/>
  <c r="DR212" i="53"/>
  <c r="DR124" i="53"/>
  <c r="DS214" i="53"/>
  <c r="DT213" i="53"/>
  <c r="DO171" i="53"/>
  <c r="DP169" i="53"/>
  <c r="DQ166" i="53"/>
  <c r="DQ168" i="53"/>
  <c r="DR164" i="53" s="1"/>
  <c r="DM217" i="53"/>
  <c r="DM207" i="53"/>
  <c r="DO204" i="53"/>
  <c r="DP200" i="53" s="1"/>
  <c r="DO202" i="53"/>
  <c r="DN216" i="53"/>
  <c r="DN205" i="53"/>
  <c r="DU212" i="52"/>
  <c r="DU196" i="52"/>
  <c r="DV181" i="52"/>
  <c r="DV109" i="52"/>
  <c r="DW126" i="52"/>
  <c r="DW116" i="52"/>
  <c r="DW123" i="52" s="1"/>
  <c r="DW119" i="52"/>
  <c r="DW198" i="52"/>
  <c r="DW191" i="52"/>
  <c r="DW188" i="52"/>
  <c r="DW195" i="52" s="1"/>
  <c r="DW147" i="52"/>
  <c r="DW148" i="52"/>
  <c r="DX192" i="52"/>
  <c r="DX190" i="52"/>
  <c r="DX187" i="52"/>
  <c r="DX115" i="52"/>
  <c r="DX120" i="52"/>
  <c r="DX118" i="52"/>
  <c r="DX151" i="52"/>
  <c r="DX154" i="52"/>
  <c r="DX156" i="52"/>
  <c r="DY102" i="52"/>
  <c r="DY180" i="52"/>
  <c r="DY140" i="52"/>
  <c r="DY193" i="52"/>
  <c r="DY179" i="52"/>
  <c r="DY189" i="52"/>
  <c r="DY114" i="52"/>
  <c r="DY174" i="52"/>
  <c r="DY143" i="52"/>
  <c r="DY104" i="52"/>
  <c r="DY186" i="52"/>
  <c r="DY106" i="52"/>
  <c r="DY7" i="52"/>
  <c r="DY108" i="52"/>
  <c r="DY144" i="52"/>
  <c r="DY203" i="52"/>
  <c r="DY176" i="52"/>
  <c r="DY199" i="52"/>
  <c r="DY201" i="52" s="1"/>
  <c r="DY178" i="52"/>
  <c r="DY107" i="52"/>
  <c r="DY142" i="52"/>
  <c r="DY117" i="52"/>
  <c r="DY138" i="52"/>
  <c r="DY139" i="52" s="1"/>
  <c r="DY163" i="52"/>
  <c r="DY165" i="52" s="1"/>
  <c r="DY167" i="52"/>
  <c r="DY127" i="52"/>
  <c r="DY129" i="52" s="1"/>
  <c r="DY131" i="52"/>
  <c r="DZ6" i="52"/>
  <c r="DY121" i="52"/>
  <c r="DY150" i="52"/>
  <c r="DY153" i="52"/>
  <c r="DY157" i="52"/>
  <c r="DX139" i="52"/>
  <c r="DW162" i="52"/>
  <c r="DW152" i="52"/>
  <c r="DW155" i="52"/>
  <c r="DV145" i="52"/>
  <c r="DU213" i="52"/>
  <c r="DR132" i="52"/>
  <c r="DS128" i="52" s="1"/>
  <c r="DR130" i="52"/>
  <c r="DQ133" i="52"/>
  <c r="DP135" i="52"/>
  <c r="DP204" i="52"/>
  <c r="DQ200" i="52" s="1"/>
  <c r="DP202" i="52"/>
  <c r="DO216" i="52"/>
  <c r="DO205" i="52"/>
  <c r="DN217" i="52"/>
  <c r="DN207" i="52"/>
  <c r="DN219" i="52" s="1"/>
  <c r="DQ171" i="52"/>
  <c r="DT124" i="52"/>
  <c r="DW105" i="52"/>
  <c r="DW110" i="52"/>
  <c r="DW210" i="52"/>
  <c r="DW177" i="52"/>
  <c r="DW182" i="52"/>
  <c r="DU160" i="52"/>
  <c r="DX175" i="52"/>
  <c r="DX103" i="52"/>
  <c r="DS133" i="53"/>
  <c r="DT130" i="53"/>
  <c r="DT132" i="53"/>
  <c r="DU128" i="53" s="1"/>
  <c r="DU166" i="52"/>
  <c r="DU168" i="52"/>
  <c r="DV164" i="52" s="1"/>
  <c r="DT169" i="52"/>
  <c r="DV123" i="53" l="1"/>
  <c r="DV159" i="53"/>
  <c r="DY194" i="53"/>
  <c r="DY158" i="53"/>
  <c r="DY122" i="53"/>
  <c r="DW159" i="52"/>
  <c r="DZ194" i="52"/>
  <c r="DZ158" i="52"/>
  <c r="DZ122" i="52"/>
  <c r="DS169" i="52"/>
  <c r="DS171" i="52" s="1"/>
  <c r="DS214" i="52"/>
  <c r="DT113" i="53"/>
  <c r="DT124" i="53" s="1"/>
  <c r="DT133" i="53" s="1"/>
  <c r="DW148" i="53"/>
  <c r="DW147" i="53"/>
  <c r="DW162" i="53"/>
  <c r="DW152" i="53"/>
  <c r="DW155" i="53"/>
  <c r="DW126" i="53"/>
  <c r="DW116" i="53"/>
  <c r="DW119" i="53"/>
  <c r="DW198" i="53"/>
  <c r="DW188" i="53"/>
  <c r="DW191" i="53"/>
  <c r="DW184" i="53"/>
  <c r="DW183" i="53"/>
  <c r="DW211" i="53"/>
  <c r="DW111" i="53"/>
  <c r="DW112" i="53"/>
  <c r="DZ6" i="53"/>
  <c r="DY167" i="53"/>
  <c r="DY163" i="53"/>
  <c r="DY165" i="53" s="1"/>
  <c r="DY157" i="53"/>
  <c r="DY144" i="53"/>
  <c r="DY143" i="53"/>
  <c r="DY142" i="53"/>
  <c r="DY140" i="53"/>
  <c r="DY138" i="53"/>
  <c r="DY131" i="53"/>
  <c r="DY127" i="53"/>
  <c r="DY129" i="53" s="1"/>
  <c r="DY104" i="53"/>
  <c r="DY117" i="53"/>
  <c r="DY150" i="53"/>
  <c r="DY180" i="53"/>
  <c r="DY102" i="53"/>
  <c r="DY176" i="53"/>
  <c r="DY153" i="53"/>
  <c r="DY178" i="53"/>
  <c r="DY107" i="53"/>
  <c r="DY186" i="53"/>
  <c r="DY121" i="53"/>
  <c r="DY199" i="53"/>
  <c r="DY201" i="53" s="1"/>
  <c r="DY7" i="53"/>
  <c r="DY106" i="53"/>
  <c r="DY114" i="53"/>
  <c r="DY179" i="53"/>
  <c r="DY203" i="53"/>
  <c r="DY174" i="53"/>
  <c r="DY175" i="53" s="1"/>
  <c r="DY108" i="53"/>
  <c r="DY189" i="53"/>
  <c r="DY193" i="53"/>
  <c r="DX139" i="53"/>
  <c r="DX115" i="53"/>
  <c r="DX118" i="53"/>
  <c r="DX120" i="53"/>
  <c r="DX175" i="53"/>
  <c r="DX187" i="53"/>
  <c r="DX190" i="53"/>
  <c r="DX192" i="53"/>
  <c r="DX103" i="53"/>
  <c r="DX151" i="53"/>
  <c r="DX154" i="53"/>
  <c r="DX156" i="53"/>
  <c r="DV145" i="53"/>
  <c r="DV181" i="53"/>
  <c r="DV109" i="53"/>
  <c r="DU213" i="53"/>
  <c r="DU160" i="53"/>
  <c r="DU214" i="53" s="1"/>
  <c r="DR133" i="53"/>
  <c r="DR135" i="53" s="1"/>
  <c r="DR214" i="53"/>
  <c r="DT149" i="53"/>
  <c r="DP171" i="53"/>
  <c r="DQ169" i="53"/>
  <c r="DR168" i="53"/>
  <c r="DS164" i="53" s="1"/>
  <c r="DR166" i="53"/>
  <c r="DM219" i="53"/>
  <c r="DP204" i="53"/>
  <c r="DQ200" i="53" s="1"/>
  <c r="DP202" i="53"/>
  <c r="DO216" i="53"/>
  <c r="DO205" i="53"/>
  <c r="DN217" i="53"/>
  <c r="DN207" i="53"/>
  <c r="DU214" i="52"/>
  <c r="DU169" i="52"/>
  <c r="DU171" i="52" s="1"/>
  <c r="DV184" i="52"/>
  <c r="DV183" i="52"/>
  <c r="DV185" i="52" s="1"/>
  <c r="DV196" i="52" s="1"/>
  <c r="DV211" i="52"/>
  <c r="DV112" i="52"/>
  <c r="DV111" i="52"/>
  <c r="DV113" i="52" s="1"/>
  <c r="DV213" i="52"/>
  <c r="DX198" i="52"/>
  <c r="DX191" i="52"/>
  <c r="DX188" i="52"/>
  <c r="DX195" i="52" s="1"/>
  <c r="DX126" i="52"/>
  <c r="DX119" i="52"/>
  <c r="DX116" i="52"/>
  <c r="DX123" i="52" s="1"/>
  <c r="DX162" i="52"/>
  <c r="DX155" i="52"/>
  <c r="DX152" i="52"/>
  <c r="DX159" i="52" s="1"/>
  <c r="DY120" i="52"/>
  <c r="DY118" i="52"/>
  <c r="DY115" i="52"/>
  <c r="DY192" i="52"/>
  <c r="DY190" i="52"/>
  <c r="DY187" i="52"/>
  <c r="DY146" i="52"/>
  <c r="DY141" i="52"/>
  <c r="DY145" i="52" s="1"/>
  <c r="DZ106" i="52"/>
  <c r="DZ174" i="52"/>
  <c r="DZ142" i="52"/>
  <c r="DZ108" i="52"/>
  <c r="DZ186" i="52"/>
  <c r="DZ144" i="52"/>
  <c r="DZ203" i="52"/>
  <c r="DZ199" i="52"/>
  <c r="DZ201" i="52" s="1"/>
  <c r="DZ176" i="52"/>
  <c r="DZ178" i="52"/>
  <c r="DZ193" i="52"/>
  <c r="DZ7" i="52"/>
  <c r="DZ114" i="52"/>
  <c r="DZ104" i="52"/>
  <c r="DZ143" i="52"/>
  <c r="DZ179" i="52"/>
  <c r="DZ189" i="52"/>
  <c r="DZ140" i="52"/>
  <c r="DZ107" i="52"/>
  <c r="DZ180" i="52"/>
  <c r="DZ102" i="52"/>
  <c r="DZ121" i="52"/>
  <c r="DZ150" i="52"/>
  <c r="DZ153" i="52"/>
  <c r="DZ157" i="52"/>
  <c r="EA6" i="52"/>
  <c r="DZ117" i="52"/>
  <c r="DZ127" i="52"/>
  <c r="DZ129" i="52" s="1"/>
  <c r="DZ138" i="52"/>
  <c r="DZ163" i="52"/>
  <c r="DZ165" i="52" s="1"/>
  <c r="DZ167" i="52"/>
  <c r="DZ131" i="52"/>
  <c r="DY151" i="52"/>
  <c r="DY156" i="52"/>
  <c r="DY154" i="52"/>
  <c r="DX146" i="52"/>
  <c r="DX141" i="52"/>
  <c r="DV147" i="52"/>
  <c r="DV148" i="52"/>
  <c r="DS132" i="52"/>
  <c r="DT128" i="52" s="1"/>
  <c r="DS130" i="52"/>
  <c r="DR133" i="52"/>
  <c r="DQ135" i="52"/>
  <c r="DQ204" i="52"/>
  <c r="DR200" i="52" s="1"/>
  <c r="DQ202" i="52"/>
  <c r="DP216" i="52"/>
  <c r="DP205" i="52"/>
  <c r="DO217" i="52"/>
  <c r="DO207" i="52"/>
  <c r="DO219" i="52" s="1"/>
  <c r="DX177" i="52"/>
  <c r="DX182" i="52"/>
  <c r="DX105" i="52"/>
  <c r="DX110" i="52"/>
  <c r="DX210" i="52"/>
  <c r="DW149" i="52"/>
  <c r="DY103" i="52"/>
  <c r="DY175" i="52"/>
  <c r="DW109" i="52"/>
  <c r="DW181" i="52"/>
  <c r="DS135" i="53"/>
  <c r="DU130" i="53"/>
  <c r="DU132" i="53"/>
  <c r="DV128" i="53" s="1"/>
  <c r="DV166" i="52"/>
  <c r="DV168" i="52"/>
  <c r="DW164" i="52" s="1"/>
  <c r="DT171" i="52"/>
  <c r="DW149" i="53" l="1"/>
  <c r="DW159" i="53"/>
  <c r="DW195" i="53"/>
  <c r="DW185" i="53"/>
  <c r="DW123" i="53"/>
  <c r="DZ194" i="53"/>
  <c r="DZ158" i="53"/>
  <c r="DZ122" i="53"/>
  <c r="EA194" i="52"/>
  <c r="EA158" i="52"/>
  <c r="EA122" i="52"/>
  <c r="DW113" i="53"/>
  <c r="DW212" i="53"/>
  <c r="DW124" i="53"/>
  <c r="DZ199" i="53"/>
  <c r="DZ201" i="53" s="1"/>
  <c r="DZ193" i="53"/>
  <c r="EA6" i="53"/>
  <c r="DZ167" i="53"/>
  <c r="DZ163" i="53"/>
  <c r="DZ165" i="53" s="1"/>
  <c r="DZ157" i="53"/>
  <c r="DZ144" i="53"/>
  <c r="DZ143" i="53"/>
  <c r="DZ142" i="53"/>
  <c r="DZ140" i="53"/>
  <c r="DZ138" i="53"/>
  <c r="DZ131" i="53"/>
  <c r="DZ127" i="53"/>
  <c r="DZ129" i="53" s="1"/>
  <c r="DZ117" i="53"/>
  <c r="DZ106" i="53"/>
  <c r="DZ189" i="53"/>
  <c r="DZ174" i="53"/>
  <c r="DZ203" i="53"/>
  <c r="DZ121" i="53"/>
  <c r="DZ178" i="53"/>
  <c r="DZ102" i="53"/>
  <c r="DZ176" i="53"/>
  <c r="DZ180" i="53"/>
  <c r="DZ153" i="53"/>
  <c r="DZ150" i="53"/>
  <c r="DZ107" i="53"/>
  <c r="DZ7" i="53"/>
  <c r="DZ114" i="53"/>
  <c r="DZ104" i="53"/>
  <c r="DZ108" i="53"/>
  <c r="DZ179" i="53"/>
  <c r="DZ186" i="53"/>
  <c r="DY156" i="53"/>
  <c r="DY154" i="53"/>
  <c r="DY151" i="53"/>
  <c r="DY192" i="53"/>
  <c r="DY187" i="53"/>
  <c r="DY190" i="53"/>
  <c r="DY115" i="53"/>
  <c r="DY120" i="53"/>
  <c r="DY118" i="53"/>
  <c r="DY177" i="53"/>
  <c r="DY181" i="53" s="1"/>
  <c r="DY182" i="53"/>
  <c r="DX141" i="53"/>
  <c r="DX146" i="53"/>
  <c r="DX126" i="53"/>
  <c r="DX116" i="53"/>
  <c r="DX123" i="53" s="1"/>
  <c r="DX119" i="53"/>
  <c r="DX177" i="53"/>
  <c r="DX182" i="53"/>
  <c r="DX198" i="53"/>
  <c r="DX191" i="53"/>
  <c r="DX188" i="53"/>
  <c r="DX195" i="53" s="1"/>
  <c r="DX110" i="53"/>
  <c r="DX210" i="53"/>
  <c r="DX105" i="53"/>
  <c r="DX162" i="53"/>
  <c r="DX152" i="53"/>
  <c r="DX159" i="53" s="1"/>
  <c r="DX155" i="53"/>
  <c r="DV148" i="53"/>
  <c r="DV147" i="53"/>
  <c r="DV183" i="53"/>
  <c r="DV184" i="53"/>
  <c r="DV112" i="53"/>
  <c r="DV111" i="53"/>
  <c r="DV113" i="53" s="1"/>
  <c r="DV211" i="53"/>
  <c r="DY139" i="53"/>
  <c r="DY103" i="53"/>
  <c r="DV213" i="53"/>
  <c r="DT160" i="53"/>
  <c r="DT214" i="53" s="1"/>
  <c r="DT212" i="53"/>
  <c r="DQ171" i="53"/>
  <c r="DS168" i="53"/>
  <c r="DT164" i="53" s="1"/>
  <c r="DS166" i="53"/>
  <c r="DR169" i="53"/>
  <c r="DQ204" i="53"/>
  <c r="DR200" i="53" s="1"/>
  <c r="DQ202" i="53"/>
  <c r="DP216" i="53"/>
  <c r="DP205" i="53"/>
  <c r="DO217" i="53"/>
  <c r="DO207" i="53"/>
  <c r="DN219" i="53"/>
  <c r="DW160" i="52"/>
  <c r="DV124" i="52"/>
  <c r="DY126" i="52"/>
  <c r="DY116" i="52"/>
  <c r="DY119" i="52"/>
  <c r="DY198" i="52"/>
  <c r="DY191" i="52"/>
  <c r="DY188" i="52"/>
  <c r="DY195" i="52" s="1"/>
  <c r="DY147" i="52"/>
  <c r="DY148" i="52"/>
  <c r="DZ192" i="52"/>
  <c r="DZ190" i="52"/>
  <c r="DZ187" i="52"/>
  <c r="DZ120" i="52"/>
  <c r="DZ115" i="52"/>
  <c r="DZ118" i="52"/>
  <c r="DZ156" i="52"/>
  <c r="DZ151" i="52"/>
  <c r="DZ154" i="52"/>
  <c r="EA106" i="52"/>
  <c r="EA102" i="52"/>
  <c r="EA103" i="52" s="1"/>
  <c r="EA178" i="52"/>
  <c r="EA180" i="52"/>
  <c r="EA176" i="52"/>
  <c r="EA193" i="52"/>
  <c r="EA140" i="52"/>
  <c r="EA199" i="52"/>
  <c r="EA201" i="52" s="1"/>
  <c r="EA186" i="52"/>
  <c r="EA189" i="52"/>
  <c r="EA179" i="52"/>
  <c r="EA144" i="52"/>
  <c r="EA107" i="52"/>
  <c r="EA203" i="52"/>
  <c r="EA142" i="52"/>
  <c r="EA108" i="52"/>
  <c r="EA174" i="52"/>
  <c r="EA175" i="52" s="1"/>
  <c r="EA104" i="52"/>
  <c r="EA114" i="52"/>
  <c r="EA7" i="52"/>
  <c r="EA143" i="52"/>
  <c r="EA117" i="52"/>
  <c r="EA127" i="52"/>
  <c r="EA129" i="52" s="1"/>
  <c r="EA138" i="52"/>
  <c r="EA139" i="52" s="1"/>
  <c r="EA163" i="52"/>
  <c r="EA165" i="52" s="1"/>
  <c r="EA167" i="52"/>
  <c r="EA131" i="52"/>
  <c r="EB6" i="52"/>
  <c r="EA121" i="52"/>
  <c r="EA150" i="52"/>
  <c r="EA153" i="52"/>
  <c r="EA157" i="52"/>
  <c r="DZ139" i="52"/>
  <c r="DY162" i="52"/>
  <c r="DY155" i="52"/>
  <c r="DY152" i="52"/>
  <c r="DY159" i="52" s="1"/>
  <c r="DX145" i="52"/>
  <c r="DT132" i="52"/>
  <c r="DU128" i="52" s="1"/>
  <c r="DT130" i="52"/>
  <c r="DS133" i="52"/>
  <c r="DR135" i="52"/>
  <c r="DR204" i="52"/>
  <c r="DS200" i="52" s="1"/>
  <c r="DR202" i="52"/>
  <c r="DQ216" i="52"/>
  <c r="DQ205" i="52"/>
  <c r="DP217" i="52"/>
  <c r="DP207" i="52"/>
  <c r="DP219" i="52" s="1"/>
  <c r="DY105" i="52"/>
  <c r="DY109" i="52" s="1"/>
  <c r="DY110" i="52"/>
  <c r="DY210" i="52"/>
  <c r="DY177" i="52"/>
  <c r="DY181" i="52" s="1"/>
  <c r="DY182" i="52"/>
  <c r="DW111" i="52"/>
  <c r="DW112" i="52"/>
  <c r="DW113" i="52"/>
  <c r="DW211" i="52"/>
  <c r="DW183" i="52"/>
  <c r="DW184" i="52"/>
  <c r="DW185" i="52"/>
  <c r="DW196" i="52" s="1"/>
  <c r="DV149" i="52"/>
  <c r="DZ175" i="52"/>
  <c r="DZ103" i="52"/>
  <c r="DX181" i="52"/>
  <c r="DX109" i="52"/>
  <c r="DW213" i="52"/>
  <c r="DT135" i="53"/>
  <c r="DU133" i="53"/>
  <c r="DV132" i="53"/>
  <c r="DW128" i="53" s="1"/>
  <c r="DV130" i="53"/>
  <c r="DW166" i="52"/>
  <c r="DW168" i="52"/>
  <c r="DX164" i="52" s="1"/>
  <c r="EA194" i="53" l="1"/>
  <c r="EA158" i="53"/>
  <c r="EA122" i="53"/>
  <c r="DY123" i="52"/>
  <c r="EB194" i="52"/>
  <c r="EB158" i="52"/>
  <c r="EB122" i="52"/>
  <c r="DX213" i="52"/>
  <c r="DW160" i="53"/>
  <c r="EB6" i="53"/>
  <c r="EA157" i="53"/>
  <c r="EA186" i="53"/>
  <c r="EA174" i="53"/>
  <c r="EA175" i="53" s="1"/>
  <c r="EA121" i="53"/>
  <c r="EA108" i="53"/>
  <c r="EA178" i="53"/>
  <c r="EA7" i="53"/>
  <c r="EA150" i="53"/>
  <c r="EA189" i="53"/>
  <c r="EA167" i="53"/>
  <c r="EA163" i="53"/>
  <c r="EA165" i="53" s="1"/>
  <c r="EA144" i="53"/>
  <c r="EA143" i="53"/>
  <c r="EA142" i="53"/>
  <c r="EA140" i="53"/>
  <c r="EA138" i="53"/>
  <c r="EA139" i="53" s="1"/>
  <c r="EA131" i="53"/>
  <c r="EA127" i="53"/>
  <c r="EA129" i="53" s="1"/>
  <c r="EA176" i="53"/>
  <c r="EA106" i="53"/>
  <c r="EA193" i="53"/>
  <c r="EA199" i="53"/>
  <c r="EA201" i="53" s="1"/>
  <c r="EA102" i="53"/>
  <c r="EA103" i="53" s="1"/>
  <c r="EA114" i="53"/>
  <c r="EA203" i="53"/>
  <c r="EA179" i="53"/>
  <c r="EA104" i="53"/>
  <c r="EA117" i="53"/>
  <c r="EA180" i="53"/>
  <c r="EA107" i="53"/>
  <c r="EA153" i="53"/>
  <c r="DZ175" i="53"/>
  <c r="DZ154" i="53"/>
  <c r="DZ151" i="53"/>
  <c r="DZ156" i="53"/>
  <c r="DZ115" i="53"/>
  <c r="DZ120" i="53"/>
  <c r="DZ118" i="53"/>
  <c r="DZ190" i="53"/>
  <c r="DZ187" i="53"/>
  <c r="DZ192" i="53"/>
  <c r="DY162" i="53"/>
  <c r="DY155" i="53"/>
  <c r="DY152" i="53"/>
  <c r="DY159" i="53" s="1"/>
  <c r="DY198" i="53"/>
  <c r="DY188" i="53"/>
  <c r="DY195" i="53" s="1"/>
  <c r="DY191" i="53"/>
  <c r="DY126" i="53"/>
  <c r="DY116" i="53"/>
  <c r="DY119" i="53"/>
  <c r="DY183" i="53"/>
  <c r="DY184" i="53"/>
  <c r="DX145" i="53"/>
  <c r="DX181" i="53"/>
  <c r="DX109" i="53"/>
  <c r="DV124" i="53"/>
  <c r="DV133" i="53" s="1"/>
  <c r="DW196" i="53"/>
  <c r="DY146" i="53"/>
  <c r="DY141" i="53"/>
  <c r="DY105" i="53"/>
  <c r="DY110" i="53"/>
  <c r="DY210" i="53"/>
  <c r="DV149" i="53"/>
  <c r="DV185" i="53"/>
  <c r="DV196" i="53" s="1"/>
  <c r="DW213" i="53"/>
  <c r="DZ139" i="53"/>
  <c r="DZ103" i="53"/>
  <c r="DT168" i="53"/>
  <c r="DU164" i="53" s="1"/>
  <c r="DT166" i="53"/>
  <c r="DS169" i="53"/>
  <c r="DR171" i="53"/>
  <c r="DR204" i="53"/>
  <c r="DS200" i="53" s="1"/>
  <c r="DR202" i="53"/>
  <c r="DQ216" i="53"/>
  <c r="DQ205" i="53"/>
  <c r="DP217" i="53"/>
  <c r="DP207" i="53"/>
  <c r="DO219" i="53"/>
  <c r="DZ198" i="52"/>
  <c r="DZ191" i="52"/>
  <c r="DZ188" i="52"/>
  <c r="DZ195" i="52" s="1"/>
  <c r="DZ126" i="52"/>
  <c r="DZ119" i="52"/>
  <c r="DZ116" i="52"/>
  <c r="DZ123" i="52" s="1"/>
  <c r="DZ162" i="52"/>
  <c r="DZ155" i="52"/>
  <c r="DZ152" i="52"/>
  <c r="DZ159" i="52" s="1"/>
  <c r="EA210" i="52"/>
  <c r="EA110" i="52"/>
  <c r="EA105" i="52"/>
  <c r="EA109" i="52" s="1"/>
  <c r="EA192" i="52"/>
  <c r="EA190" i="52"/>
  <c r="EA187" i="52"/>
  <c r="EA182" i="52"/>
  <c r="EA177" i="52"/>
  <c r="EA181" i="52" s="1"/>
  <c r="EA118" i="52"/>
  <c r="EA115" i="52"/>
  <c r="EA120" i="52"/>
  <c r="EA146" i="52"/>
  <c r="EA141" i="52"/>
  <c r="EA145" i="52" s="1"/>
  <c r="EB142" i="52"/>
  <c r="EB203" i="52"/>
  <c r="EB143" i="52"/>
  <c r="EB107" i="52"/>
  <c r="EB193" i="52"/>
  <c r="EB189" i="52"/>
  <c r="EB180" i="52"/>
  <c r="EB140" i="52"/>
  <c r="EB179" i="52"/>
  <c r="EB104" i="52"/>
  <c r="EB7" i="52"/>
  <c r="EB114" i="52"/>
  <c r="EB106" i="52"/>
  <c r="EB108" i="52"/>
  <c r="EB174" i="52"/>
  <c r="EB144" i="52"/>
  <c r="EB199" i="52"/>
  <c r="EB201" i="52" s="1"/>
  <c r="EB186" i="52"/>
  <c r="EB102" i="52"/>
  <c r="EB178" i="52"/>
  <c r="EB176" i="52"/>
  <c r="EB121" i="52"/>
  <c r="EB150" i="52"/>
  <c r="EB153" i="52"/>
  <c r="EB157" i="52"/>
  <c r="EC6" i="52"/>
  <c r="EB127" i="52"/>
  <c r="EB129" i="52" s="1"/>
  <c r="EB163" i="52"/>
  <c r="EB165" i="52" s="1"/>
  <c r="EB167" i="52"/>
  <c r="EB117" i="52"/>
  <c r="EB131" i="52"/>
  <c r="EB138" i="52"/>
  <c r="EA154" i="52"/>
  <c r="EA156" i="52"/>
  <c r="EA151" i="52"/>
  <c r="DZ146" i="52"/>
  <c r="DZ141" i="52"/>
  <c r="DX147" i="52"/>
  <c r="DX148" i="52"/>
  <c r="DU132" i="52"/>
  <c r="DV128" i="52" s="1"/>
  <c r="DU130" i="52"/>
  <c r="DT133" i="52"/>
  <c r="DS135" i="52"/>
  <c r="DS204" i="52"/>
  <c r="DT200" i="52" s="1"/>
  <c r="DS202" i="52"/>
  <c r="DR216" i="52"/>
  <c r="DR205" i="52"/>
  <c r="DQ217" i="52"/>
  <c r="DQ207" i="52"/>
  <c r="DQ219" i="52" s="1"/>
  <c r="DY211" i="52"/>
  <c r="DY112" i="52"/>
  <c r="DY111" i="52"/>
  <c r="DY184" i="52"/>
  <c r="DY183" i="52"/>
  <c r="DY185" i="52" s="1"/>
  <c r="DW212" i="52"/>
  <c r="DW124" i="52"/>
  <c r="DW214" i="52" s="1"/>
  <c r="DZ177" i="52"/>
  <c r="DZ182" i="52"/>
  <c r="DZ105" i="52"/>
  <c r="DZ110" i="52"/>
  <c r="DZ210" i="52"/>
  <c r="DX183" i="52"/>
  <c r="DX184" i="52"/>
  <c r="DX185" i="52"/>
  <c r="DX196" i="52" s="1"/>
  <c r="DX111" i="52"/>
  <c r="DX112" i="52"/>
  <c r="DX113" i="52"/>
  <c r="DX211" i="52"/>
  <c r="DY149" i="52"/>
  <c r="DY160" i="52" s="1"/>
  <c r="DV160" i="52"/>
  <c r="DV212" i="52"/>
  <c r="DU135" i="53"/>
  <c r="DW132" i="53"/>
  <c r="DX128" i="53" s="1"/>
  <c r="DW130" i="53"/>
  <c r="DX166" i="52"/>
  <c r="DX168" i="52"/>
  <c r="DY164" i="52" s="1"/>
  <c r="DW169" i="52"/>
  <c r="DW171" i="52" s="1"/>
  <c r="DY123" i="53" l="1"/>
  <c r="EB194" i="53"/>
  <c r="EB158" i="53"/>
  <c r="EB122" i="53"/>
  <c r="EC194" i="52"/>
  <c r="EC158" i="52"/>
  <c r="EC122" i="52"/>
  <c r="DY113" i="52"/>
  <c r="DY196" i="52"/>
  <c r="DY185" i="53"/>
  <c r="DW214" i="53"/>
  <c r="EC6" i="53"/>
  <c r="EB167" i="53"/>
  <c r="EB163" i="53"/>
  <c r="EB165" i="53" s="1"/>
  <c r="EB157" i="53"/>
  <c r="EB144" i="53"/>
  <c r="EB143" i="53"/>
  <c r="EB142" i="53"/>
  <c r="EB140" i="53"/>
  <c r="EB138" i="53"/>
  <c r="EB131" i="53"/>
  <c r="EB127" i="53"/>
  <c r="EB129" i="53" s="1"/>
  <c r="EB106" i="53"/>
  <c r="EB153" i="53"/>
  <c r="EB176" i="53"/>
  <c r="EB102" i="53"/>
  <c r="EB150" i="53"/>
  <c r="EB178" i="53"/>
  <c r="EB107" i="53"/>
  <c r="EB199" i="53"/>
  <c r="EB201" i="53" s="1"/>
  <c r="EB180" i="53"/>
  <c r="EB108" i="53"/>
  <c r="EB104" i="53"/>
  <c r="EB121" i="53"/>
  <c r="EB117" i="53"/>
  <c r="EB193" i="53"/>
  <c r="EB179" i="53"/>
  <c r="EB174" i="53"/>
  <c r="EB186" i="53"/>
  <c r="EB203" i="53"/>
  <c r="EB114" i="53"/>
  <c r="EB7" i="53"/>
  <c r="EB189" i="53"/>
  <c r="EA187" i="53"/>
  <c r="EA190" i="53"/>
  <c r="EA192" i="53"/>
  <c r="EA182" i="53"/>
  <c r="EA177" i="53"/>
  <c r="EA181" i="53" s="1"/>
  <c r="EA151" i="53"/>
  <c r="EA154" i="53"/>
  <c r="EA156" i="53"/>
  <c r="EA141" i="53"/>
  <c r="EA145" i="53" s="1"/>
  <c r="EA146" i="53"/>
  <c r="EA105" i="53"/>
  <c r="EA109" i="53" s="1"/>
  <c r="EA110" i="53"/>
  <c r="EA210" i="53"/>
  <c r="EA115" i="53"/>
  <c r="EA118" i="53"/>
  <c r="EA120" i="53"/>
  <c r="DZ177" i="53"/>
  <c r="DZ182" i="53"/>
  <c r="DZ162" i="53"/>
  <c r="DZ152" i="53"/>
  <c r="DZ155" i="53"/>
  <c r="DZ126" i="53"/>
  <c r="DZ116" i="53"/>
  <c r="DZ119" i="53"/>
  <c r="DZ198" i="53"/>
  <c r="DZ188" i="53"/>
  <c r="DZ191" i="53"/>
  <c r="DX148" i="53"/>
  <c r="DX147" i="53"/>
  <c r="DX184" i="53"/>
  <c r="DX183" i="53"/>
  <c r="DX185" i="53" s="1"/>
  <c r="DX196" i="53" s="1"/>
  <c r="DX111" i="53"/>
  <c r="DX112" i="53"/>
  <c r="DX211" i="53"/>
  <c r="DZ146" i="53"/>
  <c r="DZ141" i="53"/>
  <c r="DZ145" i="53" s="1"/>
  <c r="DZ110" i="53"/>
  <c r="DZ105" i="53"/>
  <c r="DZ109" i="53" s="1"/>
  <c r="DZ210" i="53"/>
  <c r="DX213" i="53"/>
  <c r="DY145" i="53"/>
  <c r="DY109" i="53"/>
  <c r="DV160" i="53"/>
  <c r="DV214" i="53" s="1"/>
  <c r="DV212" i="53"/>
  <c r="DU168" i="53"/>
  <c r="DV164" i="53" s="1"/>
  <c r="DU166" i="53"/>
  <c r="DT169" i="53"/>
  <c r="DS171" i="53"/>
  <c r="DS204" i="53"/>
  <c r="DT200" i="53" s="1"/>
  <c r="DS202" i="53"/>
  <c r="DR216" i="53"/>
  <c r="DR205" i="53"/>
  <c r="DQ217" i="53"/>
  <c r="DQ207" i="53"/>
  <c r="DP219" i="53"/>
  <c r="DX149" i="52"/>
  <c r="DV214" i="52"/>
  <c r="DV169" i="52"/>
  <c r="DV171" i="52" s="1"/>
  <c r="EA211" i="52"/>
  <c r="EA112" i="52"/>
  <c r="EA111" i="52"/>
  <c r="EA198" i="52"/>
  <c r="EA191" i="52"/>
  <c r="EA188" i="52"/>
  <c r="EA195" i="52" s="1"/>
  <c r="EA184" i="52"/>
  <c r="EA183" i="52"/>
  <c r="EA185" i="52" s="1"/>
  <c r="EA126" i="52"/>
  <c r="EA119" i="52"/>
  <c r="EA116" i="52"/>
  <c r="EA123" i="52" s="1"/>
  <c r="EA147" i="52"/>
  <c r="EA148" i="52"/>
  <c r="EB118" i="52"/>
  <c r="EB120" i="52"/>
  <c r="EB115" i="52"/>
  <c r="EB175" i="52"/>
  <c r="EB192" i="52"/>
  <c r="EB190" i="52"/>
  <c r="EB187" i="52"/>
  <c r="EB103" i="52"/>
  <c r="EB151" i="52"/>
  <c r="EB154" i="52"/>
  <c r="EB156" i="52"/>
  <c r="EC106" i="52"/>
  <c r="EC107" i="52"/>
  <c r="EC203" i="52"/>
  <c r="EC193" i="52"/>
  <c r="EC114" i="52"/>
  <c r="EC144" i="52"/>
  <c r="EC199" i="52"/>
  <c r="EC201" i="52" s="1"/>
  <c r="EC178" i="52"/>
  <c r="EC108" i="52"/>
  <c r="EC186" i="52"/>
  <c r="EC143" i="52"/>
  <c r="EC104" i="52"/>
  <c r="EC180" i="52"/>
  <c r="EC189" i="52"/>
  <c r="EC140" i="52"/>
  <c r="EC7" i="52"/>
  <c r="EC179" i="52"/>
  <c r="EC142" i="52"/>
  <c r="EC102" i="52"/>
  <c r="EC176" i="52"/>
  <c r="EC174" i="52"/>
  <c r="EC163" i="52"/>
  <c r="EC165" i="52" s="1"/>
  <c r="EC167" i="52"/>
  <c r="EC117" i="52"/>
  <c r="EC127" i="52"/>
  <c r="EC129" i="52" s="1"/>
  <c r="EC131" i="52"/>
  <c r="ED6" i="52"/>
  <c r="EC121" i="52"/>
  <c r="EC138" i="52"/>
  <c r="EC150" i="52"/>
  <c r="EC153" i="52"/>
  <c r="EC157" i="52"/>
  <c r="EB139" i="52"/>
  <c r="EA162" i="52"/>
  <c r="EA155" i="52"/>
  <c r="EA152" i="52"/>
  <c r="EA159" i="52" s="1"/>
  <c r="DZ145" i="52"/>
  <c r="DV132" i="52"/>
  <c r="DW128" i="52" s="1"/>
  <c r="DV130" i="52"/>
  <c r="DU133" i="52"/>
  <c r="DT135" i="52"/>
  <c r="DT202" i="52"/>
  <c r="DT216" i="52" s="1"/>
  <c r="DT203" i="52"/>
  <c r="DT204" i="52" s="1"/>
  <c r="DU200" i="52" s="1"/>
  <c r="DS216" i="52"/>
  <c r="DS205" i="52"/>
  <c r="DR217" i="52"/>
  <c r="DR207" i="52"/>
  <c r="DR219" i="52" s="1"/>
  <c r="DZ181" i="52"/>
  <c r="DZ109" i="52"/>
  <c r="DX124" i="52"/>
  <c r="DY213" i="52"/>
  <c r="DX132" i="53"/>
  <c r="DY128" i="53" s="1"/>
  <c r="DX130" i="53"/>
  <c r="DW133" i="53"/>
  <c r="DV135" i="53"/>
  <c r="DY166" i="52"/>
  <c r="DY168" i="52"/>
  <c r="DZ164" i="52" s="1"/>
  <c r="DZ159" i="53" l="1"/>
  <c r="DZ123" i="53"/>
  <c r="DZ195" i="53"/>
  <c r="EC194" i="53"/>
  <c r="EC158" i="53"/>
  <c r="EC122" i="53"/>
  <c r="ED194" i="52"/>
  <c r="ED158" i="52"/>
  <c r="ED122" i="52"/>
  <c r="DY212" i="52"/>
  <c r="DY124" i="52"/>
  <c r="EA113" i="52"/>
  <c r="DY214" i="52"/>
  <c r="DX113" i="53"/>
  <c r="DX124" i="53" s="1"/>
  <c r="EC163" i="53"/>
  <c r="EC165" i="53" s="1"/>
  <c r="EC143" i="53"/>
  <c r="EC140" i="53"/>
  <c r="EC127" i="53"/>
  <c r="EC129" i="53" s="1"/>
  <c r="EC193" i="53"/>
  <c r="EC150" i="53"/>
  <c r="EC117" i="53"/>
  <c r="EC176" i="53"/>
  <c r="EC107" i="53"/>
  <c r="EC114" i="53"/>
  <c r="EC186" i="53"/>
  <c r="EC102" i="53"/>
  <c r="EC103" i="53" s="1"/>
  <c r="EC167" i="53"/>
  <c r="EC157" i="53"/>
  <c r="EC131" i="53"/>
  <c r="EC203" i="53"/>
  <c r="EC104" i="53"/>
  <c r="EC189" i="53"/>
  <c r="EC121" i="53"/>
  <c r="EC178" i="53"/>
  <c r="EC7" i="53"/>
  <c r="EC179" i="53"/>
  <c r="ED6" i="53"/>
  <c r="EC144" i="53"/>
  <c r="EC142" i="53"/>
  <c r="EC138" i="53"/>
  <c r="EC139" i="53" s="1"/>
  <c r="EC106" i="53"/>
  <c r="EC153" i="53"/>
  <c r="EC199" i="53"/>
  <c r="EC201" i="53" s="1"/>
  <c r="EC174" i="53"/>
  <c r="EC175" i="53" s="1"/>
  <c r="EC180" i="53"/>
  <c r="EC108" i="53"/>
  <c r="EB139" i="53"/>
  <c r="EB103" i="53"/>
  <c r="EB151" i="53"/>
  <c r="EB156" i="53"/>
  <c r="EB154" i="53"/>
  <c r="EB175" i="53"/>
  <c r="EB187" i="53"/>
  <c r="EB192" i="53"/>
  <c r="EB190" i="53"/>
  <c r="EB118" i="53"/>
  <c r="EB115" i="53"/>
  <c r="EB120" i="53"/>
  <c r="EA198" i="53"/>
  <c r="EA188" i="53"/>
  <c r="EA195" i="53" s="1"/>
  <c r="EA191" i="53"/>
  <c r="EA184" i="53"/>
  <c r="EA183" i="53"/>
  <c r="EA185" i="53" s="1"/>
  <c r="EA162" i="53"/>
  <c r="EA152" i="53"/>
  <c r="EA159" i="53" s="1"/>
  <c r="EA155" i="53"/>
  <c r="EA148" i="53"/>
  <c r="EA147" i="53"/>
  <c r="EA149" i="53" s="1"/>
  <c r="EA111" i="53"/>
  <c r="EA112" i="53"/>
  <c r="EA211" i="53"/>
  <c r="EA126" i="53"/>
  <c r="EA116" i="53"/>
  <c r="EA119" i="53"/>
  <c r="DZ181" i="53"/>
  <c r="DZ211" i="53" s="1"/>
  <c r="DY213" i="53"/>
  <c r="DZ147" i="53"/>
  <c r="DZ148" i="53"/>
  <c r="DZ111" i="53"/>
  <c r="DZ112" i="53"/>
  <c r="DY196" i="53"/>
  <c r="DY148" i="53"/>
  <c r="DY147" i="53"/>
  <c r="DY149" i="53" s="1"/>
  <c r="DY160" i="53" s="1"/>
  <c r="DY111" i="53"/>
  <c r="DY112" i="53"/>
  <c r="DY113" i="53"/>
  <c r="DY211" i="53"/>
  <c r="DX149" i="53"/>
  <c r="DV168" i="53"/>
  <c r="DW164" i="53" s="1"/>
  <c r="DV166" i="53"/>
  <c r="DU169" i="53"/>
  <c r="DT171" i="53"/>
  <c r="DT204" i="53"/>
  <c r="DU200" i="53" s="1"/>
  <c r="DT202" i="53"/>
  <c r="DS216" i="53"/>
  <c r="DS205" i="53"/>
  <c r="DR217" i="53"/>
  <c r="DR207" i="53"/>
  <c r="DQ219" i="53"/>
  <c r="EA149" i="52"/>
  <c r="DX160" i="52"/>
  <c r="DX212" i="52"/>
  <c r="EB126" i="52"/>
  <c r="EB119" i="52"/>
  <c r="EB116" i="52"/>
  <c r="EB123" i="52" s="1"/>
  <c r="EB182" i="52"/>
  <c r="EB177" i="52"/>
  <c r="EB198" i="52"/>
  <c r="EB191" i="52"/>
  <c r="EB188" i="52"/>
  <c r="EB195" i="52" s="1"/>
  <c r="EB210" i="52"/>
  <c r="EB110" i="52"/>
  <c r="EB105" i="52"/>
  <c r="EB162" i="52"/>
  <c r="EB155" i="52"/>
  <c r="EB152" i="52"/>
  <c r="EB159" i="52" s="1"/>
  <c r="EC120" i="52"/>
  <c r="EC115" i="52"/>
  <c r="EC118" i="52"/>
  <c r="EC192" i="52"/>
  <c r="EC190" i="52"/>
  <c r="EC187" i="52"/>
  <c r="ED142" i="52"/>
  <c r="ED102" i="52"/>
  <c r="ED106" i="52"/>
  <c r="ED7" i="52"/>
  <c r="ED140" i="52"/>
  <c r="ED189" i="52"/>
  <c r="ED108" i="52"/>
  <c r="ED180" i="52"/>
  <c r="ED143" i="52"/>
  <c r="ED104" i="52"/>
  <c r="ED186" i="52"/>
  <c r="ED174" i="52"/>
  <c r="ED178" i="52"/>
  <c r="ED179" i="52"/>
  <c r="ED144" i="52"/>
  <c r="ED199" i="52"/>
  <c r="ED201" i="52" s="1"/>
  <c r="ED114" i="52"/>
  <c r="ED193" i="52"/>
  <c r="ED203" i="52"/>
  <c r="ED107" i="52"/>
  <c r="ED176" i="52"/>
  <c r="ED121" i="52"/>
  <c r="ED150" i="52"/>
  <c r="ED153" i="52"/>
  <c r="ED157" i="52"/>
  <c r="EE6" i="52"/>
  <c r="ED138" i="52"/>
  <c r="ED139" i="52" s="1"/>
  <c r="ED163" i="52"/>
  <c r="ED165" i="52" s="1"/>
  <c r="ED167" i="52"/>
  <c r="ED117" i="52"/>
  <c r="ED127" i="52"/>
  <c r="ED129" i="52" s="1"/>
  <c r="ED131" i="52"/>
  <c r="EC154" i="52"/>
  <c r="EC156" i="52"/>
  <c r="EC151" i="52"/>
  <c r="EB141" i="52"/>
  <c r="EB146" i="52"/>
  <c r="DZ147" i="52"/>
  <c r="DZ148" i="52"/>
  <c r="DZ149" i="52" s="1"/>
  <c r="DZ160" i="52" s="1"/>
  <c r="DW132" i="52"/>
  <c r="DX128" i="52" s="1"/>
  <c r="DW130" i="52"/>
  <c r="DV133" i="52"/>
  <c r="DU135" i="52"/>
  <c r="DU204" i="52"/>
  <c r="DV200" i="52" s="1"/>
  <c r="DU202" i="52"/>
  <c r="DS217" i="52"/>
  <c r="DS207" i="52"/>
  <c r="DS219" i="52" s="1"/>
  <c r="DZ184" i="52"/>
  <c r="DZ183" i="52"/>
  <c r="DZ211" i="52"/>
  <c r="DZ112" i="52"/>
  <c r="DZ111" i="52"/>
  <c r="DZ113" i="52" s="1"/>
  <c r="DZ213" i="52"/>
  <c r="EA196" i="52"/>
  <c r="EC103" i="52"/>
  <c r="EC175" i="52"/>
  <c r="EC139" i="52"/>
  <c r="DY130" i="53"/>
  <c r="DY132" i="53"/>
  <c r="DZ128" i="53" s="1"/>
  <c r="DW135" i="53"/>
  <c r="DZ166" i="52"/>
  <c r="DZ168" i="52"/>
  <c r="EA164" i="52" s="1"/>
  <c r="DY169" i="52"/>
  <c r="DY171" i="52" s="1"/>
  <c r="EA123" i="53" l="1"/>
  <c r="ED194" i="53"/>
  <c r="ED158" i="53"/>
  <c r="ED122" i="53"/>
  <c r="EA212" i="52"/>
  <c r="EE194" i="52"/>
  <c r="EE158" i="52"/>
  <c r="EE122" i="52"/>
  <c r="EA124" i="52"/>
  <c r="DZ185" i="52"/>
  <c r="DX160" i="53"/>
  <c r="DX214" i="53" s="1"/>
  <c r="DX212" i="53"/>
  <c r="DZ149" i="53"/>
  <c r="DZ160" i="53" s="1"/>
  <c r="EC151" i="53"/>
  <c r="EC154" i="53"/>
  <c r="EC156" i="53"/>
  <c r="EC115" i="53"/>
  <c r="EC118" i="53"/>
  <c r="EC120" i="53"/>
  <c r="EC187" i="53"/>
  <c r="EC190" i="53"/>
  <c r="EC192" i="53"/>
  <c r="EC105" i="53"/>
  <c r="EC109" i="53" s="1"/>
  <c r="EC110" i="53"/>
  <c r="EE6" i="53"/>
  <c r="ED167" i="53"/>
  <c r="ED163" i="53"/>
  <c r="ED165" i="53" s="1"/>
  <c r="ED157" i="53"/>
  <c r="ED144" i="53"/>
  <c r="ED143" i="53"/>
  <c r="ED142" i="53"/>
  <c r="ED140" i="53"/>
  <c r="ED138" i="53"/>
  <c r="ED131" i="53"/>
  <c r="ED127" i="53"/>
  <c r="ED129" i="53" s="1"/>
  <c r="ED178" i="53"/>
  <c r="ED102" i="53"/>
  <c r="ED179" i="53"/>
  <c r="ED203" i="53"/>
  <c r="ED7" i="53"/>
  <c r="ED107" i="53"/>
  <c r="ED193" i="53"/>
  <c r="ED114" i="53"/>
  <c r="ED108" i="53"/>
  <c r="ED176" i="53"/>
  <c r="ED180" i="53"/>
  <c r="ED174" i="53"/>
  <c r="ED117" i="53"/>
  <c r="ED186" i="53"/>
  <c r="ED199" i="53"/>
  <c r="ED201" i="53" s="1"/>
  <c r="ED153" i="53"/>
  <c r="ED121" i="53"/>
  <c r="ED150" i="53"/>
  <c r="ED189" i="53"/>
  <c r="ED104" i="53"/>
  <c r="ED106" i="53"/>
  <c r="EC146" i="53"/>
  <c r="EC141" i="53"/>
  <c r="EC145" i="53" s="1"/>
  <c r="EC210" i="53"/>
  <c r="EC177" i="53"/>
  <c r="EC181" i="53" s="1"/>
  <c r="EC182" i="53"/>
  <c r="EB141" i="53"/>
  <c r="EB146" i="53"/>
  <c r="EB210" i="53"/>
  <c r="EB110" i="53"/>
  <c r="EB105" i="53"/>
  <c r="EB162" i="53"/>
  <c r="EB152" i="53"/>
  <c r="EB159" i="53" s="1"/>
  <c r="EB155" i="53"/>
  <c r="EB182" i="53"/>
  <c r="EB177" i="53"/>
  <c r="EB198" i="53"/>
  <c r="EB188" i="53"/>
  <c r="EB191" i="53"/>
  <c r="EB126" i="53"/>
  <c r="EB116" i="53"/>
  <c r="EB119" i="53"/>
  <c r="DZ183" i="53"/>
  <c r="DZ184" i="53"/>
  <c r="DY212" i="53"/>
  <c r="DY124" i="53"/>
  <c r="DZ113" i="53"/>
  <c r="DZ213" i="53"/>
  <c r="EA113" i="53"/>
  <c r="DX133" i="53"/>
  <c r="DX135" i="53" s="1"/>
  <c r="DW168" i="53"/>
  <c r="DX164" i="53" s="1"/>
  <c r="DW166" i="53"/>
  <c r="DV169" i="53"/>
  <c r="DU171" i="53"/>
  <c r="DU204" i="53"/>
  <c r="DV200" i="53" s="1"/>
  <c r="DU202" i="53"/>
  <c r="DT216" i="53"/>
  <c r="DT205" i="53"/>
  <c r="DS217" i="53"/>
  <c r="DS207" i="53"/>
  <c r="DR219" i="53"/>
  <c r="DX214" i="52"/>
  <c r="DX169" i="52"/>
  <c r="DX171" i="52" s="1"/>
  <c r="EB181" i="52"/>
  <c r="EB109" i="52"/>
  <c r="EC126" i="52"/>
  <c r="EC116" i="52"/>
  <c r="EC119" i="52"/>
  <c r="EC198" i="52"/>
  <c r="EC191" i="52"/>
  <c r="EC188" i="52"/>
  <c r="EC195" i="52" s="1"/>
  <c r="ED192" i="52"/>
  <c r="ED190" i="52"/>
  <c r="ED187" i="52"/>
  <c r="ED120" i="52"/>
  <c r="ED118" i="52"/>
  <c r="ED115" i="52"/>
  <c r="ED156" i="52"/>
  <c r="ED151" i="52"/>
  <c r="ED154" i="52"/>
  <c r="EE114" i="52"/>
  <c r="EE203" i="52"/>
  <c r="EE193" i="52"/>
  <c r="EE180" i="52"/>
  <c r="EE179" i="52"/>
  <c r="EE144" i="52"/>
  <c r="EE142" i="52"/>
  <c r="EE107" i="52"/>
  <c r="EE178" i="52"/>
  <c r="EE176" i="52"/>
  <c r="EE104" i="52"/>
  <c r="EE186" i="52"/>
  <c r="EE108" i="52"/>
  <c r="EE174" i="52"/>
  <c r="EE175" i="52" s="1"/>
  <c r="EE143" i="52"/>
  <c r="EE106" i="52"/>
  <c r="EE102" i="52"/>
  <c r="EE140" i="52"/>
  <c r="EE7" i="52"/>
  <c r="EE199" i="52"/>
  <c r="EE201" i="52" s="1"/>
  <c r="EE189" i="52"/>
  <c r="EE131" i="52"/>
  <c r="EE163" i="52"/>
  <c r="EE165" i="52" s="1"/>
  <c r="EE167" i="52"/>
  <c r="EE117" i="52"/>
  <c r="EE127" i="52"/>
  <c r="EE129" i="52" s="1"/>
  <c r="EE138" i="52"/>
  <c r="EF6" i="52"/>
  <c r="EE121" i="52"/>
  <c r="EE150" i="52"/>
  <c r="EE153" i="52"/>
  <c r="EE157" i="52"/>
  <c r="ED141" i="52"/>
  <c r="ED146" i="52"/>
  <c r="EC162" i="52"/>
  <c r="EC155" i="52"/>
  <c r="EC152" i="52"/>
  <c r="EC159" i="52" s="1"/>
  <c r="EB145" i="52"/>
  <c r="DX132" i="52"/>
  <c r="DY128" i="52" s="1"/>
  <c r="DX130" i="52"/>
  <c r="DW133" i="52"/>
  <c r="DV135" i="52"/>
  <c r="DV204" i="52"/>
  <c r="DW200" i="52" s="1"/>
  <c r="DV202" i="52"/>
  <c r="DU216" i="52"/>
  <c r="DU205" i="52"/>
  <c r="DZ124" i="52"/>
  <c r="EC105" i="52"/>
  <c r="EC109" i="52" s="1"/>
  <c r="EC110" i="52"/>
  <c r="EC210" i="52"/>
  <c r="EC177" i="52"/>
  <c r="EC181" i="52" s="1"/>
  <c r="EC182" i="52"/>
  <c r="EC141" i="52"/>
  <c r="EC145" i="52" s="1"/>
  <c r="EC146" i="52"/>
  <c r="EA160" i="52"/>
  <c r="EA213" i="52"/>
  <c r="EB213" i="52"/>
  <c r="ED103" i="52"/>
  <c r="ED175" i="52"/>
  <c r="DZ132" i="53"/>
  <c r="EA128" i="53" s="1"/>
  <c r="DZ130" i="53"/>
  <c r="EA166" i="52"/>
  <c r="EA168" i="52"/>
  <c r="EB164" i="52" s="1"/>
  <c r="DZ169" i="52"/>
  <c r="EB195" i="53" l="1"/>
  <c r="EB123" i="53"/>
  <c r="EE194" i="53"/>
  <c r="EE158" i="53"/>
  <c r="EE122" i="53"/>
  <c r="EC123" i="52"/>
  <c r="DZ196" i="52"/>
  <c r="DZ212" i="52"/>
  <c r="EF194" i="52"/>
  <c r="EF158" i="52"/>
  <c r="EF122" i="52"/>
  <c r="DZ214" i="52"/>
  <c r="EA214" i="52"/>
  <c r="EC162" i="53"/>
  <c r="EC152" i="53"/>
  <c r="EC155" i="53"/>
  <c r="EC126" i="53"/>
  <c r="EC116" i="53"/>
  <c r="EC123" i="53" s="1"/>
  <c r="EC119" i="53"/>
  <c r="EC198" i="53"/>
  <c r="EC188" i="53"/>
  <c r="EC191" i="53"/>
  <c r="EC211" i="53"/>
  <c r="EC111" i="53"/>
  <c r="EC112" i="53"/>
  <c r="EF6" i="53"/>
  <c r="EE167" i="53"/>
  <c r="EE163" i="53"/>
  <c r="EE165" i="53" s="1"/>
  <c r="EE157" i="53"/>
  <c r="EE144" i="53"/>
  <c r="EE143" i="53"/>
  <c r="EE142" i="53"/>
  <c r="EE140" i="53"/>
  <c r="EE138" i="53"/>
  <c r="EE131" i="53"/>
  <c r="EE127" i="53"/>
  <c r="EE129" i="53" s="1"/>
  <c r="EE193" i="53"/>
  <c r="EE104" i="53"/>
  <c r="EE102" i="53"/>
  <c r="EE103" i="53" s="1"/>
  <c r="EE203" i="53"/>
  <c r="EE189" i="53"/>
  <c r="EE106" i="53"/>
  <c r="EE121" i="53"/>
  <c r="EE174" i="53"/>
  <c r="EE175" i="53" s="1"/>
  <c r="EE180" i="53"/>
  <c r="EE186" i="53"/>
  <c r="EE107" i="53"/>
  <c r="EE114" i="53"/>
  <c r="EE176" i="53"/>
  <c r="EE178" i="53"/>
  <c r="EE179" i="53"/>
  <c r="EE108" i="53"/>
  <c r="EE199" i="53"/>
  <c r="EE201" i="53" s="1"/>
  <c r="EE7" i="53"/>
  <c r="EE153" i="53"/>
  <c r="EE150" i="53"/>
  <c r="EE117" i="53"/>
  <c r="ED139" i="53"/>
  <c r="ED103" i="53"/>
  <c r="ED115" i="53"/>
  <c r="ED118" i="53"/>
  <c r="ED120" i="53"/>
  <c r="ED175" i="53"/>
  <c r="ED187" i="53"/>
  <c r="ED190" i="53"/>
  <c r="ED192" i="53"/>
  <c r="ED151" i="53"/>
  <c r="ED154" i="53"/>
  <c r="ED156" i="53"/>
  <c r="EC147" i="53"/>
  <c r="EC148" i="53"/>
  <c r="EC183" i="53"/>
  <c r="EC184" i="53"/>
  <c r="EB145" i="53"/>
  <c r="EB109" i="53"/>
  <c r="EB181" i="53"/>
  <c r="EA160" i="53"/>
  <c r="EA213" i="53"/>
  <c r="DZ124" i="53"/>
  <c r="DZ133" i="53" s="1"/>
  <c r="EA124" i="53"/>
  <c r="EA212" i="53"/>
  <c r="EA196" i="53"/>
  <c r="DZ185" i="53"/>
  <c r="DY214" i="53"/>
  <c r="DY133" i="53"/>
  <c r="DY135" i="53" s="1"/>
  <c r="DX168" i="53"/>
  <c r="DY164" i="53" s="1"/>
  <c r="DX166" i="53"/>
  <c r="DW169" i="53"/>
  <c r="DV171" i="53"/>
  <c r="DV204" i="53"/>
  <c r="DW200" i="53" s="1"/>
  <c r="DV202" i="53"/>
  <c r="DU216" i="53"/>
  <c r="DU205" i="53"/>
  <c r="DT217" i="53"/>
  <c r="DT207" i="53"/>
  <c r="DS219" i="53"/>
  <c r="EB184" i="52"/>
  <c r="EB183" i="52"/>
  <c r="EB185" i="52" s="1"/>
  <c r="EB196" i="52" s="1"/>
  <c r="EB211" i="52"/>
  <c r="EB112" i="52"/>
  <c r="EB111" i="52"/>
  <c r="EB113" i="52" s="1"/>
  <c r="ED198" i="52"/>
  <c r="ED191" i="52"/>
  <c r="ED188" i="52"/>
  <c r="ED195" i="52" s="1"/>
  <c r="ED126" i="52"/>
  <c r="ED119" i="52"/>
  <c r="ED116" i="52"/>
  <c r="ED123" i="52" s="1"/>
  <c r="ED162" i="52"/>
  <c r="ED155" i="52"/>
  <c r="ED152" i="52"/>
  <c r="ED159" i="52" s="1"/>
  <c r="EE118" i="52"/>
  <c r="EE115" i="52"/>
  <c r="EE120" i="52"/>
  <c r="EE192" i="52"/>
  <c r="EE190" i="52"/>
  <c r="EE187" i="52"/>
  <c r="EE182" i="52"/>
  <c r="EE177" i="52"/>
  <c r="EE181" i="52" s="1"/>
  <c r="EE139" i="52"/>
  <c r="EF189" i="52"/>
  <c r="EF7" i="52"/>
  <c r="EF176" i="52"/>
  <c r="EF142" i="52"/>
  <c r="EF143" i="52"/>
  <c r="EF106" i="52"/>
  <c r="EF102" i="52"/>
  <c r="EF108" i="52"/>
  <c r="EF186" i="52"/>
  <c r="EF174" i="52"/>
  <c r="EF107" i="52"/>
  <c r="EF178" i="52"/>
  <c r="EF104" i="52"/>
  <c r="EF144" i="52"/>
  <c r="EF179" i="52"/>
  <c r="EF193" i="52"/>
  <c r="EF180" i="52"/>
  <c r="EF114" i="52"/>
  <c r="EF203" i="52"/>
  <c r="EF199" i="52"/>
  <c r="EF201" i="52" s="1"/>
  <c r="EF140" i="52"/>
  <c r="EF121" i="52"/>
  <c r="EF138" i="52"/>
  <c r="EF150" i="52"/>
  <c r="EF153" i="52"/>
  <c r="EF157" i="52"/>
  <c r="EG6" i="52"/>
  <c r="EF117" i="52"/>
  <c r="EF163" i="52"/>
  <c r="EF165" i="52" s="1"/>
  <c r="EF167" i="52"/>
  <c r="EF127" i="52"/>
  <c r="EF129" i="52" s="1"/>
  <c r="EF131" i="52"/>
  <c r="EE151" i="52"/>
  <c r="EE156" i="52"/>
  <c r="EE154" i="52"/>
  <c r="EB147" i="52"/>
  <c r="EB148" i="52"/>
  <c r="DY132" i="52"/>
  <c r="DZ128" i="52" s="1"/>
  <c r="DY130" i="52"/>
  <c r="DX133" i="52"/>
  <c r="DW135" i="52"/>
  <c r="DW204" i="52"/>
  <c r="DX200" i="52" s="1"/>
  <c r="DW202" i="52"/>
  <c r="DV216" i="52"/>
  <c r="DV205" i="52"/>
  <c r="DU217" i="52"/>
  <c r="DU207" i="52"/>
  <c r="DU219" i="52" s="1"/>
  <c r="EC211" i="52"/>
  <c r="EC112" i="52"/>
  <c r="EC111" i="52"/>
  <c r="EC184" i="52"/>
  <c r="EC183" i="52"/>
  <c r="EC185" i="52" s="1"/>
  <c r="EC147" i="52"/>
  <c r="EC148" i="52"/>
  <c r="ED105" i="52"/>
  <c r="ED110" i="52"/>
  <c r="ED210" i="52"/>
  <c r="ED177" i="52"/>
  <c r="ED182" i="52"/>
  <c r="EE103" i="52"/>
  <c r="ED145" i="52"/>
  <c r="EA132" i="53"/>
  <c r="EB128" i="53" s="1"/>
  <c r="EA130" i="53"/>
  <c r="EB166" i="52"/>
  <c r="EB168" i="52"/>
  <c r="EC164" i="52" s="1"/>
  <c r="DZ171" i="52"/>
  <c r="EA169" i="52"/>
  <c r="EA171" i="52" s="1"/>
  <c r="EC159" i="53" l="1"/>
  <c r="EC195" i="53"/>
  <c r="EF194" i="53"/>
  <c r="EF158" i="53"/>
  <c r="EF122" i="53"/>
  <c r="EG194" i="52"/>
  <c r="EG158" i="52"/>
  <c r="EG122" i="52"/>
  <c r="EC113" i="52"/>
  <c r="EC124" i="52" s="1"/>
  <c r="EG6" i="53"/>
  <c r="EF167" i="53"/>
  <c r="EF163" i="53"/>
  <c r="EF165" i="53" s="1"/>
  <c r="EF157" i="53"/>
  <c r="EF144" i="53"/>
  <c r="EF143" i="53"/>
  <c r="EF142" i="53"/>
  <c r="EF140" i="53"/>
  <c r="EF138" i="53"/>
  <c r="EF139" i="53" s="1"/>
  <c r="EF131" i="53"/>
  <c r="EF127" i="53"/>
  <c r="EF129" i="53" s="1"/>
  <c r="EF104" i="53"/>
  <c r="EF114" i="53"/>
  <c r="EF153" i="53"/>
  <c r="EF150" i="53"/>
  <c r="EF178" i="53"/>
  <c r="EF102" i="53"/>
  <c r="EF7" i="53"/>
  <c r="EF121" i="53"/>
  <c r="EF179" i="53"/>
  <c r="EF176" i="53"/>
  <c r="EF108" i="53"/>
  <c r="EF199" i="53"/>
  <c r="EF201" i="53" s="1"/>
  <c r="EF186" i="53"/>
  <c r="EF107" i="53"/>
  <c r="EF180" i="53"/>
  <c r="EF106" i="53"/>
  <c r="EF193" i="53"/>
  <c r="EF189" i="53"/>
  <c r="EF203" i="53"/>
  <c r="EF174" i="53"/>
  <c r="EF117" i="53"/>
  <c r="EE105" i="53"/>
  <c r="EE109" i="53" s="1"/>
  <c r="EE110" i="53"/>
  <c r="EE182" i="53"/>
  <c r="EE177" i="53"/>
  <c r="EE181" i="53" s="1"/>
  <c r="EE187" i="53"/>
  <c r="EE190" i="53"/>
  <c r="EE192" i="53"/>
  <c r="EE115" i="53"/>
  <c r="EE118" i="53"/>
  <c r="EE120" i="53"/>
  <c r="EE151" i="53"/>
  <c r="EE154" i="53"/>
  <c r="EE156" i="53"/>
  <c r="ED141" i="53"/>
  <c r="ED146" i="53"/>
  <c r="ED105" i="53"/>
  <c r="ED110" i="53"/>
  <c r="ED210" i="53"/>
  <c r="ED126" i="53"/>
  <c r="ED116" i="53"/>
  <c r="ED123" i="53" s="1"/>
  <c r="ED119" i="53"/>
  <c r="ED177" i="53"/>
  <c r="ED182" i="53"/>
  <c r="ED198" i="53"/>
  <c r="ED188" i="53"/>
  <c r="ED195" i="53" s="1"/>
  <c r="ED191" i="53"/>
  <c r="ED162" i="53"/>
  <c r="ED152" i="53"/>
  <c r="ED159" i="53" s="1"/>
  <c r="ED155" i="53"/>
  <c r="EB147" i="53"/>
  <c r="EB148" i="53"/>
  <c r="EB211" i="53"/>
  <c r="EB112" i="53"/>
  <c r="EB111" i="53"/>
  <c r="EB113" i="53" s="1"/>
  <c r="EB184" i="53"/>
  <c r="EB183" i="53"/>
  <c r="EB185" i="53" s="1"/>
  <c r="EB196" i="53" s="1"/>
  <c r="EC149" i="53"/>
  <c r="EC185" i="53"/>
  <c r="EA214" i="53"/>
  <c r="EC113" i="53"/>
  <c r="EE139" i="53"/>
  <c r="EE210" i="53" s="1"/>
  <c r="DZ196" i="53"/>
  <c r="DZ214" i="53" s="1"/>
  <c r="DZ212" i="53"/>
  <c r="EB213" i="53"/>
  <c r="DY166" i="53"/>
  <c r="DY168" i="53"/>
  <c r="DZ164" i="53" s="1"/>
  <c r="DX169" i="53"/>
  <c r="DW171" i="53"/>
  <c r="DW204" i="53"/>
  <c r="DX200" i="53" s="1"/>
  <c r="DW202" i="53"/>
  <c r="DV216" i="53"/>
  <c r="DV205" i="53"/>
  <c r="DU217" i="53"/>
  <c r="DU207" i="53"/>
  <c r="DT219" i="53"/>
  <c r="EC149" i="52"/>
  <c r="EC160" i="52" s="1"/>
  <c r="EC196" i="52"/>
  <c r="EB124" i="52"/>
  <c r="EC213" i="52"/>
  <c r="EE126" i="52"/>
  <c r="EE119" i="52"/>
  <c r="EE116" i="52"/>
  <c r="EE123" i="52" s="1"/>
  <c r="EE198" i="52"/>
  <c r="EE191" i="52"/>
  <c r="EE188" i="52"/>
  <c r="EE195" i="52" s="1"/>
  <c r="EE184" i="52"/>
  <c r="EE183" i="52"/>
  <c r="EE185" i="52" s="1"/>
  <c r="EE141" i="52"/>
  <c r="EE146" i="52"/>
  <c r="EF192" i="52"/>
  <c r="EF190" i="52"/>
  <c r="EF187" i="52"/>
  <c r="EF175" i="52"/>
  <c r="EF115" i="52"/>
  <c r="EF120" i="52"/>
  <c r="EF118" i="52"/>
  <c r="EF154" i="52"/>
  <c r="EF156" i="52"/>
  <c r="EF151" i="52"/>
  <c r="EG189" i="52"/>
  <c r="EG176" i="52"/>
  <c r="EG106" i="52"/>
  <c r="EG102" i="52"/>
  <c r="EG186" i="52"/>
  <c r="EG178" i="52"/>
  <c r="EG114" i="52"/>
  <c r="EG104" i="52"/>
  <c r="EG180" i="52"/>
  <c r="EG203" i="52"/>
  <c r="EG179" i="52"/>
  <c r="EG199" i="52"/>
  <c r="EG201" i="52" s="1"/>
  <c r="EG193" i="52"/>
  <c r="EG144" i="52"/>
  <c r="EG7" i="52"/>
  <c r="EG107" i="52"/>
  <c r="EG108" i="52"/>
  <c r="EG174" i="52"/>
  <c r="EG142" i="52"/>
  <c r="EG140" i="52"/>
  <c r="EG143" i="52"/>
  <c r="EG131" i="52"/>
  <c r="EG163" i="52"/>
  <c r="EG165" i="52" s="1"/>
  <c r="EG167" i="52"/>
  <c r="EH6" i="52"/>
  <c r="EG117" i="52"/>
  <c r="EG127" i="52"/>
  <c r="EG129" i="52" s="1"/>
  <c r="EG138" i="52"/>
  <c r="EG121" i="52"/>
  <c r="EG150" i="52"/>
  <c r="EG153" i="52"/>
  <c r="EG157" i="52"/>
  <c r="EE162" i="52"/>
  <c r="EE155" i="52"/>
  <c r="EE152" i="52"/>
  <c r="EE159" i="52" s="1"/>
  <c r="DZ130" i="52"/>
  <c r="DZ132" i="52"/>
  <c r="EA128" i="52" s="1"/>
  <c r="DY133" i="52"/>
  <c r="DX135" i="52"/>
  <c r="DX204" i="52"/>
  <c r="DY200" i="52" s="1"/>
  <c r="DX202" i="52"/>
  <c r="DW216" i="52"/>
  <c r="DW205" i="52"/>
  <c r="DV217" i="52"/>
  <c r="DV207" i="52"/>
  <c r="DV219" i="52" s="1"/>
  <c r="ED109" i="52"/>
  <c r="ED181" i="52"/>
  <c r="EE105" i="52"/>
  <c r="EE110" i="52"/>
  <c r="EE210" i="52"/>
  <c r="ED148" i="52"/>
  <c r="ED147" i="52"/>
  <c r="EB149" i="52"/>
  <c r="EF103" i="52"/>
  <c r="EF139" i="52"/>
  <c r="EB132" i="53"/>
  <c r="EC128" i="53" s="1"/>
  <c r="EB130" i="53"/>
  <c r="EA133" i="53"/>
  <c r="DZ135" i="53"/>
  <c r="EC166" i="52"/>
  <c r="EC168" i="52"/>
  <c r="ED164" i="52" s="1"/>
  <c r="E30" i="43"/>
  <c r="EC160" i="53" l="1"/>
  <c r="EG194" i="53"/>
  <c r="EG158" i="53"/>
  <c r="EG122" i="53"/>
  <c r="EH194" i="52"/>
  <c r="EH158" i="52"/>
  <c r="EH122" i="52"/>
  <c r="H35" i="43"/>
  <c r="I35" i="43"/>
  <c r="J35" i="43"/>
  <c r="K35" i="43"/>
  <c r="L35" i="43"/>
  <c r="M35" i="43"/>
  <c r="N35" i="43"/>
  <c r="O35" i="43"/>
  <c r="P35" i="43"/>
  <c r="Q35" i="43"/>
  <c r="R35" i="43"/>
  <c r="S35" i="43"/>
  <c r="T35" i="43"/>
  <c r="U35" i="43"/>
  <c r="V35" i="43"/>
  <c r="W35" i="43"/>
  <c r="X35" i="43"/>
  <c r="Y35" i="43"/>
  <c r="Z35" i="43"/>
  <c r="G35" i="43"/>
  <c r="EC212" i="52"/>
  <c r="ED149" i="52"/>
  <c r="ED160" i="52" s="1"/>
  <c r="EB149" i="53"/>
  <c r="EC213" i="53"/>
  <c r="EG131" i="53"/>
  <c r="EG127" i="53"/>
  <c r="EG129" i="53" s="1"/>
  <c r="EG106" i="53"/>
  <c r="EG176" i="53"/>
  <c r="EG203" i="53"/>
  <c r="EG199" i="53"/>
  <c r="EG201" i="53" s="1"/>
  <c r="EG180" i="53"/>
  <c r="EG102" i="53"/>
  <c r="EG103" i="53" s="1"/>
  <c r="EG104" i="53"/>
  <c r="EG193" i="53"/>
  <c r="EG114" i="53"/>
  <c r="EG186" i="53"/>
  <c r="EG140" i="53"/>
  <c r="EG138" i="53"/>
  <c r="EG107" i="53"/>
  <c r="EG117" i="53"/>
  <c r="EG189" i="53"/>
  <c r="EG108" i="53"/>
  <c r="EG174" i="53"/>
  <c r="EG175" i="53" s="1"/>
  <c r="EG7" i="53"/>
  <c r="EH6" i="53"/>
  <c r="EG167" i="53"/>
  <c r="EG163" i="53"/>
  <c r="EG165" i="53" s="1"/>
  <c r="EG157" i="53"/>
  <c r="EG144" i="53"/>
  <c r="EG143" i="53"/>
  <c r="EG142" i="53"/>
  <c r="EG178" i="53"/>
  <c r="EG150" i="53"/>
  <c r="EG179" i="53"/>
  <c r="EG153" i="53"/>
  <c r="EG121" i="53"/>
  <c r="EF146" i="53"/>
  <c r="EF141" i="53"/>
  <c r="EF145" i="53" s="1"/>
  <c r="EF118" i="53"/>
  <c r="EF120" i="53"/>
  <c r="EF115" i="53"/>
  <c r="EF154" i="53"/>
  <c r="EF151" i="53"/>
  <c r="EF156" i="53"/>
  <c r="EF103" i="53"/>
  <c r="EF187" i="53"/>
  <c r="EF190" i="53"/>
  <c r="EF192" i="53"/>
  <c r="EF175" i="53"/>
  <c r="EE111" i="53"/>
  <c r="EE112" i="53"/>
  <c r="EE184" i="53"/>
  <c r="EE183" i="53"/>
  <c r="EE185" i="53" s="1"/>
  <c r="EE198" i="53"/>
  <c r="EE188" i="53"/>
  <c r="EE191" i="53"/>
  <c r="EE126" i="53"/>
  <c r="EE116" i="53"/>
  <c r="EE119" i="53"/>
  <c r="EE162" i="53"/>
  <c r="EE152" i="53"/>
  <c r="EE155" i="53"/>
  <c r="ED145" i="53"/>
  <c r="ED109" i="53"/>
  <c r="ED181" i="53"/>
  <c r="EB124" i="53"/>
  <c r="EC124" i="53"/>
  <c r="EC212" i="53"/>
  <c r="EE146" i="53"/>
  <c r="EE141" i="53"/>
  <c r="EC196" i="53"/>
  <c r="DY169" i="53"/>
  <c r="DZ166" i="53"/>
  <c r="DZ168" i="53"/>
  <c r="EA164" i="53" s="1"/>
  <c r="DX171" i="53"/>
  <c r="DX204" i="53"/>
  <c r="DY200" i="53" s="1"/>
  <c r="DX202" i="53"/>
  <c r="DW216" i="53"/>
  <c r="DW205" i="53"/>
  <c r="DV217" i="53"/>
  <c r="DV207" i="53"/>
  <c r="DU219" i="53"/>
  <c r="EC214" i="52"/>
  <c r="ED213" i="52"/>
  <c r="EE145" i="52"/>
  <c r="EF198" i="52"/>
  <c r="EF191" i="52"/>
  <c r="EF188" i="52"/>
  <c r="EF195" i="52" s="1"/>
  <c r="EF182" i="52"/>
  <c r="EF177" i="52"/>
  <c r="EF126" i="52"/>
  <c r="EF116" i="52"/>
  <c r="EF119" i="52"/>
  <c r="EF162" i="52"/>
  <c r="EF152" i="52"/>
  <c r="EF155" i="52"/>
  <c r="EG192" i="52"/>
  <c r="EG190" i="52"/>
  <c r="EG187" i="52"/>
  <c r="EG118" i="52"/>
  <c r="EG120" i="52"/>
  <c r="EG115" i="52"/>
  <c r="EH143" i="52"/>
  <c r="EH189" i="52"/>
  <c r="EH142" i="52"/>
  <c r="EH108" i="52"/>
  <c r="EH174" i="52"/>
  <c r="EH107" i="52"/>
  <c r="EH144" i="52"/>
  <c r="EH193" i="52"/>
  <c r="EH199" i="52"/>
  <c r="EH201" i="52" s="1"/>
  <c r="EH7" i="52"/>
  <c r="EH203" i="52"/>
  <c r="EH180" i="52"/>
  <c r="EH104" i="52"/>
  <c r="EH179" i="52"/>
  <c r="EH114" i="52"/>
  <c r="EH178" i="52"/>
  <c r="EH186" i="52"/>
  <c r="EH102" i="52"/>
  <c r="EH103" i="52" s="1"/>
  <c r="EH106" i="52"/>
  <c r="EH176" i="52"/>
  <c r="EH140" i="52"/>
  <c r="EH117" i="52"/>
  <c r="EH127" i="52"/>
  <c r="EH129" i="52" s="1"/>
  <c r="EH131" i="52"/>
  <c r="EH163" i="52"/>
  <c r="EH165" i="52" s="1"/>
  <c r="EI6" i="52"/>
  <c r="EH121" i="52"/>
  <c r="EH150" i="52"/>
  <c r="EH153" i="52"/>
  <c r="EH157" i="52"/>
  <c r="EH138" i="52"/>
  <c r="EH167" i="52"/>
  <c r="EG156" i="52"/>
  <c r="EG151" i="52"/>
  <c r="EG154" i="52"/>
  <c r="DZ133" i="52"/>
  <c r="EA132" i="52"/>
  <c r="EB128" i="52" s="1"/>
  <c r="EA130" i="52"/>
  <c r="DY135" i="52"/>
  <c r="DY204" i="52"/>
  <c r="DZ200" i="52" s="1"/>
  <c r="DY202" i="52"/>
  <c r="DX216" i="52"/>
  <c r="DX205" i="52"/>
  <c r="DW217" i="52"/>
  <c r="DW207" i="52"/>
  <c r="DW219" i="52" s="1"/>
  <c r="ED211" i="52"/>
  <c r="ED112" i="52"/>
  <c r="ED111" i="52"/>
  <c r="ED113" i="52" s="1"/>
  <c r="ED184" i="52"/>
  <c r="ED183" i="52"/>
  <c r="ED185" i="52" s="1"/>
  <c r="ED196" i="52" s="1"/>
  <c r="EF105" i="52"/>
  <c r="EF110" i="52"/>
  <c r="EF210" i="52"/>
  <c r="EF146" i="52"/>
  <c r="EF141" i="52"/>
  <c r="EE196" i="52"/>
  <c r="EG103" i="52"/>
  <c r="EG175" i="52"/>
  <c r="EG139" i="52"/>
  <c r="EE213" i="52"/>
  <c r="EE109" i="52"/>
  <c r="EB160" i="52"/>
  <c r="EB212" i="52"/>
  <c r="EC130" i="53"/>
  <c r="EC132" i="53"/>
  <c r="ED128" i="53" s="1"/>
  <c r="EA135" i="53"/>
  <c r="ED166" i="52"/>
  <c r="ED168" i="52"/>
  <c r="EE164" i="52" s="1"/>
  <c r="EC169" i="52"/>
  <c r="E32" i="43"/>
  <c r="EE195" i="53" l="1"/>
  <c r="EE123" i="53"/>
  <c r="EE159" i="53"/>
  <c r="EB160" i="53"/>
  <c r="EB212" i="53"/>
  <c r="EH194" i="53"/>
  <c r="EH158" i="53"/>
  <c r="EH122" i="53"/>
  <c r="EF159" i="52"/>
  <c r="EF123" i="52"/>
  <c r="EI194" i="52"/>
  <c r="EI158" i="52"/>
  <c r="EI122" i="52"/>
  <c r="H105" i="43"/>
  <c r="H36" i="43"/>
  <c r="I105" i="43"/>
  <c r="I36" i="43"/>
  <c r="J36" i="43"/>
  <c r="J105" i="43"/>
  <c r="K105" i="43"/>
  <c r="K36" i="43"/>
  <c r="L105" i="43"/>
  <c r="L36" i="43"/>
  <c r="M105" i="43"/>
  <c r="M36" i="43"/>
  <c r="N105" i="43"/>
  <c r="N36" i="43"/>
  <c r="O105" i="43"/>
  <c r="O36" i="43"/>
  <c r="P105" i="43"/>
  <c r="P36" i="43"/>
  <c r="Q105" i="43"/>
  <c r="Q36" i="43"/>
  <c r="R105" i="43"/>
  <c r="R36" i="43"/>
  <c r="S36" i="43"/>
  <c r="S105" i="43"/>
  <c r="T105" i="43"/>
  <c r="T36" i="43"/>
  <c r="U105" i="43"/>
  <c r="U36" i="43"/>
  <c r="V36" i="43"/>
  <c r="V105" i="43"/>
  <c r="W36" i="43"/>
  <c r="W105" i="43"/>
  <c r="X105" i="43"/>
  <c r="X36" i="43"/>
  <c r="Y105" i="43"/>
  <c r="Y36" i="43"/>
  <c r="Z36" i="43"/>
  <c r="Z105" i="43"/>
  <c r="G105" i="43"/>
  <c r="G122" i="43" s="1"/>
  <c r="G36" i="43"/>
  <c r="E36" i="43" s="1"/>
  <c r="E35" i="43"/>
  <c r="EG110" i="53"/>
  <c r="EG105" i="53"/>
  <c r="EG109" i="53" s="1"/>
  <c r="EG115" i="53"/>
  <c r="EG118" i="53"/>
  <c r="EG120" i="53"/>
  <c r="EG187" i="53"/>
  <c r="EG190" i="53"/>
  <c r="EG192" i="53"/>
  <c r="EG139" i="53"/>
  <c r="EG210" i="53" s="1"/>
  <c r="EG177" i="53"/>
  <c r="EG181" i="53" s="1"/>
  <c r="EG182" i="53"/>
  <c r="EH104" i="53"/>
  <c r="EH107" i="53"/>
  <c r="EH193" i="53"/>
  <c r="EH180" i="53"/>
  <c r="EH199" i="53"/>
  <c r="EH201" i="53" s="1"/>
  <c r="EH150" i="53"/>
  <c r="EH106" i="53"/>
  <c r="EH174" i="53"/>
  <c r="EH7" i="53"/>
  <c r="EH121" i="53"/>
  <c r="EH153" i="53"/>
  <c r="EH186" i="53"/>
  <c r="EH176" i="53"/>
  <c r="EI6" i="53"/>
  <c r="EH167" i="53"/>
  <c r="EH163" i="53"/>
  <c r="EH165" i="53" s="1"/>
  <c r="EH157" i="53"/>
  <c r="EH144" i="53"/>
  <c r="EH143" i="53"/>
  <c r="EH142" i="53"/>
  <c r="EH140" i="53"/>
  <c r="EH138" i="53"/>
  <c r="EH131" i="53"/>
  <c r="EH127" i="53"/>
  <c r="EH129" i="53" s="1"/>
  <c r="EH108" i="53"/>
  <c r="EH178" i="53"/>
  <c r="EH203" i="53"/>
  <c r="EH114" i="53"/>
  <c r="EH117" i="53"/>
  <c r="EH179" i="53"/>
  <c r="EH102" i="53"/>
  <c r="EH189" i="53"/>
  <c r="EG151" i="53"/>
  <c r="EG154" i="53"/>
  <c r="EG156" i="53"/>
  <c r="EF147" i="53"/>
  <c r="EF148" i="53"/>
  <c r="EF126" i="53"/>
  <c r="EF116" i="53"/>
  <c r="EF119" i="53"/>
  <c r="EF162" i="53"/>
  <c r="EF152" i="53"/>
  <c r="EF155" i="53"/>
  <c r="EF105" i="53"/>
  <c r="EF110" i="53"/>
  <c r="EF210" i="53"/>
  <c r="EF198" i="53"/>
  <c r="EF188" i="53"/>
  <c r="EF191" i="53"/>
  <c r="EF177" i="53"/>
  <c r="EF182" i="53"/>
  <c r="ED148" i="53"/>
  <c r="ED147" i="53"/>
  <c r="ED149" i="53" s="1"/>
  <c r="ED160" i="53" s="1"/>
  <c r="ED111" i="53"/>
  <c r="ED112" i="53"/>
  <c r="ED211" i="53"/>
  <c r="ED183" i="53"/>
  <c r="ED184" i="53"/>
  <c r="ED213" i="53"/>
  <c r="EC214" i="53"/>
  <c r="EE113" i="53"/>
  <c r="EB214" i="53"/>
  <c r="EB133" i="53"/>
  <c r="EB135" i="53" s="1"/>
  <c r="EE145" i="53"/>
  <c r="DY171" i="53"/>
  <c r="DZ169" i="53"/>
  <c r="EA168" i="53"/>
  <c r="EB164" i="53" s="1"/>
  <c r="EA166" i="53"/>
  <c r="DY204" i="53"/>
  <c r="DZ200" i="53" s="1"/>
  <c r="DY202" i="53"/>
  <c r="DX216" i="53"/>
  <c r="DX205" i="53"/>
  <c r="DW217" i="53"/>
  <c r="DW207" i="53"/>
  <c r="DV219" i="53"/>
  <c r="EE147" i="52"/>
  <c r="EE148" i="52"/>
  <c r="EF181" i="52"/>
  <c r="EG198" i="52"/>
  <c r="EG191" i="52"/>
  <c r="EG188" i="52"/>
  <c r="EG195" i="52" s="1"/>
  <c r="EG126" i="52"/>
  <c r="EG119" i="52"/>
  <c r="EG116" i="52"/>
  <c r="EG123" i="52" s="1"/>
  <c r="EH115" i="52"/>
  <c r="EH120" i="52"/>
  <c r="EH118" i="52"/>
  <c r="EH192" i="52"/>
  <c r="EH190" i="52"/>
  <c r="EH187" i="52"/>
  <c r="EH110" i="52"/>
  <c r="EH105" i="52"/>
  <c r="EI140" i="52"/>
  <c r="EI108" i="52"/>
  <c r="EI104" i="52"/>
  <c r="EI189" i="52"/>
  <c r="EI144" i="52"/>
  <c r="EI199" i="52"/>
  <c r="EI201" i="52" s="1"/>
  <c r="EI143" i="52"/>
  <c r="EI179" i="52"/>
  <c r="EI107" i="52"/>
  <c r="EI106" i="52"/>
  <c r="EI178" i="52"/>
  <c r="EI176" i="52"/>
  <c r="EI102" i="52"/>
  <c r="EI186" i="52"/>
  <c r="EI114" i="52"/>
  <c r="EI203" i="52"/>
  <c r="EI193" i="52"/>
  <c r="EI174" i="52"/>
  <c r="EI142" i="52"/>
  <c r="EI180" i="52"/>
  <c r="EI7" i="52"/>
  <c r="EJ6" i="52"/>
  <c r="EI121" i="52"/>
  <c r="EI150" i="52"/>
  <c r="EI153" i="52"/>
  <c r="EI157" i="52"/>
  <c r="EI117" i="52"/>
  <c r="EI131" i="52"/>
  <c r="EI167" i="52"/>
  <c r="EI127" i="52"/>
  <c r="EI129" i="52" s="1"/>
  <c r="EI138" i="52"/>
  <c r="EI163" i="52"/>
  <c r="EI165" i="52" s="1"/>
  <c r="EH154" i="52"/>
  <c r="EH156" i="52"/>
  <c r="EH151" i="52"/>
  <c r="EG162" i="52"/>
  <c r="EG155" i="52"/>
  <c r="EG152" i="52"/>
  <c r="EG159" i="52" s="1"/>
  <c r="DZ135" i="52"/>
  <c r="EB132" i="52"/>
  <c r="EC128" i="52" s="1"/>
  <c r="EB130" i="52"/>
  <c r="EA133" i="52"/>
  <c r="DZ204" i="52"/>
  <c r="EA200" i="52" s="1"/>
  <c r="DZ202" i="52"/>
  <c r="DY216" i="52"/>
  <c r="DY205" i="52"/>
  <c r="DX217" i="52"/>
  <c r="DX207" i="52"/>
  <c r="DX219" i="52" s="1"/>
  <c r="ED212" i="52"/>
  <c r="ED124" i="52"/>
  <c r="ED214" i="52" s="1"/>
  <c r="EG105" i="52"/>
  <c r="EG109" i="52" s="1"/>
  <c r="EG110" i="52"/>
  <c r="EG210" i="52"/>
  <c r="EG177" i="52"/>
  <c r="EG181" i="52" s="1"/>
  <c r="EG182" i="52"/>
  <c r="EG146" i="52"/>
  <c r="EG141" i="52"/>
  <c r="EG145" i="52" s="1"/>
  <c r="EE111" i="52"/>
  <c r="EE112" i="52"/>
  <c r="EE113" i="52"/>
  <c r="EE211" i="52"/>
  <c r="EB214" i="52"/>
  <c r="EB169" i="52"/>
  <c r="EB171" i="52" s="1"/>
  <c r="EH175" i="52"/>
  <c r="EH139" i="52"/>
  <c r="EH210" i="52" s="1"/>
  <c r="EF109" i="52"/>
  <c r="EF145" i="52"/>
  <c r="EC133" i="53"/>
  <c r="ED130" i="53"/>
  <c r="ED132" i="53"/>
  <c r="EE128" i="53" s="1"/>
  <c r="EE166" i="52"/>
  <c r="EE168" i="52"/>
  <c r="EF164" i="52" s="1"/>
  <c r="EC171" i="52"/>
  <c r="ED169" i="52"/>
  <c r="ED171" i="52" s="1"/>
  <c r="EF123" i="53" l="1"/>
  <c r="EF159" i="53"/>
  <c r="EF195" i="53"/>
  <c r="ED185" i="53"/>
  <c r="ED196" i="53" s="1"/>
  <c r="EI194" i="53"/>
  <c r="EI158" i="53"/>
  <c r="EI122" i="53"/>
  <c r="EJ194" i="52"/>
  <c r="EJ158" i="52"/>
  <c r="EJ122" i="52"/>
  <c r="E153" i="43"/>
  <c r="E152" i="43"/>
  <c r="ED113" i="53"/>
  <c r="EG112" i="53"/>
  <c r="EG111" i="53"/>
  <c r="EG113" i="53" s="1"/>
  <c r="EG126" i="53"/>
  <c r="EG116" i="53"/>
  <c r="EG119" i="53"/>
  <c r="EG198" i="53"/>
  <c r="EG188" i="53"/>
  <c r="EG195" i="53" s="1"/>
  <c r="EG191" i="53"/>
  <c r="EG141" i="53"/>
  <c r="EG146" i="53"/>
  <c r="EG183" i="53"/>
  <c r="EG184" i="53"/>
  <c r="EH151" i="53"/>
  <c r="EH154" i="53"/>
  <c r="EH156" i="53"/>
  <c r="EH175" i="53"/>
  <c r="EH187" i="53"/>
  <c r="EH190" i="53"/>
  <c r="EH192" i="53"/>
  <c r="EJ6" i="53"/>
  <c r="EI167" i="53"/>
  <c r="EI163" i="53"/>
  <c r="EI165" i="53" s="1"/>
  <c r="EI157" i="53"/>
  <c r="EI144" i="53"/>
  <c r="EI143" i="53"/>
  <c r="EI142" i="53"/>
  <c r="EI140" i="53"/>
  <c r="EI138" i="53"/>
  <c r="EI131" i="53"/>
  <c r="EI127" i="53"/>
  <c r="EI129" i="53" s="1"/>
  <c r="EI174" i="53"/>
  <c r="EI117" i="53"/>
  <c r="EI179" i="53"/>
  <c r="EI102" i="53"/>
  <c r="EI153" i="53"/>
  <c r="EI104" i="53"/>
  <c r="EI114" i="53"/>
  <c r="EI121" i="53"/>
  <c r="EI150" i="53"/>
  <c r="EI203" i="53"/>
  <c r="EI199" i="53"/>
  <c r="EI201" i="53" s="1"/>
  <c r="EI180" i="53"/>
  <c r="EI193" i="53"/>
  <c r="EI106" i="53"/>
  <c r="EI178" i="53"/>
  <c r="EI189" i="53"/>
  <c r="EI108" i="53"/>
  <c r="EI186" i="53"/>
  <c r="EI107" i="53"/>
  <c r="EI7" i="53"/>
  <c r="EI176" i="53"/>
  <c r="EH115" i="53"/>
  <c r="EH118" i="53"/>
  <c r="EH120" i="53"/>
  <c r="EH103" i="53"/>
  <c r="EG162" i="53"/>
  <c r="EG152" i="53"/>
  <c r="EG155" i="53"/>
  <c r="EF109" i="53"/>
  <c r="EF181" i="53"/>
  <c r="ED212" i="53"/>
  <c r="ED124" i="53"/>
  <c r="EE196" i="53"/>
  <c r="EE124" i="53"/>
  <c r="EE213" i="53"/>
  <c r="EE147" i="53"/>
  <c r="EE148" i="53"/>
  <c r="EE149" i="53"/>
  <c r="EE211" i="53"/>
  <c r="EF149" i="53"/>
  <c r="EH139" i="53"/>
  <c r="DZ171" i="53"/>
  <c r="EB168" i="53"/>
  <c r="EC164" i="53" s="1"/>
  <c r="EB166" i="53"/>
  <c r="EA169" i="53"/>
  <c r="DZ204" i="53"/>
  <c r="EA200" i="53" s="1"/>
  <c r="DZ202" i="53"/>
  <c r="DY216" i="53"/>
  <c r="DY205" i="53"/>
  <c r="DX217" i="53"/>
  <c r="DX207" i="53"/>
  <c r="DW219" i="53"/>
  <c r="EF184" i="52"/>
  <c r="EF183" i="52"/>
  <c r="EF185" i="52" s="1"/>
  <c r="EF196" i="52" s="1"/>
  <c r="EF213" i="52"/>
  <c r="EH126" i="52"/>
  <c r="EH119" i="52"/>
  <c r="EH116" i="52"/>
  <c r="EH123" i="52" s="1"/>
  <c r="EH198" i="52"/>
  <c r="EH191" i="52"/>
  <c r="EH188" i="52"/>
  <c r="EH195" i="52" s="1"/>
  <c r="EI103" i="52"/>
  <c r="EI192" i="52"/>
  <c r="EI190" i="52"/>
  <c r="EI187" i="52"/>
  <c r="EI115" i="52"/>
  <c r="EI120" i="52"/>
  <c r="EI118" i="52"/>
  <c r="EJ114" i="52"/>
  <c r="EJ174" i="52"/>
  <c r="EJ140" i="52"/>
  <c r="EJ186" i="52"/>
  <c r="EJ107" i="52"/>
  <c r="EJ179" i="52"/>
  <c r="EJ189" i="52"/>
  <c r="EJ108" i="52"/>
  <c r="EJ142" i="52"/>
  <c r="EJ143" i="52"/>
  <c r="EJ178" i="52"/>
  <c r="EJ203" i="52"/>
  <c r="EJ7" i="52"/>
  <c r="EJ180" i="52"/>
  <c r="EJ193" i="52"/>
  <c r="EJ106" i="52"/>
  <c r="EJ104" i="52"/>
  <c r="EJ176" i="52"/>
  <c r="EJ144" i="52"/>
  <c r="EJ102" i="52"/>
  <c r="EJ103" i="52" s="1"/>
  <c r="EJ199" i="52"/>
  <c r="EJ201" i="52" s="1"/>
  <c r="EJ121" i="52"/>
  <c r="EJ150" i="52"/>
  <c r="EJ153" i="52"/>
  <c r="EJ157" i="52"/>
  <c r="EK6" i="52"/>
  <c r="EJ117" i="52"/>
  <c r="EJ138" i="52"/>
  <c r="EJ167" i="52"/>
  <c r="EJ127" i="52"/>
  <c r="EJ129" i="52" s="1"/>
  <c r="EJ131" i="52"/>
  <c r="EJ163" i="52"/>
  <c r="EJ165" i="52" s="1"/>
  <c r="EI156" i="52"/>
  <c r="EI154" i="52"/>
  <c r="EI151" i="52"/>
  <c r="EH162" i="52"/>
  <c r="EH155" i="52"/>
  <c r="EH152" i="52"/>
  <c r="EH159" i="52" s="1"/>
  <c r="EC132" i="52"/>
  <c r="ED128" i="52" s="1"/>
  <c r="EC130" i="52"/>
  <c r="EB133" i="52"/>
  <c r="EA135" i="52"/>
  <c r="EA204" i="52"/>
  <c r="EB200" i="52" s="1"/>
  <c r="EA202" i="52"/>
  <c r="DZ216" i="52"/>
  <c r="DZ205" i="52"/>
  <c r="DY217" i="52"/>
  <c r="DY207" i="52"/>
  <c r="DY219" i="52" s="1"/>
  <c r="EG211" i="52"/>
  <c r="EG112" i="52"/>
  <c r="EG111" i="52"/>
  <c r="EG184" i="52"/>
  <c r="EG183" i="52"/>
  <c r="EG185" i="52" s="1"/>
  <c r="EG148" i="52"/>
  <c r="EG147" i="52"/>
  <c r="EE124" i="52"/>
  <c r="EH177" i="52"/>
  <c r="EH182" i="52"/>
  <c r="EH146" i="52"/>
  <c r="EH141" i="52"/>
  <c r="EF111" i="52"/>
  <c r="EF112" i="52"/>
  <c r="EF211" i="52"/>
  <c r="EF147" i="52"/>
  <c r="EF148" i="52"/>
  <c r="EF149" i="52" s="1"/>
  <c r="EF160" i="52" s="1"/>
  <c r="EE149" i="52"/>
  <c r="EH109" i="52"/>
  <c r="EI175" i="52"/>
  <c r="EI139" i="52"/>
  <c r="EC135" i="53"/>
  <c r="EE132" i="53"/>
  <c r="EF128" i="53" s="1"/>
  <c r="EE130" i="53"/>
  <c r="EF166" i="52"/>
  <c r="EF168" i="52"/>
  <c r="EG164" i="52" s="1"/>
  <c r="C313" i="43"/>
  <c r="H180" i="43"/>
  <c r="H181" i="43" s="1"/>
  <c r="S71" i="43"/>
  <c r="X71" i="43"/>
  <c r="E195" i="43"/>
  <c r="G180" i="43"/>
  <c r="R71" i="43"/>
  <c r="V71" i="43"/>
  <c r="W71" i="43"/>
  <c r="Z71" i="43"/>
  <c r="Y71" i="43"/>
  <c r="U71" i="43"/>
  <c r="T71" i="43"/>
  <c r="P71" i="43"/>
  <c r="O71" i="43"/>
  <c r="N71" i="43"/>
  <c r="E12" i="43"/>
  <c r="J71" i="43"/>
  <c r="K71" i="43"/>
  <c r="L71" i="43"/>
  <c r="I71" i="43"/>
  <c r="I180" i="43" s="1"/>
  <c r="I181" i="43" s="1"/>
  <c r="M71" i="43"/>
  <c r="E157" i="43"/>
  <c r="Q71" i="43"/>
  <c r="EG159" i="53" l="1"/>
  <c r="EG123" i="53"/>
  <c r="EJ194" i="53"/>
  <c r="EJ158" i="53"/>
  <c r="EJ122" i="53"/>
  <c r="EK194" i="52"/>
  <c r="EK158" i="52"/>
  <c r="EK122" i="52"/>
  <c r="EF113" i="52"/>
  <c r="EG113" i="52"/>
  <c r="EG124" i="52" s="1"/>
  <c r="EG185" i="53"/>
  <c r="EG145" i="53"/>
  <c r="EH162" i="53"/>
  <c r="EH152" i="53"/>
  <c r="EH155" i="53"/>
  <c r="EH182" i="53"/>
  <c r="EH177" i="53"/>
  <c r="EH198" i="53"/>
  <c r="EH188" i="53"/>
  <c r="EH191" i="53"/>
  <c r="EK6" i="53"/>
  <c r="EJ167" i="53"/>
  <c r="EJ163" i="53"/>
  <c r="EJ165" i="53" s="1"/>
  <c r="EJ157" i="53"/>
  <c r="EJ144" i="53"/>
  <c r="EJ143" i="53"/>
  <c r="EJ142" i="53"/>
  <c r="EJ140" i="53"/>
  <c r="EJ138" i="53"/>
  <c r="EJ139" i="53" s="1"/>
  <c r="EJ131" i="53"/>
  <c r="EJ127" i="53"/>
  <c r="EJ129" i="53" s="1"/>
  <c r="EJ189" i="53"/>
  <c r="EJ107" i="53"/>
  <c r="EJ150" i="53"/>
  <c r="EJ199" i="53"/>
  <c r="EJ201" i="53" s="1"/>
  <c r="EJ179" i="53"/>
  <c r="EJ108" i="53"/>
  <c r="EJ106" i="53"/>
  <c r="EJ104" i="53"/>
  <c r="EJ121" i="53"/>
  <c r="EJ178" i="53"/>
  <c r="EJ153" i="53"/>
  <c r="EJ114" i="53"/>
  <c r="EJ174" i="53"/>
  <c r="EJ175" i="53" s="1"/>
  <c r="EJ193" i="53"/>
  <c r="EJ117" i="53"/>
  <c r="EJ7" i="53"/>
  <c r="EJ102" i="53"/>
  <c r="EJ103" i="53" s="1"/>
  <c r="EJ186" i="53"/>
  <c r="EJ180" i="53"/>
  <c r="EJ203" i="53"/>
  <c r="EJ176" i="53"/>
  <c r="EI115" i="53"/>
  <c r="EI118" i="53"/>
  <c r="EI120" i="53"/>
  <c r="EI151" i="53"/>
  <c r="EI154" i="53"/>
  <c r="EI156" i="53"/>
  <c r="EI187" i="53"/>
  <c r="EI190" i="53"/>
  <c r="EI192" i="53"/>
  <c r="EH126" i="53"/>
  <c r="EH116" i="53"/>
  <c r="EH119" i="53"/>
  <c r="EH105" i="53"/>
  <c r="EH110" i="53"/>
  <c r="EF111" i="53"/>
  <c r="EF112" i="53"/>
  <c r="EF211" i="53"/>
  <c r="EF183" i="53"/>
  <c r="EF184" i="53"/>
  <c r="EE212" i="53"/>
  <c r="EE160" i="53"/>
  <c r="EE214" i="53" s="1"/>
  <c r="EH210" i="53"/>
  <c r="EH146" i="53"/>
  <c r="EH141" i="53"/>
  <c r="EF213" i="53"/>
  <c r="EF160" i="53"/>
  <c r="EG124" i="53"/>
  <c r="EI139" i="53"/>
  <c r="EI175" i="53"/>
  <c r="EI103" i="53"/>
  <c r="ED214" i="53"/>
  <c r="ED133" i="53"/>
  <c r="ED135" i="53" s="1"/>
  <c r="EC168" i="53"/>
  <c r="ED164" i="53" s="1"/>
  <c r="EC166" i="53"/>
  <c r="EB169" i="53"/>
  <c r="EA171" i="53"/>
  <c r="EA204" i="53"/>
  <c r="EB200" i="53" s="1"/>
  <c r="EA202" i="53"/>
  <c r="DZ216" i="53"/>
  <c r="DZ205" i="53"/>
  <c r="DY217" i="53"/>
  <c r="DY207" i="53"/>
  <c r="DX219" i="53"/>
  <c r="EG196" i="52"/>
  <c r="EI210" i="52"/>
  <c r="EI110" i="52"/>
  <c r="EI105" i="52"/>
  <c r="EI198" i="52"/>
  <c r="EI191" i="52"/>
  <c r="EI188" i="52"/>
  <c r="EI195" i="52" s="1"/>
  <c r="EI126" i="52"/>
  <c r="EI119" i="52"/>
  <c r="EI116" i="52"/>
  <c r="EI123" i="52" s="1"/>
  <c r="EJ115" i="52"/>
  <c r="EJ120" i="52"/>
  <c r="EJ118" i="52"/>
  <c r="EJ192" i="52"/>
  <c r="EJ190" i="52"/>
  <c r="EJ187" i="52"/>
  <c r="EJ110" i="52"/>
  <c r="EJ105" i="52"/>
  <c r="EJ109" i="52" s="1"/>
  <c r="EJ151" i="52"/>
  <c r="EJ156" i="52"/>
  <c r="EJ154" i="52"/>
  <c r="EK199" i="52"/>
  <c r="EK201" i="52" s="1"/>
  <c r="EK114" i="52"/>
  <c r="EK144" i="52"/>
  <c r="EK106" i="52"/>
  <c r="EK178" i="52"/>
  <c r="EK7" i="52"/>
  <c r="EK180" i="52"/>
  <c r="EK203" i="52"/>
  <c r="EK176" i="52"/>
  <c r="EK104" i="52"/>
  <c r="EK108" i="52"/>
  <c r="EK142" i="52"/>
  <c r="EK193" i="52"/>
  <c r="EK107" i="52"/>
  <c r="EK189" i="52"/>
  <c r="EK186" i="52"/>
  <c r="EK179" i="52"/>
  <c r="EK102" i="52"/>
  <c r="EK140" i="52"/>
  <c r="EK143" i="52"/>
  <c r="EK174" i="52"/>
  <c r="EK117" i="52"/>
  <c r="EK131" i="52"/>
  <c r="EK167" i="52"/>
  <c r="EK127" i="52"/>
  <c r="EK129" i="52" s="1"/>
  <c r="EK163" i="52"/>
  <c r="EK165" i="52" s="1"/>
  <c r="EL6" i="52"/>
  <c r="EK121" i="52"/>
  <c r="EK138" i="52"/>
  <c r="EK150" i="52"/>
  <c r="EK153" i="52"/>
  <c r="EK157" i="52"/>
  <c r="EI162" i="52"/>
  <c r="EI152" i="52"/>
  <c r="EI155" i="52"/>
  <c r="EG213" i="52"/>
  <c r="ED130" i="52"/>
  <c r="ED132" i="52"/>
  <c r="EE128" i="52" s="1"/>
  <c r="EC133" i="52"/>
  <c r="EB135" i="52"/>
  <c r="EB204" i="52"/>
  <c r="EC200" i="52" s="1"/>
  <c r="EB202" i="52"/>
  <c r="EA216" i="52"/>
  <c r="EA205" i="52"/>
  <c r="DZ217" i="52"/>
  <c r="DZ207" i="52"/>
  <c r="DZ219" i="52" s="1"/>
  <c r="EH181" i="52"/>
  <c r="EH145" i="52"/>
  <c r="EH111" i="52"/>
  <c r="EH112" i="52"/>
  <c r="EH113" i="52"/>
  <c r="EI177" i="52"/>
  <c r="EI182" i="52"/>
  <c r="EI141" i="52"/>
  <c r="EI145" i="52" s="1"/>
  <c r="EI146" i="52"/>
  <c r="EG149" i="52"/>
  <c r="EH213" i="52"/>
  <c r="EJ175" i="52"/>
  <c r="EJ139" i="52"/>
  <c r="EE160" i="52"/>
  <c r="EE212" i="52"/>
  <c r="EF130" i="53"/>
  <c r="EF132" i="53"/>
  <c r="EG128" i="53" s="1"/>
  <c r="EE133" i="53"/>
  <c r="EG166" i="52"/>
  <c r="EG168" i="52"/>
  <c r="EH164" i="52" s="1"/>
  <c r="EF169" i="52"/>
  <c r="EF171" i="52" s="1"/>
  <c r="S102" i="43"/>
  <c r="S72" i="43"/>
  <c r="X72" i="43"/>
  <c r="X102" i="43"/>
  <c r="G181" i="43"/>
  <c r="R72" i="43"/>
  <c r="R102" i="43"/>
  <c r="V102" i="43"/>
  <c r="V72" i="43"/>
  <c r="W102" i="43"/>
  <c r="W72" i="43"/>
  <c r="Z102" i="43"/>
  <c r="Z72" i="43"/>
  <c r="Y102" i="43"/>
  <c r="Y72" i="43"/>
  <c r="U102" i="43"/>
  <c r="U72" i="43"/>
  <c r="T102" i="43"/>
  <c r="T72" i="43"/>
  <c r="P102" i="43"/>
  <c r="P72" i="43"/>
  <c r="O102" i="43"/>
  <c r="O72" i="43"/>
  <c r="N102" i="43"/>
  <c r="N72" i="43"/>
  <c r="G43" i="43"/>
  <c r="J43" i="43"/>
  <c r="J107" i="43" s="1"/>
  <c r="L43" i="43"/>
  <c r="L107" i="43" s="1"/>
  <c r="K43" i="43"/>
  <c r="K107" i="43" s="1"/>
  <c r="M43" i="43"/>
  <c r="M107" i="43" s="1"/>
  <c r="O43" i="43"/>
  <c r="O107" i="43" s="1"/>
  <c r="P43" i="43"/>
  <c r="P107" i="43" s="1"/>
  <c r="N43" i="43"/>
  <c r="N107" i="43" s="1"/>
  <c r="I43" i="43"/>
  <c r="I107" i="43" s="1"/>
  <c r="H43" i="43"/>
  <c r="H107" i="43" s="1"/>
  <c r="S43" i="43"/>
  <c r="S107" i="43" s="1"/>
  <c r="Z43" i="43"/>
  <c r="Z107" i="43" s="1"/>
  <c r="X43" i="43"/>
  <c r="X107" i="43" s="1"/>
  <c r="V43" i="43"/>
  <c r="V107" i="43" s="1"/>
  <c r="Q43" i="43"/>
  <c r="Q107" i="43" s="1"/>
  <c r="Y43" i="43"/>
  <c r="Y107" i="43" s="1"/>
  <c r="W43" i="43"/>
  <c r="W107" i="43" s="1"/>
  <c r="U43" i="43"/>
  <c r="U107" i="43" s="1"/>
  <c r="T43" i="43"/>
  <c r="T107" i="43" s="1"/>
  <c r="R43" i="43"/>
  <c r="R107" i="43" s="1"/>
  <c r="E158" i="43"/>
  <c r="J72" i="43"/>
  <c r="J102" i="43"/>
  <c r="K72" i="43"/>
  <c r="K102" i="43"/>
  <c r="L102" i="43"/>
  <c r="L72" i="43"/>
  <c r="I72" i="43"/>
  <c r="I102" i="43"/>
  <c r="M72" i="43"/>
  <c r="M102" i="43"/>
  <c r="Q102" i="43"/>
  <c r="Q72" i="43"/>
  <c r="K180" i="43"/>
  <c r="K181" i="43" s="1"/>
  <c r="J180" i="43"/>
  <c r="Y180" i="43"/>
  <c r="Y181" i="43" s="1"/>
  <c r="X180" i="43"/>
  <c r="X181" i="43" s="1"/>
  <c r="U180" i="43"/>
  <c r="U181" i="43" s="1"/>
  <c r="Q180" i="43"/>
  <c r="Q181" i="43" s="1"/>
  <c r="N180" i="43"/>
  <c r="N181" i="43" s="1"/>
  <c r="W180" i="43"/>
  <c r="W181" i="43" s="1"/>
  <c r="V180" i="43"/>
  <c r="V181" i="43" s="1"/>
  <c r="T180" i="43"/>
  <c r="T181" i="43" s="1"/>
  <c r="R180" i="43"/>
  <c r="R181" i="43" s="1"/>
  <c r="O180" i="43"/>
  <c r="O181" i="43" s="1"/>
  <c r="Z180" i="43"/>
  <c r="Z181" i="43" s="1"/>
  <c r="S180" i="43"/>
  <c r="S181" i="43" s="1"/>
  <c r="P180" i="43"/>
  <c r="P181" i="43" s="1"/>
  <c r="M180" i="43"/>
  <c r="M181" i="43" s="1"/>
  <c r="L180" i="43"/>
  <c r="L181" i="43" s="1"/>
  <c r="EH123" i="53" l="1"/>
  <c r="EH159" i="53"/>
  <c r="EH195" i="53"/>
  <c r="EK194" i="53"/>
  <c r="EK158" i="53"/>
  <c r="EK122" i="53"/>
  <c r="EI159" i="52"/>
  <c r="EL194" i="52"/>
  <c r="EL158" i="52"/>
  <c r="EL122" i="52"/>
  <c r="EH211" i="52"/>
  <c r="EF212" i="52"/>
  <c r="EF124" i="52"/>
  <c r="EF214" i="52" s="1"/>
  <c r="EJ210" i="52"/>
  <c r="EF113" i="53"/>
  <c r="EF185" i="53"/>
  <c r="EF196" i="53" s="1"/>
  <c r="EG211" i="53"/>
  <c r="EG147" i="53"/>
  <c r="EG148" i="53"/>
  <c r="EH181" i="53"/>
  <c r="EL6" i="53"/>
  <c r="EK167" i="53"/>
  <c r="EK163" i="53"/>
  <c r="EK165" i="53" s="1"/>
  <c r="EK157" i="53"/>
  <c r="EK144" i="53"/>
  <c r="EK143" i="53"/>
  <c r="EK142" i="53"/>
  <c r="EK140" i="53"/>
  <c r="EK138" i="53"/>
  <c r="EK131" i="53"/>
  <c r="EK127" i="53"/>
  <c r="EK129" i="53" s="1"/>
  <c r="EK203" i="53"/>
  <c r="EK180" i="53"/>
  <c r="EK186" i="53"/>
  <c r="EK102" i="53"/>
  <c r="EK7" i="53"/>
  <c r="EK117" i="53"/>
  <c r="EK189" i="53"/>
  <c r="EK174" i="53"/>
  <c r="EK153" i="53"/>
  <c r="EK178" i="53"/>
  <c r="EK176" i="53"/>
  <c r="EK121" i="53"/>
  <c r="EK114" i="53"/>
  <c r="EK104" i="53"/>
  <c r="EK106" i="53"/>
  <c r="EK199" i="53"/>
  <c r="EK201" i="53" s="1"/>
  <c r="EK179" i="53"/>
  <c r="EK107" i="53"/>
  <c r="EK108" i="53"/>
  <c r="EK150" i="53"/>
  <c r="EK193" i="53"/>
  <c r="EJ141" i="53"/>
  <c r="EJ146" i="53"/>
  <c r="EJ151" i="53"/>
  <c r="EJ154" i="53"/>
  <c r="EJ156" i="53"/>
  <c r="EJ115" i="53"/>
  <c r="EJ118" i="53"/>
  <c r="EJ120" i="53"/>
  <c r="EJ177" i="53"/>
  <c r="EJ181" i="53" s="1"/>
  <c r="EJ182" i="53"/>
  <c r="EJ210" i="53"/>
  <c r="EJ110" i="53"/>
  <c r="EJ105" i="53"/>
  <c r="EJ109" i="53" s="1"/>
  <c r="EJ187" i="53"/>
  <c r="EJ190" i="53"/>
  <c r="EJ192" i="53"/>
  <c r="EI126" i="53"/>
  <c r="EI116" i="53"/>
  <c r="EI119" i="53"/>
  <c r="EI162" i="53"/>
  <c r="EI152" i="53"/>
  <c r="EI155" i="53"/>
  <c r="EI198" i="53"/>
  <c r="EI188" i="53"/>
  <c r="EI191" i="53"/>
  <c r="EH109" i="53"/>
  <c r="EG213" i="53"/>
  <c r="EG196" i="53"/>
  <c r="EI141" i="53"/>
  <c r="EI145" i="53" s="1"/>
  <c r="EI146" i="53"/>
  <c r="EI182" i="53"/>
  <c r="EI177" i="53"/>
  <c r="EI210" i="53"/>
  <c r="EI110" i="53"/>
  <c r="EI105" i="53"/>
  <c r="EH145" i="53"/>
  <c r="ED168" i="53"/>
  <c r="EE164" i="53" s="1"/>
  <c r="ED166" i="53"/>
  <c r="EC169" i="53"/>
  <c r="EB171" i="53"/>
  <c r="EB204" i="53"/>
  <c r="EC200" i="53" s="1"/>
  <c r="EB202" i="53"/>
  <c r="EA216" i="53"/>
  <c r="EA205" i="53"/>
  <c r="DZ217" i="53"/>
  <c r="DZ207" i="53"/>
  <c r="DY219" i="53"/>
  <c r="EG160" i="52"/>
  <c r="EG212" i="52"/>
  <c r="EI109" i="52"/>
  <c r="EJ126" i="52"/>
  <c r="EJ119" i="52"/>
  <c r="EJ116" i="52"/>
  <c r="EJ123" i="52" s="1"/>
  <c r="EJ198" i="52"/>
  <c r="EJ191" i="52"/>
  <c r="EJ188" i="52"/>
  <c r="EJ195" i="52" s="1"/>
  <c r="EJ112" i="52"/>
  <c r="EJ111" i="52"/>
  <c r="EJ113" i="52" s="1"/>
  <c r="EJ162" i="52"/>
  <c r="EJ155" i="52"/>
  <c r="EJ152" i="52"/>
  <c r="EJ159" i="52" s="1"/>
  <c r="EK118" i="52"/>
  <c r="EK115" i="52"/>
  <c r="EK120" i="52"/>
  <c r="EK192" i="52"/>
  <c r="EK190" i="52"/>
  <c r="EK187" i="52"/>
  <c r="EK103" i="52"/>
  <c r="EL104" i="52"/>
  <c r="EL203" i="52"/>
  <c r="EL180" i="52"/>
  <c r="EL143" i="52"/>
  <c r="EL179" i="52"/>
  <c r="EL178" i="52"/>
  <c r="EL142" i="52"/>
  <c r="EL102" i="52"/>
  <c r="EL140" i="52"/>
  <c r="EL189" i="52"/>
  <c r="EL174" i="52"/>
  <c r="EL175" i="52" s="1"/>
  <c r="EL193" i="52"/>
  <c r="EL108" i="52"/>
  <c r="EL114" i="52"/>
  <c r="EL199" i="52"/>
  <c r="EL201" i="52" s="1"/>
  <c r="EL106" i="52"/>
  <c r="EL144" i="52"/>
  <c r="EL186" i="52"/>
  <c r="EL107" i="52"/>
  <c r="EL7" i="52"/>
  <c r="EL176" i="52"/>
  <c r="EL121" i="52"/>
  <c r="EL150" i="52"/>
  <c r="EL153" i="52"/>
  <c r="EL157" i="52"/>
  <c r="EL117" i="52"/>
  <c r="EL167" i="52"/>
  <c r="EM6" i="52"/>
  <c r="EL127" i="52"/>
  <c r="EL129" i="52" s="1"/>
  <c r="EL131" i="52"/>
  <c r="EL138" i="52"/>
  <c r="EL139" i="52" s="1"/>
  <c r="EL163" i="52"/>
  <c r="EL165" i="52" s="1"/>
  <c r="EK154" i="52"/>
  <c r="EK156" i="52"/>
  <c r="EK151" i="52"/>
  <c r="ED133" i="52"/>
  <c r="EE132" i="52"/>
  <c r="EF128" i="52" s="1"/>
  <c r="EE130" i="52"/>
  <c r="EC135" i="52"/>
  <c r="EC204" i="52"/>
  <c r="ED200" i="52" s="1"/>
  <c r="EC202" i="52"/>
  <c r="EB216" i="52"/>
  <c r="EB205" i="52"/>
  <c r="EA217" i="52"/>
  <c r="EA207" i="52"/>
  <c r="EA219" i="52" s="1"/>
  <c r="EH184" i="52"/>
  <c r="EH183" i="52"/>
  <c r="EH185" i="52" s="1"/>
  <c r="EH196" i="52" s="1"/>
  <c r="EH147" i="52"/>
  <c r="EH148" i="52"/>
  <c r="EH124" i="52"/>
  <c r="EI147" i="52"/>
  <c r="EI148" i="52"/>
  <c r="EJ177" i="52"/>
  <c r="EJ181" i="52" s="1"/>
  <c r="EJ182" i="52"/>
  <c r="EJ146" i="52"/>
  <c r="EJ141" i="52"/>
  <c r="EE214" i="52"/>
  <c r="EE169" i="52"/>
  <c r="EE171" i="52" s="1"/>
  <c r="EK175" i="52"/>
  <c r="EK139" i="52"/>
  <c r="EI181" i="52"/>
  <c r="EG132" i="53"/>
  <c r="EH128" i="53" s="1"/>
  <c r="EG130" i="53"/>
  <c r="EE135" i="53"/>
  <c r="EH166" i="52"/>
  <c r="EH168" i="52"/>
  <c r="EI164" i="52" s="1"/>
  <c r="J181" i="43"/>
  <c r="E196" i="43"/>
  <c r="G47" i="43"/>
  <c r="G107" i="43"/>
  <c r="G106" i="43" s="1"/>
  <c r="G112" i="43" s="1"/>
  <c r="EI123" i="53" l="1"/>
  <c r="EI159" i="53"/>
  <c r="EI195" i="53"/>
  <c r="EG149" i="53"/>
  <c r="EF212" i="53"/>
  <c r="EF124" i="53"/>
  <c r="EL194" i="53"/>
  <c r="EL158" i="53"/>
  <c r="EL122" i="53"/>
  <c r="EM194" i="52"/>
  <c r="EM158" i="52"/>
  <c r="EM122" i="52"/>
  <c r="EG212" i="53"/>
  <c r="EG160" i="53"/>
  <c r="EG214" i="53" s="1"/>
  <c r="EH184" i="53"/>
  <c r="EH183" i="53"/>
  <c r="EL127" i="53"/>
  <c r="EL129" i="53" s="1"/>
  <c r="EL117" i="53"/>
  <c r="EL176" i="53"/>
  <c r="EL180" i="53"/>
  <c r="EL108" i="53"/>
  <c r="EL102" i="53"/>
  <c r="EL103" i="53" s="1"/>
  <c r="EL189" i="53"/>
  <c r="EL131" i="53"/>
  <c r="EL107" i="53"/>
  <c r="EL106" i="53"/>
  <c r="EL174" i="53"/>
  <c r="EL175" i="53" s="1"/>
  <c r="EM6" i="53"/>
  <c r="EL167" i="53"/>
  <c r="EL163" i="53"/>
  <c r="EL165" i="53" s="1"/>
  <c r="EL157" i="53"/>
  <c r="EL144" i="53"/>
  <c r="EL143" i="53"/>
  <c r="EL142" i="53"/>
  <c r="EL140" i="53"/>
  <c r="EL7" i="53"/>
  <c r="EL186" i="53"/>
  <c r="EL179" i="53"/>
  <c r="EL199" i="53"/>
  <c r="EL201" i="53" s="1"/>
  <c r="EL150" i="53"/>
  <c r="EL114" i="53"/>
  <c r="EL121" i="53"/>
  <c r="EL203" i="53"/>
  <c r="EL104" i="53"/>
  <c r="EL193" i="53"/>
  <c r="EL138" i="53"/>
  <c r="EL139" i="53" s="1"/>
  <c r="EL178" i="53"/>
  <c r="EL153" i="53"/>
  <c r="EK139" i="53"/>
  <c r="EK187" i="53"/>
  <c r="EK190" i="53"/>
  <c r="EK192" i="53"/>
  <c r="EK103" i="53"/>
  <c r="EK175" i="53"/>
  <c r="EK115" i="53"/>
  <c r="EK118" i="53"/>
  <c r="EK120" i="53"/>
  <c r="EK151" i="53"/>
  <c r="EK154" i="53"/>
  <c r="EK156" i="53"/>
  <c r="EJ162" i="53"/>
  <c r="EJ152" i="53"/>
  <c r="EJ155" i="53"/>
  <c r="EJ126" i="53"/>
  <c r="EJ116" i="53"/>
  <c r="EJ119" i="53"/>
  <c r="EJ183" i="53"/>
  <c r="EJ184" i="53"/>
  <c r="EJ112" i="53"/>
  <c r="EJ111" i="53"/>
  <c r="EJ113" i="53" s="1"/>
  <c r="EJ198" i="53"/>
  <c r="EJ188" i="53"/>
  <c r="EJ191" i="53"/>
  <c r="EH211" i="53"/>
  <c r="EH111" i="53"/>
  <c r="EH112" i="53"/>
  <c r="EI147" i="53"/>
  <c r="EI148" i="53"/>
  <c r="EH213" i="53"/>
  <c r="EH148" i="53"/>
  <c r="EH147" i="53"/>
  <c r="EH149" i="53"/>
  <c r="EH160" i="53" s="1"/>
  <c r="EJ145" i="53"/>
  <c r="EJ211" i="53" s="1"/>
  <c r="EI181" i="53"/>
  <c r="EI109" i="53"/>
  <c r="EE166" i="53"/>
  <c r="EE168" i="53"/>
  <c r="EF164" i="53" s="1"/>
  <c r="ED169" i="53"/>
  <c r="EC171" i="53"/>
  <c r="EC204" i="53"/>
  <c r="ED200" i="53" s="1"/>
  <c r="EC202" i="53"/>
  <c r="EB216" i="53"/>
  <c r="EB205" i="53"/>
  <c r="EA217" i="53"/>
  <c r="EA207" i="53"/>
  <c r="DZ219" i="53"/>
  <c r="EG214" i="52"/>
  <c r="EG169" i="52"/>
  <c r="EG171" i="52" s="1"/>
  <c r="EI149" i="52"/>
  <c r="EI160" i="52" s="1"/>
  <c r="EI211" i="52"/>
  <c r="EI112" i="52"/>
  <c r="EI111" i="52"/>
  <c r="EI113" i="52" s="1"/>
  <c r="EI213" i="52"/>
  <c r="EK126" i="52"/>
  <c r="EK116" i="52"/>
  <c r="EK119" i="52"/>
  <c r="EK198" i="52"/>
  <c r="EK191" i="52"/>
  <c r="EK188" i="52"/>
  <c r="EK195" i="52" s="1"/>
  <c r="EK210" i="52"/>
  <c r="EK110" i="52"/>
  <c r="EK105" i="52"/>
  <c r="EL182" i="52"/>
  <c r="EL177" i="52"/>
  <c r="EL181" i="52" s="1"/>
  <c r="EL115" i="52"/>
  <c r="EL118" i="52"/>
  <c r="EL120" i="52"/>
  <c r="EL192" i="52"/>
  <c r="EL190" i="52"/>
  <c r="EL187" i="52"/>
  <c r="EL154" i="52"/>
  <c r="EL156" i="52"/>
  <c r="EL151" i="52"/>
  <c r="EM174" i="52"/>
  <c r="EM114" i="52"/>
  <c r="EM193" i="52"/>
  <c r="EM7" i="52"/>
  <c r="EM176" i="52"/>
  <c r="EM106" i="52"/>
  <c r="EM107" i="52"/>
  <c r="EM144" i="52"/>
  <c r="EM143" i="52"/>
  <c r="EM189" i="52"/>
  <c r="EM140" i="52"/>
  <c r="EM102" i="52"/>
  <c r="EM103" i="52" s="1"/>
  <c r="EM108" i="52"/>
  <c r="EM179" i="52"/>
  <c r="EM178" i="52"/>
  <c r="EM142" i="52"/>
  <c r="EM199" i="52"/>
  <c r="EM201" i="52" s="1"/>
  <c r="EM186" i="52"/>
  <c r="EM180" i="52"/>
  <c r="EM104" i="52"/>
  <c r="EM203" i="52"/>
  <c r="EM131" i="52"/>
  <c r="EM163" i="52"/>
  <c r="EM165" i="52" s="1"/>
  <c r="EN6" i="52"/>
  <c r="EM121" i="52"/>
  <c r="EM150" i="52"/>
  <c r="EM153" i="52"/>
  <c r="EM157" i="52"/>
  <c r="EM117" i="52"/>
  <c r="EM127" i="52"/>
  <c r="EM129" i="52" s="1"/>
  <c r="EM138" i="52"/>
  <c r="EM167" i="52"/>
  <c r="EL146" i="52"/>
  <c r="EL141" i="52"/>
  <c r="EL145" i="52" s="1"/>
  <c r="EK162" i="52"/>
  <c r="EK155" i="52"/>
  <c r="EK152" i="52"/>
  <c r="EK159" i="52" s="1"/>
  <c r="ED135" i="52"/>
  <c r="EF132" i="52"/>
  <c r="EG128" i="52" s="1"/>
  <c r="EF130" i="52"/>
  <c r="EE133" i="52"/>
  <c r="ED204" i="52"/>
  <c r="EE200" i="52" s="1"/>
  <c r="ED202" i="52"/>
  <c r="EC216" i="52"/>
  <c r="EC205" i="52"/>
  <c r="EB217" i="52"/>
  <c r="EB207" i="52"/>
  <c r="EB219" i="52" s="1"/>
  <c r="EJ184" i="52"/>
  <c r="EJ183" i="52"/>
  <c r="EJ185" i="52" s="1"/>
  <c r="EJ145" i="52"/>
  <c r="EK177" i="52"/>
  <c r="EK182" i="52"/>
  <c r="EK141" i="52"/>
  <c r="EK146" i="52"/>
  <c r="EI183" i="52"/>
  <c r="EI184" i="52"/>
  <c r="EI185" i="52" s="1"/>
  <c r="EI196" i="52" s="1"/>
  <c r="EH149" i="52"/>
  <c r="EJ124" i="52"/>
  <c r="EL103" i="52"/>
  <c r="EH132" i="53"/>
  <c r="EI128" i="53" s="1"/>
  <c r="EH130" i="53"/>
  <c r="EG133" i="53"/>
  <c r="EI166" i="52"/>
  <c r="EI168" i="52"/>
  <c r="EJ164" i="52" s="1"/>
  <c r="G182" i="43"/>
  <c r="G185" i="43" s="1"/>
  <c r="H42" i="43"/>
  <c r="G115" i="43"/>
  <c r="H114" i="43" s="1"/>
  <c r="G186" i="43"/>
  <c r="G113" i="43"/>
  <c r="G120" i="43"/>
  <c r="G118" i="43"/>
  <c r="EJ159" i="53" l="1"/>
  <c r="EJ123" i="53"/>
  <c r="EJ195" i="53"/>
  <c r="EH185" i="53"/>
  <c r="EH196" i="53" s="1"/>
  <c r="EF214" i="53"/>
  <c r="EF133" i="53"/>
  <c r="EF135" i="53" s="1"/>
  <c r="EM194" i="53"/>
  <c r="EM158" i="53"/>
  <c r="EM122" i="53"/>
  <c r="EK123" i="52"/>
  <c r="EN194" i="52"/>
  <c r="EN158" i="52"/>
  <c r="EN122" i="52"/>
  <c r="EJ213" i="52"/>
  <c r="EI149" i="53"/>
  <c r="EI160" i="53" s="1"/>
  <c r="EL210" i="53"/>
  <c r="EL110" i="53"/>
  <c r="EL105" i="53"/>
  <c r="EL109" i="53" s="1"/>
  <c r="EL182" i="53"/>
  <c r="EL177" i="53"/>
  <c r="EL181" i="53" s="1"/>
  <c r="EM143" i="53"/>
  <c r="EM140" i="53"/>
  <c r="EM114" i="53"/>
  <c r="EM121" i="53"/>
  <c r="EM107" i="53"/>
  <c r="EM117" i="53"/>
  <c r="EM186" i="53"/>
  <c r="EM178" i="53"/>
  <c r="EM142" i="53"/>
  <c r="EM138" i="53"/>
  <c r="EM127" i="53"/>
  <c r="EM129" i="53" s="1"/>
  <c r="EM104" i="53"/>
  <c r="EM150" i="53"/>
  <c r="EM174" i="53"/>
  <c r="EM176" i="53"/>
  <c r="EM7" i="53"/>
  <c r="EM102" i="53"/>
  <c r="EM167" i="53"/>
  <c r="EM203" i="53"/>
  <c r="EM199" i="53"/>
  <c r="EM201" i="53" s="1"/>
  <c r="EM179" i="53"/>
  <c r="EM108" i="53"/>
  <c r="EM180" i="53"/>
  <c r="EM106" i="53"/>
  <c r="EM193" i="53"/>
  <c r="EN6" i="53"/>
  <c r="EM163" i="53"/>
  <c r="EM165" i="53" s="1"/>
  <c r="EM131" i="53"/>
  <c r="EM157" i="53"/>
  <c r="EM144" i="53"/>
  <c r="EM153" i="53"/>
  <c r="EM189" i="53"/>
  <c r="EL190" i="53"/>
  <c r="EL187" i="53"/>
  <c r="EL192" i="53"/>
  <c r="EL151" i="53"/>
  <c r="EL154" i="53"/>
  <c r="EL156" i="53"/>
  <c r="EL115" i="53"/>
  <c r="EL118" i="53"/>
  <c r="EL120" i="53"/>
  <c r="EL146" i="53"/>
  <c r="EL141" i="53"/>
  <c r="EL145" i="53" s="1"/>
  <c r="EK141" i="53"/>
  <c r="EK146" i="53"/>
  <c r="EK198" i="53"/>
  <c r="EK188" i="53"/>
  <c r="EK191" i="53"/>
  <c r="EK210" i="53"/>
  <c r="EK110" i="53"/>
  <c r="EK105" i="53"/>
  <c r="EK182" i="53"/>
  <c r="EK177" i="53"/>
  <c r="EK126" i="53"/>
  <c r="EK116" i="53"/>
  <c r="EK119" i="53"/>
  <c r="EK162" i="53"/>
  <c r="EK152" i="53"/>
  <c r="EK155" i="53"/>
  <c r="EJ148" i="53"/>
  <c r="EJ147" i="53"/>
  <c r="EJ149" i="53" s="1"/>
  <c r="EI184" i="53"/>
  <c r="EI183" i="53"/>
  <c r="EI211" i="53"/>
  <c r="EI112" i="53"/>
  <c r="EI111" i="53"/>
  <c r="EI113" i="53" s="1"/>
  <c r="EJ185" i="53"/>
  <c r="EI213" i="53"/>
  <c r="EH113" i="53"/>
  <c r="EJ124" i="53"/>
  <c r="EE169" i="53"/>
  <c r="EF168" i="53"/>
  <c r="EG164" i="53" s="1"/>
  <c r="EF166" i="53"/>
  <c r="ED171" i="53"/>
  <c r="ED204" i="53"/>
  <c r="EE200" i="53" s="1"/>
  <c r="ED202" i="53"/>
  <c r="EC216" i="53"/>
  <c r="EC205" i="53"/>
  <c r="EB217" i="53"/>
  <c r="EB207" i="53"/>
  <c r="EA219" i="53"/>
  <c r="EJ196" i="52"/>
  <c r="EI212" i="52"/>
  <c r="EI124" i="52"/>
  <c r="EI214" i="52" s="1"/>
  <c r="EK109" i="52"/>
  <c r="EL184" i="52"/>
  <c r="EL183" i="52"/>
  <c r="EL185" i="52" s="1"/>
  <c r="EL126" i="52"/>
  <c r="EL116" i="52"/>
  <c r="EL119" i="52"/>
  <c r="EL198" i="52"/>
  <c r="EL191" i="52"/>
  <c r="EL188" i="52"/>
  <c r="EL195" i="52" s="1"/>
  <c r="EL162" i="52"/>
  <c r="EL155" i="52"/>
  <c r="EL152" i="52"/>
  <c r="EL159" i="52" s="1"/>
  <c r="EM175" i="52"/>
  <c r="EM115" i="52"/>
  <c r="EM120" i="52"/>
  <c r="EM118" i="52"/>
  <c r="EM110" i="52"/>
  <c r="EM105" i="52"/>
  <c r="EM192" i="52"/>
  <c r="EM190" i="52"/>
  <c r="EM187" i="52"/>
  <c r="EN144" i="52"/>
  <c r="EN179" i="52"/>
  <c r="EN176" i="52"/>
  <c r="EN107" i="52"/>
  <c r="EN104" i="52"/>
  <c r="EN180" i="52"/>
  <c r="EN186" i="52"/>
  <c r="EN178" i="52"/>
  <c r="EN102" i="52"/>
  <c r="EN142" i="52"/>
  <c r="EN108" i="52"/>
  <c r="EN189" i="52"/>
  <c r="EN143" i="52"/>
  <c r="EN140" i="52"/>
  <c r="EN199" i="52"/>
  <c r="EN201" i="52" s="1"/>
  <c r="EN114" i="52"/>
  <c r="EN106" i="52"/>
  <c r="EN193" i="52"/>
  <c r="EN7" i="52"/>
  <c r="EN203" i="52"/>
  <c r="EN174" i="52"/>
  <c r="EN121" i="52"/>
  <c r="EN127" i="52"/>
  <c r="EN129" i="52" s="1"/>
  <c r="EN138" i="52"/>
  <c r="EN139" i="52" s="1"/>
  <c r="EN150" i="52"/>
  <c r="EN153" i="52"/>
  <c r="EN157" i="52"/>
  <c r="EO6" i="52"/>
  <c r="EN131" i="52"/>
  <c r="EN167" i="52"/>
  <c r="EN117" i="52"/>
  <c r="EN163" i="52"/>
  <c r="EN165" i="52" s="1"/>
  <c r="EM151" i="52"/>
  <c r="EM154" i="52"/>
  <c r="EM156" i="52"/>
  <c r="EM139" i="52"/>
  <c r="EL147" i="52"/>
  <c r="EL148" i="52"/>
  <c r="EG132" i="52"/>
  <c r="EH128" i="52" s="1"/>
  <c r="EG130" i="52"/>
  <c r="EF133" i="52"/>
  <c r="EE135" i="52"/>
  <c r="EE204" i="52"/>
  <c r="EF200" i="52" s="1"/>
  <c r="EE202" i="52"/>
  <c r="ED216" i="52"/>
  <c r="ED205" i="52"/>
  <c r="EC217" i="52"/>
  <c r="EC207" i="52"/>
  <c r="EC219" i="52" s="1"/>
  <c r="EJ211" i="52"/>
  <c r="EJ147" i="52"/>
  <c r="EJ148" i="52"/>
  <c r="EK181" i="52"/>
  <c r="EH212" i="52"/>
  <c r="EH160" i="52"/>
  <c r="EL105" i="52"/>
  <c r="EL109" i="52" s="1"/>
  <c r="EL110" i="52"/>
  <c r="EL210" i="52"/>
  <c r="EK145" i="52"/>
  <c r="EI130" i="53"/>
  <c r="EI132" i="53"/>
  <c r="EJ128" i="53" s="1"/>
  <c r="EG135" i="53"/>
  <c r="EJ166" i="52"/>
  <c r="EJ168" i="52"/>
  <c r="EK164" i="52" s="1"/>
  <c r="EI169" i="52"/>
  <c r="EI171" i="52" s="1"/>
  <c r="G187" i="43"/>
  <c r="H44" i="43"/>
  <c r="G121" i="43"/>
  <c r="EK195" i="53" l="1"/>
  <c r="EK159" i="53"/>
  <c r="EK123" i="53"/>
  <c r="EN194" i="53"/>
  <c r="EN158" i="53"/>
  <c r="EN122" i="53"/>
  <c r="EL123" i="52"/>
  <c r="EO194" i="52"/>
  <c r="EO158" i="52"/>
  <c r="EO122" i="52"/>
  <c r="EL112" i="53"/>
  <c r="EL211" i="53"/>
  <c r="EL111" i="53"/>
  <c r="EL113" i="53" s="1"/>
  <c r="EL183" i="53"/>
  <c r="EL184" i="53"/>
  <c r="EM115" i="53"/>
  <c r="EM118" i="53"/>
  <c r="EM120" i="53"/>
  <c r="EM187" i="53"/>
  <c r="EM190" i="53"/>
  <c r="EM192" i="53"/>
  <c r="EM139" i="53"/>
  <c r="EM151" i="53"/>
  <c r="EM154" i="53"/>
  <c r="EM156" i="53"/>
  <c r="EM175" i="53"/>
  <c r="EM103" i="53"/>
  <c r="EO6" i="53"/>
  <c r="EN167" i="53"/>
  <c r="EN163" i="53"/>
  <c r="EN165" i="53" s="1"/>
  <c r="EN157" i="53"/>
  <c r="EN144" i="53"/>
  <c r="EN143" i="53"/>
  <c r="EN142" i="53"/>
  <c r="EN140" i="53"/>
  <c r="EN138" i="53"/>
  <c r="EN131" i="53"/>
  <c r="EN127" i="53"/>
  <c r="EN129" i="53" s="1"/>
  <c r="EN186" i="53"/>
  <c r="EN107" i="53"/>
  <c r="EN106" i="53"/>
  <c r="EN176" i="53"/>
  <c r="EN180" i="53"/>
  <c r="EN193" i="53"/>
  <c r="EN7" i="53"/>
  <c r="EN189" i="53"/>
  <c r="EN117" i="53"/>
  <c r="EN150" i="53"/>
  <c r="EN108" i="53"/>
  <c r="EN179" i="53"/>
  <c r="EN174" i="53"/>
  <c r="EN153" i="53"/>
  <c r="EN121" i="53"/>
  <c r="EN178" i="53"/>
  <c r="EN199" i="53"/>
  <c r="EN201" i="53" s="1"/>
  <c r="EN203" i="53"/>
  <c r="EN102" i="53"/>
  <c r="EN114" i="53"/>
  <c r="EN104" i="53"/>
  <c r="EL198" i="53"/>
  <c r="EL188" i="53"/>
  <c r="EL195" i="53" s="1"/>
  <c r="EL191" i="53"/>
  <c r="EL162" i="53"/>
  <c r="EL152" i="53"/>
  <c r="EL159" i="53" s="1"/>
  <c r="EL155" i="53"/>
  <c r="EL126" i="53"/>
  <c r="EL116" i="53"/>
  <c r="EL119" i="53"/>
  <c r="EL147" i="53"/>
  <c r="EL148" i="53"/>
  <c r="EK145" i="53"/>
  <c r="EK109" i="53"/>
  <c r="EK181" i="53"/>
  <c r="EJ213" i="53"/>
  <c r="EI124" i="53"/>
  <c r="EI133" i="53" s="1"/>
  <c r="EH124" i="53"/>
  <c r="EH212" i="53"/>
  <c r="EI185" i="53"/>
  <c r="EJ196" i="53"/>
  <c r="EJ160" i="53"/>
  <c r="EJ214" i="53" s="1"/>
  <c r="EJ212" i="53"/>
  <c r="EE171" i="53"/>
  <c r="EG168" i="53"/>
  <c r="EH164" i="53" s="1"/>
  <c r="EG166" i="53"/>
  <c r="EF169" i="53"/>
  <c r="EE202" i="53"/>
  <c r="EE204" i="53"/>
  <c r="EF200" i="53" s="1"/>
  <c r="ED216" i="53"/>
  <c r="ED205" i="53"/>
  <c r="EC217" i="53"/>
  <c r="EC207" i="53"/>
  <c r="EB219" i="53"/>
  <c r="EM210" i="52"/>
  <c r="EL196" i="52"/>
  <c r="EK211" i="52"/>
  <c r="EK112" i="52"/>
  <c r="EK111" i="52"/>
  <c r="EK113" i="52" s="1"/>
  <c r="EM182" i="52"/>
  <c r="EM177" i="52"/>
  <c r="EM126" i="52"/>
  <c r="EM116" i="52"/>
  <c r="EM123" i="52" s="1"/>
  <c r="EM119" i="52"/>
  <c r="EM198" i="52"/>
  <c r="EM191" i="52"/>
  <c r="EM188" i="52"/>
  <c r="EM195" i="52" s="1"/>
  <c r="EN192" i="52"/>
  <c r="EN190" i="52"/>
  <c r="EN187" i="52"/>
  <c r="EN103" i="52"/>
  <c r="EN120" i="52"/>
  <c r="EN118" i="52"/>
  <c r="EN115" i="52"/>
  <c r="EN141" i="52"/>
  <c r="EN145" i="52" s="1"/>
  <c r="EN146" i="52"/>
  <c r="EN154" i="52"/>
  <c r="EN156" i="52"/>
  <c r="EN151" i="52"/>
  <c r="EO186" i="52"/>
  <c r="EO104" i="52"/>
  <c r="EO106" i="52"/>
  <c r="EO143" i="52"/>
  <c r="EO108" i="52"/>
  <c r="EO107" i="52"/>
  <c r="EO193" i="52"/>
  <c r="EO7" i="52"/>
  <c r="EO203" i="52"/>
  <c r="EO114" i="52"/>
  <c r="EO178" i="52"/>
  <c r="EO189" i="52"/>
  <c r="EO174" i="52"/>
  <c r="EO199" i="52"/>
  <c r="EO201" i="52" s="1"/>
  <c r="EO140" i="52"/>
  <c r="EO176" i="52"/>
  <c r="EO102" i="52"/>
  <c r="EO179" i="52"/>
  <c r="EO142" i="52"/>
  <c r="EO144" i="52"/>
  <c r="EO180" i="52"/>
  <c r="EO117" i="52"/>
  <c r="EO138" i="52"/>
  <c r="EO167" i="52"/>
  <c r="EP6" i="52"/>
  <c r="EO131" i="52"/>
  <c r="EO163" i="52"/>
  <c r="EO165" i="52" s="1"/>
  <c r="EO121" i="52"/>
  <c r="EO127" i="52"/>
  <c r="EO129" i="52" s="1"/>
  <c r="EO150" i="52"/>
  <c r="EO153" i="52"/>
  <c r="EO157" i="52"/>
  <c r="EM162" i="52"/>
  <c r="EM155" i="52"/>
  <c r="EM152" i="52"/>
  <c r="EM159" i="52" s="1"/>
  <c r="EM146" i="52"/>
  <c r="EM141" i="52"/>
  <c r="EK213" i="52"/>
  <c r="EH132" i="52"/>
  <c r="EI128" i="52" s="1"/>
  <c r="EH130" i="52"/>
  <c r="EG133" i="52"/>
  <c r="EF135" i="52"/>
  <c r="EF204" i="52"/>
  <c r="EG200" i="52" s="1"/>
  <c r="EF202" i="52"/>
  <c r="EE216" i="52"/>
  <c r="EE205" i="52"/>
  <c r="ED217" i="52"/>
  <c r="ED207" i="52"/>
  <c r="ED219" i="52" s="1"/>
  <c r="EK184" i="52"/>
  <c r="EK183" i="52"/>
  <c r="EK185" i="52" s="1"/>
  <c r="EK196" i="52" s="1"/>
  <c r="EH169" i="52"/>
  <c r="EH171" i="52" s="1"/>
  <c r="EH214" i="52"/>
  <c r="EL211" i="52"/>
  <c r="EL112" i="52"/>
  <c r="EL111" i="52"/>
  <c r="EL113" i="52" s="1"/>
  <c r="EK148" i="52"/>
  <c r="EK147" i="52"/>
  <c r="EK149" i="52" s="1"/>
  <c r="EK160" i="52" s="1"/>
  <c r="EL149" i="52"/>
  <c r="EL160" i="52" s="1"/>
  <c r="EJ149" i="52"/>
  <c r="EM109" i="52"/>
  <c r="EN175" i="52"/>
  <c r="EJ130" i="53"/>
  <c r="EJ132" i="53"/>
  <c r="EK128" i="53" s="1"/>
  <c r="EK166" i="52"/>
  <c r="EK168" i="52"/>
  <c r="EL164" i="52" s="1"/>
  <c r="G188" i="43"/>
  <c r="G189" i="43"/>
  <c r="H46" i="43"/>
  <c r="H73" i="43"/>
  <c r="EL123" i="53" l="1"/>
  <c r="EO194" i="53"/>
  <c r="EO158" i="53"/>
  <c r="EO122" i="53"/>
  <c r="EP194" i="52"/>
  <c r="EP158" i="52"/>
  <c r="EP122" i="52"/>
  <c r="EK169" i="52"/>
  <c r="EK171" i="52" s="1"/>
  <c r="EM126" i="53"/>
  <c r="EM116" i="53"/>
  <c r="EM119" i="53"/>
  <c r="EM198" i="53"/>
  <c r="EM188" i="53"/>
  <c r="EM195" i="53" s="1"/>
  <c r="EM191" i="53"/>
  <c r="EM146" i="53"/>
  <c r="EM141" i="53"/>
  <c r="EM162" i="53"/>
  <c r="EM152" i="53"/>
  <c r="EM155" i="53"/>
  <c r="EM182" i="53"/>
  <c r="EM177" i="53"/>
  <c r="EM210" i="53"/>
  <c r="EM110" i="53"/>
  <c r="EM105" i="53"/>
  <c r="EO167" i="53"/>
  <c r="EO143" i="53"/>
  <c r="EP6" i="53"/>
  <c r="EO163" i="53"/>
  <c r="EO165" i="53" s="1"/>
  <c r="EO157" i="53"/>
  <c r="EO144" i="53"/>
  <c r="EO142" i="53"/>
  <c r="EO140" i="53"/>
  <c r="EO138" i="53"/>
  <c r="EO139" i="53" s="1"/>
  <c r="EO131" i="53"/>
  <c r="EO127" i="53"/>
  <c r="EO129" i="53" s="1"/>
  <c r="EO176" i="53"/>
  <c r="EO104" i="53"/>
  <c r="EO102" i="53"/>
  <c r="EO103" i="53" s="1"/>
  <c r="EO107" i="53"/>
  <c r="EO180" i="53"/>
  <c r="EO174" i="53"/>
  <c r="EO175" i="53" s="1"/>
  <c r="EO106" i="53"/>
  <c r="EO193" i="53"/>
  <c r="EO7" i="53"/>
  <c r="EO150" i="53"/>
  <c r="EO114" i="53"/>
  <c r="EO189" i="53"/>
  <c r="EO203" i="53"/>
  <c r="EO199" i="53"/>
  <c r="EO201" i="53" s="1"/>
  <c r="EO186" i="53"/>
  <c r="EO178" i="53"/>
  <c r="EO108" i="53"/>
  <c r="EO179" i="53"/>
  <c r="EO153" i="53"/>
  <c r="EO121" i="53"/>
  <c r="EO117" i="53"/>
  <c r="EN187" i="53"/>
  <c r="EN190" i="53"/>
  <c r="EN192" i="53"/>
  <c r="EN151" i="53"/>
  <c r="EN154" i="53"/>
  <c r="EN156" i="53"/>
  <c r="EN115" i="53"/>
  <c r="EN118" i="53"/>
  <c r="EN120" i="53"/>
  <c r="EL124" i="53"/>
  <c r="EK148" i="53"/>
  <c r="EK147" i="53"/>
  <c r="EK111" i="53"/>
  <c r="EK112" i="53"/>
  <c r="EK211" i="53"/>
  <c r="EK183" i="53"/>
  <c r="EK184" i="53"/>
  <c r="EH133" i="53"/>
  <c r="EH135" i="53" s="1"/>
  <c r="EH214" i="53"/>
  <c r="EK213" i="53"/>
  <c r="EL185" i="53"/>
  <c r="EL196" i="53" s="1"/>
  <c r="EL149" i="53"/>
  <c r="EN139" i="53"/>
  <c r="EN175" i="53"/>
  <c r="EN103" i="53"/>
  <c r="EI196" i="53"/>
  <c r="EI214" i="53" s="1"/>
  <c r="EI212" i="53"/>
  <c r="EH166" i="53"/>
  <c r="EH168" i="53"/>
  <c r="EI164" i="53" s="1"/>
  <c r="EG169" i="53"/>
  <c r="EF171" i="53"/>
  <c r="EE216" i="53"/>
  <c r="EE205" i="53"/>
  <c r="EF204" i="53"/>
  <c r="EG200" i="53" s="1"/>
  <c r="EF202" i="53"/>
  <c r="ED217" i="53"/>
  <c r="ED207" i="53"/>
  <c r="EC219" i="53"/>
  <c r="EK212" i="52"/>
  <c r="EK124" i="52"/>
  <c r="EK214" i="52" s="1"/>
  <c r="EM181" i="52"/>
  <c r="EN198" i="52"/>
  <c r="EN191" i="52"/>
  <c r="EN188" i="52"/>
  <c r="EN195" i="52" s="1"/>
  <c r="EN210" i="52"/>
  <c r="EN110" i="52"/>
  <c r="EN105" i="52"/>
  <c r="EN126" i="52"/>
  <c r="EN116" i="52"/>
  <c r="EN119" i="52"/>
  <c r="EN147" i="52"/>
  <c r="EN148" i="52"/>
  <c r="EN162" i="52"/>
  <c r="EN155" i="52"/>
  <c r="EN152" i="52"/>
  <c r="EO192" i="52"/>
  <c r="EO190" i="52"/>
  <c r="EO187" i="52"/>
  <c r="EO120" i="52"/>
  <c r="EO118" i="52"/>
  <c r="EO115" i="52"/>
  <c r="EO139" i="52"/>
  <c r="EP142" i="52"/>
  <c r="EP144" i="52"/>
  <c r="EP102" i="52"/>
  <c r="EP103" i="52" s="1"/>
  <c r="EP179" i="52"/>
  <c r="EP107" i="52"/>
  <c r="EP203" i="52"/>
  <c r="EP140" i="52"/>
  <c r="EP189" i="52"/>
  <c r="EP174" i="52"/>
  <c r="EP175" i="52" s="1"/>
  <c r="EP199" i="52"/>
  <c r="EP201" i="52" s="1"/>
  <c r="EP178" i="52"/>
  <c r="EP114" i="52"/>
  <c r="EP143" i="52"/>
  <c r="EP176" i="52"/>
  <c r="EP193" i="52"/>
  <c r="EP108" i="52"/>
  <c r="EP7" i="52"/>
  <c r="EP106" i="52"/>
  <c r="EP104" i="52"/>
  <c r="EP180" i="52"/>
  <c r="EP186" i="52"/>
  <c r="EP138" i="52"/>
  <c r="EP139" i="52" s="1"/>
  <c r="EP163" i="52"/>
  <c r="EP165" i="52" s="1"/>
  <c r="EQ6" i="52"/>
  <c r="EP121" i="52"/>
  <c r="EP127" i="52"/>
  <c r="EP129" i="52" s="1"/>
  <c r="EP150" i="52"/>
  <c r="EP153" i="52"/>
  <c r="EP157" i="52"/>
  <c r="EP117" i="52"/>
  <c r="EP131" i="52"/>
  <c r="EP167" i="52"/>
  <c r="EO151" i="52"/>
  <c r="EO154" i="52"/>
  <c r="EO156" i="52"/>
  <c r="EM145" i="52"/>
  <c r="EI132" i="52"/>
  <c r="EJ128" i="52" s="1"/>
  <c r="EI130" i="52"/>
  <c r="EH133" i="52"/>
  <c r="EG135" i="52"/>
  <c r="EG204" i="52"/>
  <c r="EH200" i="52" s="1"/>
  <c r="EG202" i="52"/>
  <c r="EF216" i="52"/>
  <c r="EF205" i="52"/>
  <c r="EE217" i="52"/>
  <c r="EE207" i="52"/>
  <c r="EE219" i="52" s="1"/>
  <c r="EL212" i="52"/>
  <c r="EL124" i="52"/>
  <c r="EL214" i="52" s="1"/>
  <c r="EJ160" i="52"/>
  <c r="EJ212" i="52"/>
  <c r="EL213" i="52"/>
  <c r="EM111" i="52"/>
  <c r="EM112" i="52"/>
  <c r="EM113" i="52"/>
  <c r="EN177" i="52"/>
  <c r="EN182" i="52"/>
  <c r="EO175" i="52"/>
  <c r="EO103" i="52"/>
  <c r="EI135" i="53"/>
  <c r="EJ133" i="53"/>
  <c r="EK130" i="53"/>
  <c r="EK132" i="53"/>
  <c r="EL128" i="53" s="1"/>
  <c r="EL166" i="52"/>
  <c r="EL168" i="52"/>
  <c r="EM164" i="52" s="1"/>
  <c r="G190" i="43"/>
  <c r="H47" i="43"/>
  <c r="H53" i="43"/>
  <c r="H75" i="43"/>
  <c r="H100" i="43"/>
  <c r="EM159" i="53" l="1"/>
  <c r="EM123" i="53"/>
  <c r="EP194" i="53"/>
  <c r="EP158" i="53"/>
  <c r="EP122" i="53"/>
  <c r="EN123" i="52"/>
  <c r="EN159" i="52"/>
  <c r="EQ194" i="52"/>
  <c r="EQ158" i="52"/>
  <c r="EQ122" i="52"/>
  <c r="EM145" i="53"/>
  <c r="EM181" i="53"/>
  <c r="EM109" i="53"/>
  <c r="EQ6" i="53"/>
  <c r="EP167" i="53"/>
  <c r="EP157" i="53"/>
  <c r="EP143" i="53"/>
  <c r="EP131" i="53"/>
  <c r="EP108" i="53"/>
  <c r="EP163" i="53"/>
  <c r="EP165" i="53" s="1"/>
  <c r="EP144" i="53"/>
  <c r="EP142" i="53"/>
  <c r="EP140" i="53"/>
  <c r="EP138" i="53"/>
  <c r="EP127" i="53"/>
  <c r="EP129" i="53" s="1"/>
  <c r="EP114" i="53"/>
  <c r="EP121" i="53"/>
  <c r="EP102" i="53"/>
  <c r="EP178" i="53"/>
  <c r="EP153" i="53"/>
  <c r="EP106" i="53"/>
  <c r="EP117" i="53"/>
  <c r="EP186" i="53"/>
  <c r="EP180" i="53"/>
  <c r="EP199" i="53"/>
  <c r="EP201" i="53" s="1"/>
  <c r="EP7" i="53"/>
  <c r="EP174" i="53"/>
  <c r="EP193" i="53"/>
  <c r="EP150" i="53"/>
  <c r="EP189" i="53"/>
  <c r="EP107" i="53"/>
  <c r="EP203" i="53"/>
  <c r="EP179" i="53"/>
  <c r="EP104" i="53"/>
  <c r="EP176" i="53"/>
  <c r="EO146" i="53"/>
  <c r="EO141" i="53"/>
  <c r="EO145" i="53" s="1"/>
  <c r="EO210" i="53"/>
  <c r="EO110" i="53"/>
  <c r="EO105" i="53"/>
  <c r="EO109" i="53" s="1"/>
  <c r="EO177" i="53"/>
  <c r="EO181" i="53" s="1"/>
  <c r="EO182" i="53"/>
  <c r="EO151" i="53"/>
  <c r="EO156" i="53"/>
  <c r="EO154" i="53"/>
  <c r="EO115" i="53"/>
  <c r="EO118" i="53"/>
  <c r="EO120" i="53"/>
  <c r="EO187" i="53"/>
  <c r="EO192" i="53"/>
  <c r="EO190" i="53"/>
  <c r="EN198" i="53"/>
  <c r="EN188" i="53"/>
  <c r="EN191" i="53"/>
  <c r="EN162" i="53"/>
  <c r="EN152" i="53"/>
  <c r="EN155" i="53"/>
  <c r="EN126" i="53"/>
  <c r="EN116" i="53"/>
  <c r="EN119" i="53"/>
  <c r="EN146" i="53"/>
  <c r="EN141" i="53"/>
  <c r="EN182" i="53"/>
  <c r="EN177" i="53"/>
  <c r="EN110" i="53"/>
  <c r="EN210" i="53"/>
  <c r="EN105" i="53"/>
  <c r="EL213" i="53"/>
  <c r="EK149" i="53"/>
  <c r="EK160" i="53" s="1"/>
  <c r="EK113" i="53"/>
  <c r="EK185" i="53"/>
  <c r="EK196" i="53" s="1"/>
  <c r="EL160" i="53"/>
  <c r="EL214" i="53" s="1"/>
  <c r="EL212" i="53"/>
  <c r="EH169" i="53"/>
  <c r="EI168" i="53"/>
  <c r="EJ164" i="53" s="1"/>
  <c r="EI166" i="53"/>
  <c r="EG171" i="53"/>
  <c r="EE217" i="53"/>
  <c r="EE207" i="53"/>
  <c r="EG204" i="53"/>
  <c r="EH200" i="53" s="1"/>
  <c r="EG202" i="53"/>
  <c r="EF216" i="53"/>
  <c r="EF205" i="53"/>
  <c r="ED219" i="53"/>
  <c r="EM211" i="52"/>
  <c r="EM184" i="52"/>
  <c r="EM183" i="52"/>
  <c r="EM185" i="52" s="1"/>
  <c r="EM196" i="52" s="1"/>
  <c r="EN109" i="52"/>
  <c r="EO198" i="52"/>
  <c r="EO188" i="52"/>
  <c r="EO191" i="52"/>
  <c r="EO126" i="52"/>
  <c r="EO116" i="52"/>
  <c r="EO119" i="52"/>
  <c r="EO141" i="52"/>
  <c r="EO146" i="52"/>
  <c r="EP210" i="52"/>
  <c r="EP110" i="52"/>
  <c r="EP105" i="52"/>
  <c r="EP109" i="52" s="1"/>
  <c r="EP182" i="52"/>
  <c r="EP177" i="52"/>
  <c r="EP181" i="52" s="1"/>
  <c r="EP118" i="52"/>
  <c r="EP115" i="52"/>
  <c r="EP120" i="52"/>
  <c r="EP192" i="52"/>
  <c r="EP190" i="52"/>
  <c r="EP187" i="52"/>
  <c r="EP141" i="52"/>
  <c r="EP145" i="52" s="1"/>
  <c r="EP146" i="52"/>
  <c r="EQ142" i="52"/>
  <c r="EQ178" i="52"/>
  <c r="EQ174" i="52"/>
  <c r="EQ193" i="52"/>
  <c r="EQ203" i="52"/>
  <c r="EQ108" i="52"/>
  <c r="EQ144" i="52"/>
  <c r="EQ140" i="52"/>
  <c r="EQ179" i="52"/>
  <c r="EQ186" i="52"/>
  <c r="EQ107" i="52"/>
  <c r="EQ104" i="52"/>
  <c r="EQ106" i="52"/>
  <c r="EQ189" i="52"/>
  <c r="EQ180" i="52"/>
  <c r="EQ102" i="52"/>
  <c r="EQ114" i="52"/>
  <c r="EQ143" i="52"/>
  <c r="EQ7" i="52"/>
  <c r="EQ176" i="52"/>
  <c r="EQ199" i="52"/>
  <c r="EQ201" i="52" s="1"/>
  <c r="EQ121" i="52"/>
  <c r="EQ127" i="52"/>
  <c r="EQ129" i="52" s="1"/>
  <c r="EQ138" i="52"/>
  <c r="EQ150" i="52"/>
  <c r="EQ153" i="52"/>
  <c r="EQ157" i="52"/>
  <c r="ER6" i="52"/>
  <c r="EQ117" i="52"/>
  <c r="EQ167" i="52"/>
  <c r="EQ131" i="52"/>
  <c r="EQ163" i="52"/>
  <c r="EQ165" i="52" s="1"/>
  <c r="EP156" i="52"/>
  <c r="EP154" i="52"/>
  <c r="EP151" i="52"/>
  <c r="EO162" i="52"/>
  <c r="EO155" i="52"/>
  <c r="EO152" i="52"/>
  <c r="EO159" i="52" s="1"/>
  <c r="EM147" i="52"/>
  <c r="EM148" i="52"/>
  <c r="EJ132" i="52"/>
  <c r="EK128" i="52" s="1"/>
  <c r="EJ130" i="52"/>
  <c r="EI133" i="52"/>
  <c r="EH135" i="52"/>
  <c r="EH204" i="52"/>
  <c r="EI200" i="52" s="1"/>
  <c r="EH202" i="52"/>
  <c r="EG216" i="52"/>
  <c r="EG205" i="52"/>
  <c r="EF217" i="52"/>
  <c r="EF207" i="52"/>
  <c r="EF219" i="52" s="1"/>
  <c r="EJ169" i="52"/>
  <c r="EJ171" i="52" s="1"/>
  <c r="EJ214" i="52"/>
  <c r="EM124" i="52"/>
  <c r="EO177" i="52"/>
  <c r="EO181" i="52" s="1"/>
  <c r="EO182" i="52"/>
  <c r="EO105" i="52"/>
  <c r="EO110" i="52"/>
  <c r="EO210" i="52"/>
  <c r="EN149" i="52"/>
  <c r="EM213" i="52"/>
  <c r="EN181" i="52"/>
  <c r="EJ135" i="53"/>
  <c r="EL130" i="53"/>
  <c r="EL132" i="53"/>
  <c r="EM128" i="53" s="1"/>
  <c r="EL169" i="52"/>
  <c r="EM166" i="52"/>
  <c r="EM168" i="52"/>
  <c r="EN164" i="52" s="1"/>
  <c r="I42" i="43"/>
  <c r="H182" i="43"/>
  <c r="H78" i="43"/>
  <c r="H89" i="43"/>
  <c r="H54" i="43"/>
  <c r="H108" i="43"/>
  <c r="EN195" i="53" l="1"/>
  <c r="EN159" i="53"/>
  <c r="EN123" i="53"/>
  <c r="EN213" i="52"/>
  <c r="EQ122" i="53"/>
  <c r="EQ194" i="53"/>
  <c r="EQ158" i="53"/>
  <c r="EO195" i="52"/>
  <c r="EO123" i="52"/>
  <c r="EN160" i="52"/>
  <c r="ER194" i="52"/>
  <c r="ER158" i="52"/>
  <c r="ER122" i="52"/>
  <c r="EM147" i="53"/>
  <c r="EM148" i="53"/>
  <c r="EM211" i="53"/>
  <c r="EM183" i="53"/>
  <c r="EM184" i="53"/>
  <c r="EM111" i="53"/>
  <c r="EM112" i="53"/>
  <c r="ER6" i="53"/>
  <c r="EQ163" i="53"/>
  <c r="EQ165" i="53" s="1"/>
  <c r="EQ144" i="53"/>
  <c r="EQ138" i="53"/>
  <c r="EQ139" i="53" s="1"/>
  <c r="EQ203" i="53"/>
  <c r="EQ7" i="53"/>
  <c r="EQ114" i="53"/>
  <c r="EQ199" i="53"/>
  <c r="EQ201" i="53" s="1"/>
  <c r="EQ186" i="53"/>
  <c r="EQ106" i="53"/>
  <c r="EQ189" i="53"/>
  <c r="EQ167" i="53"/>
  <c r="EQ157" i="53"/>
  <c r="EQ143" i="53"/>
  <c r="EQ142" i="53"/>
  <c r="EQ140" i="53"/>
  <c r="EQ131" i="53"/>
  <c r="EQ127" i="53"/>
  <c r="EQ129" i="53" s="1"/>
  <c r="EQ180" i="53"/>
  <c r="EQ176" i="53"/>
  <c r="EQ108" i="53"/>
  <c r="EQ121" i="53"/>
  <c r="EQ193" i="53"/>
  <c r="EQ107" i="53"/>
  <c r="EQ174" i="53"/>
  <c r="EQ102" i="53"/>
  <c r="EQ103" i="53" s="1"/>
  <c r="EQ104" i="53"/>
  <c r="EQ153" i="53"/>
  <c r="EQ178" i="53"/>
  <c r="EQ179" i="53"/>
  <c r="EQ117" i="53"/>
  <c r="EQ150" i="53"/>
  <c r="EP139" i="53"/>
  <c r="EP115" i="53"/>
  <c r="EP118" i="53"/>
  <c r="EP120" i="53"/>
  <c r="EP103" i="53"/>
  <c r="EP190" i="53"/>
  <c r="EP187" i="53"/>
  <c r="EP192" i="53"/>
  <c r="EP175" i="53"/>
  <c r="EP151" i="53"/>
  <c r="EP154" i="53"/>
  <c r="EP156" i="53"/>
  <c r="EO148" i="53"/>
  <c r="EO147" i="53"/>
  <c r="EO149" i="53" s="1"/>
  <c r="EO211" i="53"/>
  <c r="EO112" i="53"/>
  <c r="EO111" i="53"/>
  <c r="EO113" i="53" s="1"/>
  <c r="EO183" i="53"/>
  <c r="EO184" i="53"/>
  <c r="EO162" i="53"/>
  <c r="EO152" i="53"/>
  <c r="EO159" i="53" s="1"/>
  <c r="EO155" i="53"/>
  <c r="EO126" i="53"/>
  <c r="EO116" i="53"/>
  <c r="EO119" i="53"/>
  <c r="EO198" i="53"/>
  <c r="EO188" i="53"/>
  <c r="EO191" i="53"/>
  <c r="EM213" i="53"/>
  <c r="EK124" i="53"/>
  <c r="EK212" i="53"/>
  <c r="EN145" i="53"/>
  <c r="EN181" i="53"/>
  <c r="EN109" i="53"/>
  <c r="EH171" i="53"/>
  <c r="EJ168" i="53"/>
  <c r="EK164" i="53" s="1"/>
  <c r="EJ166" i="53"/>
  <c r="EI169" i="53"/>
  <c r="EE219" i="53"/>
  <c r="EH204" i="53"/>
  <c r="EI200" i="53" s="1"/>
  <c r="EH202" i="53"/>
  <c r="EG216" i="53"/>
  <c r="EG205" i="53"/>
  <c r="EF217" i="53"/>
  <c r="EF207" i="53"/>
  <c r="EN211" i="52"/>
  <c r="EN112" i="52"/>
  <c r="EN111" i="52"/>
  <c r="EN113" i="52" s="1"/>
  <c r="EO145" i="52"/>
  <c r="EP211" i="52"/>
  <c r="EP112" i="52"/>
  <c r="EP111" i="52"/>
  <c r="EP184" i="52"/>
  <c r="EP183" i="52"/>
  <c r="EP185" i="52" s="1"/>
  <c r="EP126" i="52"/>
  <c r="EP116" i="52"/>
  <c r="EP119" i="52"/>
  <c r="EP198" i="52"/>
  <c r="EP188" i="52"/>
  <c r="EP191" i="52"/>
  <c r="EP147" i="52"/>
  <c r="EP148" i="52"/>
  <c r="EQ175" i="52"/>
  <c r="EQ192" i="52"/>
  <c r="EQ190" i="52"/>
  <c r="EQ187" i="52"/>
  <c r="EQ103" i="52"/>
  <c r="EQ115" i="52"/>
  <c r="EQ120" i="52"/>
  <c r="EQ118" i="52"/>
  <c r="EQ139" i="52"/>
  <c r="EQ154" i="52"/>
  <c r="EQ156" i="52"/>
  <c r="EQ151" i="52"/>
  <c r="ER199" i="52"/>
  <c r="ER201" i="52" s="1"/>
  <c r="ER178" i="52"/>
  <c r="ER142" i="52"/>
  <c r="ER102" i="52"/>
  <c r="ER106" i="52"/>
  <c r="ER104" i="52"/>
  <c r="ER114" i="52"/>
  <c r="ER144" i="52"/>
  <c r="ER143" i="52"/>
  <c r="ER107" i="52"/>
  <c r="ER7" i="52"/>
  <c r="ER179" i="52"/>
  <c r="ER180" i="52"/>
  <c r="ER140" i="52"/>
  <c r="ER189" i="52"/>
  <c r="ER203" i="52"/>
  <c r="ER193" i="52"/>
  <c r="ER176" i="52"/>
  <c r="ER186" i="52"/>
  <c r="ER108" i="52"/>
  <c r="ER174" i="52"/>
  <c r="ER175" i="52" s="1"/>
  <c r="ER131" i="52"/>
  <c r="ER167" i="52"/>
  <c r="ER117" i="52"/>
  <c r="ER138" i="52"/>
  <c r="ER139" i="52" s="1"/>
  <c r="ER163" i="52"/>
  <c r="ER165" i="52" s="1"/>
  <c r="ES6" i="52"/>
  <c r="ER121" i="52"/>
  <c r="ER127" i="52"/>
  <c r="ER129" i="52" s="1"/>
  <c r="ER150" i="52"/>
  <c r="ER153" i="52"/>
  <c r="ER157" i="52"/>
  <c r="EP162" i="52"/>
  <c r="EP155" i="52"/>
  <c r="EP152" i="52"/>
  <c r="EP159" i="52" s="1"/>
  <c r="EK132" i="52"/>
  <c r="EL128" i="52" s="1"/>
  <c r="EK130" i="52"/>
  <c r="EJ133" i="52"/>
  <c r="EI135" i="52"/>
  <c r="EI204" i="52"/>
  <c r="EJ200" i="52" s="1"/>
  <c r="EI202" i="52"/>
  <c r="EH216" i="52"/>
  <c r="EH205" i="52"/>
  <c r="EG217" i="52"/>
  <c r="EG207" i="52"/>
  <c r="EG219" i="52" s="1"/>
  <c r="EO183" i="52"/>
  <c r="EO184" i="52"/>
  <c r="EN183" i="52"/>
  <c r="EN184" i="52"/>
  <c r="EN185" i="52"/>
  <c r="EN196" i="52" s="1"/>
  <c r="EM149" i="52"/>
  <c r="EO109" i="52"/>
  <c r="EL133" i="53"/>
  <c r="EM130" i="53"/>
  <c r="EM132" i="53"/>
  <c r="EN128" i="53" s="1"/>
  <c r="EL171" i="52"/>
  <c r="EN166" i="52"/>
  <c r="EN168" i="52"/>
  <c r="EO164" i="52" s="1"/>
  <c r="I44" i="43"/>
  <c r="H79" i="43"/>
  <c r="H97" i="43"/>
  <c r="H103" i="43" s="1"/>
  <c r="H91" i="43"/>
  <c r="H90" i="43"/>
  <c r="H184" i="43"/>
  <c r="H185" i="43" s="1"/>
  <c r="I50" i="43"/>
  <c r="H123" i="43"/>
  <c r="H106" i="43"/>
  <c r="EO123" i="53" l="1"/>
  <c r="EO124" i="53" s="1"/>
  <c r="EO195" i="53"/>
  <c r="ER194" i="53"/>
  <c r="ER158" i="53"/>
  <c r="ER122" i="53"/>
  <c r="EP123" i="52"/>
  <c r="EP195" i="52"/>
  <c r="EP196" i="52" s="1"/>
  <c r="ES194" i="52"/>
  <c r="ES158" i="52"/>
  <c r="ES122" i="52"/>
  <c r="EP113" i="52"/>
  <c r="EP212" i="52" s="1"/>
  <c r="ER163" i="53"/>
  <c r="ER165" i="53" s="1"/>
  <c r="ER142" i="53"/>
  <c r="ER138" i="53"/>
  <c r="ER150" i="53"/>
  <c r="ER107" i="53"/>
  <c r="ER153" i="53"/>
  <c r="ER117" i="53"/>
  <c r="ER180" i="53"/>
  <c r="ES6" i="53"/>
  <c r="ER167" i="53"/>
  <c r="ER157" i="53"/>
  <c r="ER144" i="53"/>
  <c r="ER143" i="53"/>
  <c r="ER140" i="53"/>
  <c r="ER131" i="53"/>
  <c r="ER127" i="53"/>
  <c r="ER129" i="53" s="1"/>
  <c r="ER7" i="53"/>
  <c r="ER199" i="53"/>
  <c r="ER201" i="53" s="1"/>
  <c r="ER106" i="53"/>
  <c r="ER174" i="53"/>
  <c r="ER178" i="53"/>
  <c r="ER102" i="53"/>
  <c r="ER121" i="53"/>
  <c r="ER114" i="53"/>
  <c r="ER186" i="53"/>
  <c r="ER104" i="53"/>
  <c r="ER189" i="53"/>
  <c r="ER179" i="53"/>
  <c r="ER176" i="53"/>
  <c r="ER108" i="53"/>
  <c r="ER193" i="53"/>
  <c r="ER203" i="53"/>
  <c r="EQ141" i="53"/>
  <c r="EQ145" i="53" s="1"/>
  <c r="EQ146" i="53"/>
  <c r="EQ115" i="53"/>
  <c r="EQ118" i="53"/>
  <c r="EQ120" i="53"/>
  <c r="EQ187" i="53"/>
  <c r="EQ190" i="53"/>
  <c r="EQ192" i="53"/>
  <c r="EQ105" i="53"/>
  <c r="EQ109" i="53" s="1"/>
  <c r="EQ110" i="53"/>
  <c r="EQ151" i="53"/>
  <c r="EQ154" i="53"/>
  <c r="EQ156" i="53"/>
  <c r="EP146" i="53"/>
  <c r="EP141" i="53"/>
  <c r="EP210" i="53"/>
  <c r="EP126" i="53"/>
  <c r="EP116" i="53"/>
  <c r="EP119" i="53"/>
  <c r="EP105" i="53"/>
  <c r="EP110" i="53"/>
  <c r="EP198" i="53"/>
  <c r="EP188" i="53"/>
  <c r="EP195" i="53" s="1"/>
  <c r="EP191" i="53"/>
  <c r="EP177" i="53"/>
  <c r="EP182" i="53"/>
  <c r="EP162" i="53"/>
  <c r="EP152" i="53"/>
  <c r="EP159" i="53" s="1"/>
  <c r="EP155" i="53"/>
  <c r="EK133" i="53"/>
  <c r="EK135" i="53" s="1"/>
  <c r="EK214" i="53"/>
  <c r="EN147" i="53"/>
  <c r="EN148" i="53"/>
  <c r="EN149" i="53"/>
  <c r="EN160" i="53" s="1"/>
  <c r="EN184" i="53"/>
  <c r="EN183" i="53"/>
  <c r="EN185" i="53" s="1"/>
  <c r="EN196" i="53" s="1"/>
  <c r="EN211" i="53"/>
  <c r="EN112" i="53"/>
  <c r="EN111" i="53"/>
  <c r="EN113" i="53" s="1"/>
  <c r="EO185" i="53"/>
  <c r="EO212" i="53" s="1"/>
  <c r="EN213" i="53"/>
  <c r="EM149" i="53"/>
  <c r="EM160" i="53" s="1"/>
  <c r="EM185" i="53"/>
  <c r="EM196" i="53" s="1"/>
  <c r="EM113" i="53"/>
  <c r="EQ175" i="53"/>
  <c r="EQ210" i="53" s="1"/>
  <c r="EK168" i="53"/>
  <c r="EL164" i="53" s="1"/>
  <c r="EK166" i="53"/>
  <c r="EJ169" i="53"/>
  <c r="EI171" i="53"/>
  <c r="EI204" i="53"/>
  <c r="EJ200" i="53" s="1"/>
  <c r="EI202" i="53"/>
  <c r="EH216" i="53"/>
  <c r="EH205" i="53"/>
  <c r="EG217" i="53"/>
  <c r="EG207" i="53"/>
  <c r="EF219" i="53"/>
  <c r="EP149" i="52"/>
  <c r="EP160" i="52" s="1"/>
  <c r="EO185" i="52"/>
  <c r="EO196" i="52" s="1"/>
  <c r="EN212" i="52"/>
  <c r="EN124" i="52"/>
  <c r="EN214" i="52" s="1"/>
  <c r="EO147" i="52"/>
  <c r="EO148" i="52"/>
  <c r="EQ182" i="52"/>
  <c r="EQ177" i="52"/>
  <c r="EQ198" i="52"/>
  <c r="EQ191" i="52"/>
  <c r="EQ188" i="52"/>
  <c r="EQ195" i="52" s="1"/>
  <c r="EQ210" i="52"/>
  <c r="EQ110" i="52"/>
  <c r="EQ105" i="52"/>
  <c r="EQ126" i="52"/>
  <c r="EQ116" i="52"/>
  <c r="EQ123" i="52" s="1"/>
  <c r="EQ119" i="52"/>
  <c r="EQ141" i="52"/>
  <c r="EQ146" i="52"/>
  <c r="EQ162" i="52"/>
  <c r="EQ155" i="52"/>
  <c r="EQ152" i="52"/>
  <c r="EQ159" i="52" s="1"/>
  <c r="ER115" i="52"/>
  <c r="ER120" i="52"/>
  <c r="ER118" i="52"/>
  <c r="ER192" i="52"/>
  <c r="ER190" i="52"/>
  <c r="ER187" i="52"/>
  <c r="ER182" i="52"/>
  <c r="ER177" i="52"/>
  <c r="ER181" i="52" s="1"/>
  <c r="ER141" i="52"/>
  <c r="ER145" i="52" s="1"/>
  <c r="ER146" i="52"/>
  <c r="ES174" i="52"/>
  <c r="ES186" i="52"/>
  <c r="ES140" i="52"/>
  <c r="ES108" i="52"/>
  <c r="ES199" i="52"/>
  <c r="ES201" i="52" s="1"/>
  <c r="ES203" i="52"/>
  <c r="ES176" i="52"/>
  <c r="ES193" i="52"/>
  <c r="ES114" i="52"/>
  <c r="ES7" i="52"/>
  <c r="ES143" i="52"/>
  <c r="ES180" i="52"/>
  <c r="ES179" i="52"/>
  <c r="ES106" i="52"/>
  <c r="ES107" i="52"/>
  <c r="ES189" i="52"/>
  <c r="ES102" i="52"/>
  <c r="ES103" i="52" s="1"/>
  <c r="ES144" i="52"/>
  <c r="ES178" i="52"/>
  <c r="ES104" i="52"/>
  <c r="ES142" i="52"/>
  <c r="ES121" i="52"/>
  <c r="ES127" i="52"/>
  <c r="ES129" i="52" s="1"/>
  <c r="ES150" i="52"/>
  <c r="ES153" i="52"/>
  <c r="ES157" i="52"/>
  <c r="ES117" i="52"/>
  <c r="ES138" i="52"/>
  <c r="ES167" i="52"/>
  <c r="ES131" i="52"/>
  <c r="ES163" i="52"/>
  <c r="ES165" i="52" s="1"/>
  <c r="ET6" i="52"/>
  <c r="ER151" i="52"/>
  <c r="ER156" i="52"/>
  <c r="ER154" i="52"/>
  <c r="EL132" i="52"/>
  <c r="EM128" i="52" s="1"/>
  <c r="EL130" i="52"/>
  <c r="EK133" i="52"/>
  <c r="EJ135" i="52"/>
  <c r="EJ204" i="52"/>
  <c r="EK200" i="52" s="1"/>
  <c r="EJ202" i="52"/>
  <c r="EI216" i="52"/>
  <c r="EI205" i="52"/>
  <c r="EH217" i="52"/>
  <c r="EH207" i="52"/>
  <c r="EH219" i="52" s="1"/>
  <c r="EO213" i="52"/>
  <c r="EM212" i="52"/>
  <c r="EM160" i="52"/>
  <c r="EO111" i="52"/>
  <c r="EO112" i="52"/>
  <c r="EO211" i="52"/>
  <c r="ER103" i="52"/>
  <c r="EL135" i="53"/>
  <c r="EN130" i="53"/>
  <c r="EN132" i="53"/>
  <c r="EO128" i="53" s="1"/>
  <c r="EN169" i="52"/>
  <c r="EO166" i="52"/>
  <c r="EO168" i="52"/>
  <c r="EP164" i="52" s="1"/>
  <c r="H92" i="43"/>
  <c r="H94" i="43"/>
  <c r="H93" i="43"/>
  <c r="I46" i="43"/>
  <c r="I73" i="43"/>
  <c r="H112" i="43"/>
  <c r="H122" i="43"/>
  <c r="I52" i="43"/>
  <c r="EP123" i="53" l="1"/>
  <c r="ES122" i="53"/>
  <c r="ES194" i="53"/>
  <c r="ES158" i="53"/>
  <c r="ET194" i="52"/>
  <c r="ET158" i="52"/>
  <c r="ET122" i="52"/>
  <c r="EP124" i="52"/>
  <c r="EP214" i="52" s="1"/>
  <c r="EO113" i="52"/>
  <c r="EO124" i="52" s="1"/>
  <c r="ER139" i="53"/>
  <c r="ER151" i="53"/>
  <c r="ER154" i="53"/>
  <c r="ER156" i="53"/>
  <c r="ET6" i="53"/>
  <c r="ES167" i="53"/>
  <c r="ES163" i="53"/>
  <c r="ES165" i="53" s="1"/>
  <c r="ES157" i="53"/>
  <c r="ES144" i="53"/>
  <c r="ES143" i="53"/>
  <c r="ES142" i="53"/>
  <c r="ES140" i="53"/>
  <c r="ES138" i="53"/>
  <c r="ES131" i="53"/>
  <c r="ES127" i="53"/>
  <c r="ES129" i="53" s="1"/>
  <c r="ES179" i="53"/>
  <c r="ES193" i="53"/>
  <c r="ES186" i="53"/>
  <c r="ES176" i="53"/>
  <c r="ES108" i="53"/>
  <c r="ES189" i="53"/>
  <c r="ES114" i="53"/>
  <c r="ES121" i="53"/>
  <c r="ES180" i="53"/>
  <c r="ES174" i="53"/>
  <c r="ES178" i="53"/>
  <c r="ES7" i="53"/>
  <c r="ES117" i="53"/>
  <c r="ES107" i="53"/>
  <c r="ES106" i="53"/>
  <c r="ES153" i="53"/>
  <c r="ES102" i="53"/>
  <c r="ES103" i="53" s="1"/>
  <c r="ES203" i="53"/>
  <c r="ES199" i="53"/>
  <c r="ES201" i="53" s="1"/>
  <c r="ES150" i="53"/>
  <c r="ES104" i="53"/>
  <c r="ER103" i="53"/>
  <c r="ER115" i="53"/>
  <c r="ER118" i="53"/>
  <c r="ER120" i="53"/>
  <c r="ER187" i="53"/>
  <c r="ER190" i="53"/>
  <c r="ER192" i="53"/>
  <c r="EQ147" i="53"/>
  <c r="EQ148" i="53"/>
  <c r="EQ126" i="53"/>
  <c r="EQ116" i="53"/>
  <c r="EQ119" i="53"/>
  <c r="EQ198" i="53"/>
  <c r="EQ188" i="53"/>
  <c r="EQ191" i="53"/>
  <c r="EQ111" i="53"/>
  <c r="EQ112" i="53"/>
  <c r="EQ162" i="53"/>
  <c r="EQ152" i="53"/>
  <c r="EQ155" i="53"/>
  <c r="EP145" i="53"/>
  <c r="EP109" i="53"/>
  <c r="EP181" i="53"/>
  <c r="EO160" i="53"/>
  <c r="EN212" i="53"/>
  <c r="EN124" i="53"/>
  <c r="EO213" i="53"/>
  <c r="EM124" i="53"/>
  <c r="EM212" i="53"/>
  <c r="EQ182" i="53"/>
  <c r="EQ177" i="53"/>
  <c r="EQ181" i="53" s="1"/>
  <c r="EQ211" i="53" s="1"/>
  <c r="EO196" i="53"/>
  <c r="ER175" i="53"/>
  <c r="EL168" i="53"/>
  <c r="EM164" i="53" s="1"/>
  <c r="EL166" i="53"/>
  <c r="EK169" i="53"/>
  <c r="EJ171" i="53"/>
  <c r="EJ204" i="53"/>
  <c r="EK200" i="53" s="1"/>
  <c r="EJ202" i="53"/>
  <c r="EI216" i="53"/>
  <c r="EI205" i="53"/>
  <c r="EH217" i="53"/>
  <c r="EH207" i="53"/>
  <c r="EG219" i="53"/>
  <c r="EQ181" i="52"/>
  <c r="EQ109" i="52"/>
  <c r="EQ145" i="52"/>
  <c r="ER126" i="52"/>
  <c r="ER116" i="52"/>
  <c r="ER123" i="52" s="1"/>
  <c r="ER119" i="52"/>
  <c r="ER198" i="52"/>
  <c r="ER191" i="52"/>
  <c r="ER188" i="52"/>
  <c r="ER195" i="52" s="1"/>
  <c r="ER184" i="52"/>
  <c r="ER183" i="52"/>
  <c r="ER185" i="52" s="1"/>
  <c r="ER147" i="52"/>
  <c r="ER148" i="52"/>
  <c r="ES175" i="52"/>
  <c r="ES192" i="52"/>
  <c r="ES190" i="52"/>
  <c r="ES187" i="52"/>
  <c r="ES118" i="52"/>
  <c r="ES120" i="52"/>
  <c r="ES115" i="52"/>
  <c r="ES110" i="52"/>
  <c r="ES105" i="52"/>
  <c r="ES109" i="52" s="1"/>
  <c r="ES154" i="52"/>
  <c r="ES156" i="52"/>
  <c r="ES151" i="52"/>
  <c r="ES139" i="52"/>
  <c r="ET104" i="52"/>
  <c r="ET189" i="52"/>
  <c r="ET144" i="52"/>
  <c r="ET102" i="52"/>
  <c r="ET114" i="52"/>
  <c r="ET107" i="52"/>
  <c r="ET106" i="52"/>
  <c r="ET179" i="52"/>
  <c r="ET176" i="52"/>
  <c r="ET143" i="52"/>
  <c r="ET142" i="52"/>
  <c r="ET178" i="52"/>
  <c r="ET7" i="52"/>
  <c r="ET193" i="52"/>
  <c r="ET203" i="52"/>
  <c r="ET180" i="52"/>
  <c r="ET199" i="52"/>
  <c r="ET201" i="52" s="1"/>
  <c r="ET108" i="52"/>
  <c r="ET140" i="52"/>
  <c r="ET174" i="52"/>
  <c r="ET186" i="52"/>
  <c r="ET121" i="52"/>
  <c r="ET127" i="52"/>
  <c r="ET129" i="52" s="1"/>
  <c r="ET138" i="52"/>
  <c r="ET139" i="52" s="1"/>
  <c r="ET150" i="52"/>
  <c r="ET153" i="52"/>
  <c r="ET157" i="52"/>
  <c r="EU6" i="52"/>
  <c r="ET131" i="52"/>
  <c r="ET167" i="52"/>
  <c r="ET117" i="52"/>
  <c r="ET163" i="52"/>
  <c r="ET165" i="52" s="1"/>
  <c r="ER162" i="52"/>
  <c r="ER155" i="52"/>
  <c r="ER152" i="52"/>
  <c r="ER159" i="52" s="1"/>
  <c r="EM132" i="52"/>
  <c r="EN128" i="52" s="1"/>
  <c r="EM130" i="52"/>
  <c r="EL133" i="52"/>
  <c r="EK135" i="52"/>
  <c r="EK204" i="52"/>
  <c r="EL200" i="52" s="1"/>
  <c r="EK202" i="52"/>
  <c r="EJ216" i="52"/>
  <c r="EJ205" i="52"/>
  <c r="EI217" i="52"/>
  <c r="EI207" i="52"/>
  <c r="EI219" i="52" s="1"/>
  <c r="EM214" i="52"/>
  <c r="EM169" i="52"/>
  <c r="EM171" i="52" s="1"/>
  <c r="ER105" i="52"/>
  <c r="ER110" i="52"/>
  <c r="ER210" i="52"/>
  <c r="EO149" i="52"/>
  <c r="EP213" i="52"/>
  <c r="EO130" i="53"/>
  <c r="EO132" i="53"/>
  <c r="EP128" i="53" s="1"/>
  <c r="EN171" i="52"/>
  <c r="EP166" i="52"/>
  <c r="EP168" i="52"/>
  <c r="EQ164" i="52" s="1"/>
  <c r="I47" i="43"/>
  <c r="I53" i="43"/>
  <c r="I75" i="43"/>
  <c r="I100" i="43"/>
  <c r="H118" i="43"/>
  <c r="H113" i="43"/>
  <c r="H115" i="43"/>
  <c r="I114" i="43" s="1"/>
  <c r="H120" i="43"/>
  <c r="H186" i="43"/>
  <c r="H187" i="43" s="1"/>
  <c r="EQ159" i="53" l="1"/>
  <c r="EQ123" i="53"/>
  <c r="EQ195" i="53"/>
  <c r="ET194" i="53"/>
  <c r="ET158" i="53"/>
  <c r="ET122" i="53"/>
  <c r="EU194" i="52"/>
  <c r="EU158" i="52"/>
  <c r="EU122" i="52"/>
  <c r="EQ113" i="53"/>
  <c r="EO214" i="53"/>
  <c r="ER141" i="53"/>
  <c r="ER146" i="53"/>
  <c r="ER162" i="53"/>
  <c r="ER152" i="53"/>
  <c r="ER155" i="53"/>
  <c r="EU6" i="53"/>
  <c r="ET167" i="53"/>
  <c r="ET163" i="53"/>
  <c r="ET165" i="53" s="1"/>
  <c r="ET157" i="53"/>
  <c r="ET144" i="53"/>
  <c r="ET143" i="53"/>
  <c r="ET142" i="53"/>
  <c r="ET140" i="53"/>
  <c r="ET138" i="53"/>
  <c r="ET131" i="53"/>
  <c r="ET127" i="53"/>
  <c r="ET129" i="53" s="1"/>
  <c r="ET180" i="53"/>
  <c r="ET199" i="53"/>
  <c r="ET201" i="53" s="1"/>
  <c r="ET203" i="53"/>
  <c r="ET189" i="53"/>
  <c r="ET153" i="53"/>
  <c r="ET107" i="53"/>
  <c r="ET7" i="53"/>
  <c r="ET106" i="53"/>
  <c r="ET108" i="53"/>
  <c r="ET121" i="53"/>
  <c r="ET176" i="53"/>
  <c r="ET186" i="53"/>
  <c r="ET150" i="53"/>
  <c r="ET114" i="53"/>
  <c r="ET193" i="53"/>
  <c r="ET179" i="53"/>
  <c r="ET117" i="53"/>
  <c r="ET102" i="53"/>
  <c r="ET178" i="53"/>
  <c r="ET174" i="53"/>
  <c r="ET104" i="53"/>
  <c r="ES187" i="53"/>
  <c r="ES190" i="53"/>
  <c r="ES192" i="53"/>
  <c r="ES115" i="53"/>
  <c r="ES118" i="53"/>
  <c r="ES120" i="53"/>
  <c r="ES105" i="53"/>
  <c r="ES109" i="53" s="1"/>
  <c r="ES110" i="53"/>
  <c r="ES151" i="53"/>
  <c r="ES154" i="53"/>
  <c r="ES156" i="53"/>
  <c r="ER210" i="53"/>
  <c r="ER105" i="53"/>
  <c r="ER110" i="53"/>
  <c r="ER126" i="53"/>
  <c r="ER116" i="53"/>
  <c r="ER119" i="53"/>
  <c r="ER198" i="53"/>
  <c r="ER188" i="53"/>
  <c r="ER195" i="53" s="1"/>
  <c r="ER191" i="53"/>
  <c r="EP147" i="53"/>
  <c r="EP148" i="53"/>
  <c r="EP149" i="53" s="1"/>
  <c r="EP160" i="53" s="1"/>
  <c r="EP211" i="53"/>
  <c r="EP111" i="53"/>
  <c r="EP112" i="53"/>
  <c r="EP184" i="53"/>
  <c r="EP183" i="53"/>
  <c r="EP185" i="53" s="1"/>
  <c r="EP196" i="53" s="1"/>
  <c r="EM133" i="53"/>
  <c r="EM135" i="53" s="1"/>
  <c r="EM214" i="53"/>
  <c r="EQ184" i="53"/>
  <c r="EQ183" i="53"/>
  <c r="EQ185" i="53" s="1"/>
  <c r="ER182" i="53"/>
  <c r="ER177" i="53"/>
  <c r="EQ149" i="53"/>
  <c r="EQ124" i="53"/>
  <c r="EP213" i="53"/>
  <c r="ES139" i="53"/>
  <c r="ES175" i="53"/>
  <c r="EN214" i="53"/>
  <c r="EN133" i="53"/>
  <c r="EN135" i="53" s="1"/>
  <c r="EM168" i="53"/>
  <c r="EN164" i="53" s="1"/>
  <c r="EM166" i="53"/>
  <c r="EL169" i="53"/>
  <c r="EK171" i="53"/>
  <c r="EK204" i="53"/>
  <c r="EL200" i="53" s="1"/>
  <c r="EK202" i="53"/>
  <c r="EJ216" i="53"/>
  <c r="EJ205" i="53"/>
  <c r="EI217" i="53"/>
  <c r="EI207" i="53"/>
  <c r="EH219" i="53"/>
  <c r="ES210" i="52"/>
  <c r="EO160" i="52"/>
  <c r="EO212" i="52"/>
  <c r="EQ184" i="52"/>
  <c r="EQ183" i="52"/>
  <c r="EQ185" i="52" s="1"/>
  <c r="EQ196" i="52" s="1"/>
  <c r="EQ211" i="52"/>
  <c r="EQ112" i="52"/>
  <c r="EQ111" i="52"/>
  <c r="EQ113" i="52" s="1"/>
  <c r="EQ147" i="52"/>
  <c r="EQ148" i="52"/>
  <c r="ES182" i="52"/>
  <c r="ES177" i="52"/>
  <c r="ES198" i="52"/>
  <c r="ES191" i="52"/>
  <c r="ES188" i="52"/>
  <c r="ES195" i="52" s="1"/>
  <c r="ES126" i="52"/>
  <c r="ES116" i="52"/>
  <c r="ES119" i="52"/>
  <c r="ES112" i="52"/>
  <c r="ES111" i="52"/>
  <c r="ES113" i="52" s="1"/>
  <c r="ES162" i="52"/>
  <c r="ES155" i="52"/>
  <c r="ES152" i="52"/>
  <c r="ES159" i="52" s="1"/>
  <c r="ES141" i="52"/>
  <c r="ES146" i="52"/>
  <c r="ET103" i="52"/>
  <c r="ET120" i="52"/>
  <c r="ET118" i="52"/>
  <c r="ET115" i="52"/>
  <c r="ET192" i="52"/>
  <c r="ET190" i="52"/>
  <c r="ET187" i="52"/>
  <c r="ET146" i="52"/>
  <c r="ET141" i="52"/>
  <c r="ET145" i="52" s="1"/>
  <c r="ET151" i="52"/>
  <c r="ET156" i="52"/>
  <c r="ET154" i="52"/>
  <c r="EU179" i="52"/>
  <c r="EU203" i="52"/>
  <c r="EU7" i="52"/>
  <c r="EU106" i="52"/>
  <c r="EU189" i="52"/>
  <c r="EU180" i="52"/>
  <c r="EU186" i="52"/>
  <c r="EU140" i="52"/>
  <c r="EU199" i="52"/>
  <c r="EU201" i="52" s="1"/>
  <c r="EU176" i="52"/>
  <c r="EU143" i="52"/>
  <c r="EU144" i="52"/>
  <c r="EU108" i="52"/>
  <c r="EU104" i="52"/>
  <c r="EU178" i="52"/>
  <c r="EU193" i="52"/>
  <c r="EU102" i="52"/>
  <c r="EU107" i="52"/>
  <c r="EU174" i="52"/>
  <c r="EU114" i="52"/>
  <c r="EU142" i="52"/>
  <c r="EU138" i="52"/>
  <c r="EU167" i="52"/>
  <c r="EU117" i="52"/>
  <c r="EU131" i="52"/>
  <c r="EU163" i="52"/>
  <c r="EU165" i="52" s="1"/>
  <c r="EV6" i="52"/>
  <c r="EU121" i="52"/>
  <c r="EU127" i="52"/>
  <c r="EU129" i="52" s="1"/>
  <c r="EU150" i="52"/>
  <c r="EU153" i="52"/>
  <c r="EU157" i="52"/>
  <c r="EN132" i="52"/>
  <c r="EO128" i="52" s="1"/>
  <c r="EN130" i="52"/>
  <c r="EM133" i="52"/>
  <c r="EL135" i="52"/>
  <c r="EL204" i="52"/>
  <c r="EM200" i="52" s="1"/>
  <c r="EL202" i="52"/>
  <c r="EK216" i="52"/>
  <c r="EK205" i="52"/>
  <c r="EJ217" i="52"/>
  <c r="EJ207" i="52"/>
  <c r="EJ219" i="52" s="1"/>
  <c r="EQ213" i="52"/>
  <c r="ER149" i="52"/>
  <c r="ER196" i="52"/>
  <c r="ET175" i="52"/>
  <c r="ER109" i="52"/>
  <c r="EO133" i="53"/>
  <c r="EP130" i="53"/>
  <c r="EP132" i="53"/>
  <c r="EQ128" i="53" s="1"/>
  <c r="EP169" i="52"/>
  <c r="EQ166" i="52"/>
  <c r="EQ168" i="52"/>
  <c r="ER164" i="52" s="1"/>
  <c r="I182" i="43"/>
  <c r="J42" i="43"/>
  <c r="I89" i="43"/>
  <c r="I78" i="43"/>
  <c r="H121" i="43"/>
  <c r="H188" i="43"/>
  <c r="H189" i="43"/>
  <c r="I54" i="43"/>
  <c r="I108" i="43"/>
  <c r="ER123" i="53" l="1"/>
  <c r="ER159" i="53"/>
  <c r="EO169" i="52"/>
  <c r="EO171" i="52" s="1"/>
  <c r="EO214" i="52"/>
  <c r="EU194" i="53"/>
  <c r="EU158" i="53"/>
  <c r="EU122" i="53"/>
  <c r="ES123" i="52"/>
  <c r="EV194" i="52"/>
  <c r="EV158" i="52"/>
  <c r="EV122" i="52"/>
  <c r="EP113" i="53"/>
  <c r="ER145" i="53"/>
  <c r="EV6" i="53"/>
  <c r="EU144" i="53"/>
  <c r="EU142" i="53"/>
  <c r="EU138" i="53"/>
  <c r="EU139" i="53" s="1"/>
  <c r="EU178" i="53"/>
  <c r="EU104" i="53"/>
  <c r="EU174" i="53"/>
  <c r="EU175" i="53" s="1"/>
  <c r="EU189" i="53"/>
  <c r="EU108" i="53"/>
  <c r="EU106" i="53"/>
  <c r="EU121" i="53"/>
  <c r="EU176" i="53"/>
  <c r="EU193" i="53"/>
  <c r="EU179" i="53"/>
  <c r="EU117" i="53"/>
  <c r="EU150" i="53"/>
  <c r="EU167" i="53"/>
  <c r="EU163" i="53"/>
  <c r="EU165" i="53" s="1"/>
  <c r="EU157" i="53"/>
  <c r="EU143" i="53"/>
  <c r="EU140" i="53"/>
  <c r="EU131" i="53"/>
  <c r="EU127" i="53"/>
  <c r="EU129" i="53" s="1"/>
  <c r="EU180" i="53"/>
  <c r="EU102" i="53"/>
  <c r="EU103" i="53" s="1"/>
  <c r="EU186" i="53"/>
  <c r="EU107" i="53"/>
  <c r="EU203" i="53"/>
  <c r="EU199" i="53"/>
  <c r="EU201" i="53" s="1"/>
  <c r="EU7" i="53"/>
  <c r="EU153" i="53"/>
  <c r="EU114" i="53"/>
  <c r="ET187" i="53"/>
  <c r="ET192" i="53"/>
  <c r="ET190" i="53"/>
  <c r="ET154" i="53"/>
  <c r="ET151" i="53"/>
  <c r="ET156" i="53"/>
  <c r="ET115" i="53"/>
  <c r="ET120" i="53"/>
  <c r="ET118" i="53"/>
  <c r="ET103" i="53"/>
  <c r="ES198" i="53"/>
  <c r="ES188" i="53"/>
  <c r="ES195" i="53" s="1"/>
  <c r="ES191" i="53"/>
  <c r="ES126" i="53"/>
  <c r="ES116" i="53"/>
  <c r="ES119" i="53"/>
  <c r="ES111" i="53"/>
  <c r="ES112" i="53"/>
  <c r="ES162" i="53"/>
  <c r="ES152" i="53"/>
  <c r="ES155" i="53"/>
  <c r="ER109" i="53"/>
  <c r="EP212" i="53"/>
  <c r="EP124" i="53"/>
  <c r="ER181" i="53"/>
  <c r="EQ213" i="53"/>
  <c r="ES210" i="53"/>
  <c r="ES141" i="53"/>
  <c r="ES146" i="53"/>
  <c r="ES177" i="53"/>
  <c r="ES182" i="53"/>
  <c r="EQ160" i="53"/>
  <c r="ET139" i="53"/>
  <c r="ET175" i="53"/>
  <c r="EQ212" i="53"/>
  <c r="EQ196" i="53"/>
  <c r="EN168" i="53"/>
  <c r="EO164" i="53" s="1"/>
  <c r="EN166" i="53"/>
  <c r="EM169" i="53"/>
  <c r="EL171" i="53"/>
  <c r="EL204" i="53"/>
  <c r="EM200" i="53" s="1"/>
  <c r="EL202" i="53"/>
  <c r="EK216" i="53"/>
  <c r="EK205" i="53"/>
  <c r="EJ217" i="53"/>
  <c r="EJ207" i="53"/>
  <c r="EI219" i="53"/>
  <c r="ER160" i="52"/>
  <c r="ER213" i="52"/>
  <c r="EQ124" i="52"/>
  <c r="ES181" i="52"/>
  <c r="ES145" i="52"/>
  <c r="ET210" i="52"/>
  <c r="ET110" i="52"/>
  <c r="ET105" i="52"/>
  <c r="ET126" i="52"/>
  <c r="ET119" i="52"/>
  <c r="ET116" i="52"/>
  <c r="ET198" i="52"/>
  <c r="ET191" i="52"/>
  <c r="ET188" i="52"/>
  <c r="ET195" i="52" s="1"/>
  <c r="ET147" i="52"/>
  <c r="ET148" i="52"/>
  <c r="ET162" i="52"/>
  <c r="ET155" i="52"/>
  <c r="ET152" i="52"/>
  <c r="ET159" i="52" s="1"/>
  <c r="EU192" i="52"/>
  <c r="EU190" i="52"/>
  <c r="EU187" i="52"/>
  <c r="EU120" i="52"/>
  <c r="EU115" i="52"/>
  <c r="EU118" i="52"/>
  <c r="EU139" i="52"/>
  <c r="EV114" i="52"/>
  <c r="EV203" i="52"/>
  <c r="EV199" i="52"/>
  <c r="EV201" i="52" s="1"/>
  <c r="EV144" i="52"/>
  <c r="EV143" i="52"/>
  <c r="EV140" i="52"/>
  <c r="EV186" i="52"/>
  <c r="EV176" i="52"/>
  <c r="EV180" i="52"/>
  <c r="EV189" i="52"/>
  <c r="EV142" i="52"/>
  <c r="EV108" i="52"/>
  <c r="EV104" i="52"/>
  <c r="EV106" i="52"/>
  <c r="EV178" i="52"/>
  <c r="EV7" i="52"/>
  <c r="EV107" i="52"/>
  <c r="EV179" i="52"/>
  <c r="EV102" i="52"/>
  <c r="EV193" i="52"/>
  <c r="EV174" i="52"/>
  <c r="EV121" i="52"/>
  <c r="EV127" i="52"/>
  <c r="EV129" i="52" s="1"/>
  <c r="EV150" i="52"/>
  <c r="EV153" i="52"/>
  <c r="EV157" i="52"/>
  <c r="EV117" i="52"/>
  <c r="EV131" i="52"/>
  <c r="EV167" i="52"/>
  <c r="EV138" i="52"/>
  <c r="EV163" i="52"/>
  <c r="EV165" i="52" s="1"/>
  <c r="EW6" i="52"/>
  <c r="EU156" i="52"/>
  <c r="EU151" i="52"/>
  <c r="EU154" i="52"/>
  <c r="EO132" i="52"/>
  <c r="EP128" i="52" s="1"/>
  <c r="EO130" i="52"/>
  <c r="EN133" i="52"/>
  <c r="EM135" i="52"/>
  <c r="EM204" i="52"/>
  <c r="EN200" i="52" s="1"/>
  <c r="EM202" i="52"/>
  <c r="EL216" i="52"/>
  <c r="EL205" i="52"/>
  <c r="EK217" i="52"/>
  <c r="EK207" i="52"/>
  <c r="EK219" i="52" s="1"/>
  <c r="ET177" i="52"/>
  <c r="ET182" i="52"/>
  <c r="ER111" i="52"/>
  <c r="ER112" i="52"/>
  <c r="ER113" i="52"/>
  <c r="ER211" i="52"/>
  <c r="EQ149" i="52"/>
  <c r="EU103" i="52"/>
  <c r="EU175" i="52"/>
  <c r="EO135" i="53"/>
  <c r="EQ130" i="53"/>
  <c r="EQ132" i="53"/>
  <c r="ER128" i="53" s="1"/>
  <c r="EP171" i="52"/>
  <c r="ER166" i="52"/>
  <c r="ER168" i="52"/>
  <c r="ES164" i="52" s="1"/>
  <c r="J45" i="43"/>
  <c r="J44" i="43"/>
  <c r="I91" i="43"/>
  <c r="I90" i="43"/>
  <c r="I92" i="43" s="1"/>
  <c r="I94" i="43"/>
  <c r="I93" i="43"/>
  <c r="I97" i="43"/>
  <c r="I103" i="43" s="1"/>
  <c r="I79" i="43"/>
  <c r="H190" i="43"/>
  <c r="I184" i="43"/>
  <c r="I185" i="43" s="1"/>
  <c r="J50" i="43"/>
  <c r="I123" i="43"/>
  <c r="I106" i="43"/>
  <c r="ES123" i="53" l="1"/>
  <c r="ES159" i="53"/>
  <c r="EV122" i="53"/>
  <c r="EV194" i="53"/>
  <c r="EV158" i="53"/>
  <c r="ET123" i="52"/>
  <c r="EW194" i="52"/>
  <c r="EW158" i="52"/>
  <c r="EW122" i="52"/>
  <c r="ES124" i="52"/>
  <c r="ES213" i="52"/>
  <c r="ER147" i="53"/>
  <c r="ER148" i="53"/>
  <c r="EV114" i="53"/>
  <c r="EV189" i="53"/>
  <c r="EV153" i="53"/>
  <c r="EW6" i="53"/>
  <c r="EV167" i="53"/>
  <c r="EV163" i="53"/>
  <c r="EV165" i="53" s="1"/>
  <c r="EV157" i="53"/>
  <c r="EV144" i="53"/>
  <c r="EV143" i="53"/>
  <c r="EV142" i="53"/>
  <c r="EV140" i="53"/>
  <c r="EV138" i="53"/>
  <c r="EV131" i="53"/>
  <c r="EV127" i="53"/>
  <c r="EV129" i="53" s="1"/>
  <c r="EV150" i="53"/>
  <c r="EV106" i="53"/>
  <c r="EV179" i="53"/>
  <c r="EV193" i="53"/>
  <c r="EV176" i="53"/>
  <c r="EV117" i="53"/>
  <c r="EV107" i="53"/>
  <c r="EV104" i="53"/>
  <c r="EV121" i="53"/>
  <c r="EV203" i="53"/>
  <c r="EV102" i="53"/>
  <c r="EV174" i="53"/>
  <c r="EV178" i="53"/>
  <c r="EV180" i="53"/>
  <c r="EV186" i="53"/>
  <c r="EV108" i="53"/>
  <c r="EV199" i="53"/>
  <c r="EV201" i="53" s="1"/>
  <c r="EV7" i="53"/>
  <c r="EU141" i="53"/>
  <c r="EU145" i="53" s="1"/>
  <c r="EU146" i="53"/>
  <c r="EU177" i="53"/>
  <c r="EU181" i="53" s="1"/>
  <c r="EU182" i="53"/>
  <c r="EU154" i="53"/>
  <c r="EU151" i="53"/>
  <c r="EU156" i="53"/>
  <c r="EU110" i="53"/>
  <c r="EU105" i="53"/>
  <c r="EU109" i="53" s="1"/>
  <c r="EU210" i="53"/>
  <c r="EU190" i="53"/>
  <c r="EU192" i="53"/>
  <c r="EU187" i="53"/>
  <c r="EU115" i="53"/>
  <c r="EU120" i="53"/>
  <c r="EU118" i="53"/>
  <c r="ET198" i="53"/>
  <c r="ET188" i="53"/>
  <c r="ET191" i="53"/>
  <c r="ET162" i="53"/>
  <c r="ET152" i="53"/>
  <c r="ET155" i="53"/>
  <c r="ET126" i="53"/>
  <c r="ET116" i="53"/>
  <c r="ET119" i="53"/>
  <c r="ET105" i="53"/>
  <c r="ET210" i="53"/>
  <c r="ET110" i="53"/>
  <c r="ER211" i="53"/>
  <c r="ER112" i="53"/>
  <c r="ER111" i="53"/>
  <c r="ER183" i="53"/>
  <c r="ER184" i="53"/>
  <c r="ET141" i="53"/>
  <c r="ET145" i="53" s="1"/>
  <c r="ET146" i="53"/>
  <c r="ET177" i="53"/>
  <c r="ET181" i="53" s="1"/>
  <c r="ET182" i="53"/>
  <c r="ER213" i="53"/>
  <c r="ES113" i="53"/>
  <c r="EQ214" i="53"/>
  <c r="EP214" i="53"/>
  <c r="EP133" i="53"/>
  <c r="EP135" i="53" s="1"/>
  <c r="ES145" i="53"/>
  <c r="ES181" i="53"/>
  <c r="EO168" i="53"/>
  <c r="EP164" i="53" s="1"/>
  <c r="EO166" i="53"/>
  <c r="EN169" i="53"/>
  <c r="EM171" i="53"/>
  <c r="EM204" i="53"/>
  <c r="EN200" i="53" s="1"/>
  <c r="EM202" i="53"/>
  <c r="EL216" i="53"/>
  <c r="EL205" i="53"/>
  <c r="EK217" i="53"/>
  <c r="EK207" i="53"/>
  <c r="EJ219" i="53"/>
  <c r="ES184" i="52"/>
  <c r="ES183" i="52"/>
  <c r="ES185" i="52" s="1"/>
  <c r="ES196" i="52" s="1"/>
  <c r="ES211" i="52"/>
  <c r="ES147" i="52"/>
  <c r="ES148" i="52"/>
  <c r="ET109" i="52"/>
  <c r="EU198" i="52"/>
  <c r="EU191" i="52"/>
  <c r="EU188" i="52"/>
  <c r="EU195" i="52" s="1"/>
  <c r="EU126" i="52"/>
  <c r="EU119" i="52"/>
  <c r="EU116" i="52"/>
  <c r="EU123" i="52" s="1"/>
  <c r="EU141" i="52"/>
  <c r="EU146" i="52"/>
  <c r="EV120" i="52"/>
  <c r="EV118" i="52"/>
  <c r="EV115" i="52"/>
  <c r="EV192" i="52"/>
  <c r="EV190" i="52"/>
  <c r="EV187" i="52"/>
  <c r="EV154" i="52"/>
  <c r="EV151" i="52"/>
  <c r="EV156" i="52"/>
  <c r="EW174" i="52"/>
  <c r="EW102" i="52"/>
  <c r="EW114" i="52"/>
  <c r="EW179" i="52"/>
  <c r="EW180" i="52"/>
  <c r="EW106" i="52"/>
  <c r="EW104" i="52"/>
  <c r="EW178" i="52"/>
  <c r="EW107" i="52"/>
  <c r="EW7" i="52"/>
  <c r="EW189" i="52"/>
  <c r="EW142" i="52"/>
  <c r="EW108" i="52"/>
  <c r="EW140" i="52"/>
  <c r="EW176" i="52"/>
  <c r="EW143" i="52"/>
  <c r="EW186" i="52"/>
  <c r="EW144" i="52"/>
  <c r="EW193" i="52"/>
  <c r="EW203" i="52"/>
  <c r="EW199" i="52"/>
  <c r="EW201" i="52" s="1"/>
  <c r="EW121" i="52"/>
  <c r="EW127" i="52"/>
  <c r="EW129" i="52" s="1"/>
  <c r="EW150" i="52"/>
  <c r="EW153" i="52"/>
  <c r="EW157" i="52"/>
  <c r="EW117" i="52"/>
  <c r="EW167" i="52"/>
  <c r="EX6" i="52"/>
  <c r="EW131" i="52"/>
  <c r="EW138" i="52"/>
  <c r="EW163" i="52"/>
  <c r="EW165" i="52" s="1"/>
  <c r="EU162" i="52"/>
  <c r="EU155" i="52"/>
  <c r="EU152" i="52"/>
  <c r="EU159" i="52" s="1"/>
  <c r="EP132" i="52"/>
  <c r="EQ128" i="52" s="1"/>
  <c r="EP130" i="52"/>
  <c r="EO133" i="52"/>
  <c r="EN135" i="52"/>
  <c r="EN204" i="52"/>
  <c r="EO200" i="52" s="1"/>
  <c r="EN202" i="52"/>
  <c r="EM216" i="52"/>
  <c r="EM205" i="52"/>
  <c r="EL217" i="52"/>
  <c r="EL207" i="52"/>
  <c r="EL219" i="52" s="1"/>
  <c r="ER212" i="52"/>
  <c r="ER124" i="52"/>
  <c r="ER214" i="52" s="1"/>
  <c r="EU105" i="52"/>
  <c r="EU109" i="52" s="1"/>
  <c r="EU110" i="52"/>
  <c r="EU210" i="52"/>
  <c r="EU177" i="52"/>
  <c r="EU181" i="52" s="1"/>
  <c r="EU182" i="52"/>
  <c r="ET149" i="52"/>
  <c r="EV103" i="52"/>
  <c r="EV175" i="52"/>
  <c r="EV139" i="52"/>
  <c r="ET181" i="52"/>
  <c r="EQ160" i="52"/>
  <c r="EQ212" i="52"/>
  <c r="EQ133" i="53"/>
  <c r="ER130" i="53"/>
  <c r="ER132" i="53"/>
  <c r="ES128" i="53" s="1"/>
  <c r="ER169" i="52"/>
  <c r="ES166" i="52"/>
  <c r="ES168" i="52"/>
  <c r="ET164" i="52" s="1"/>
  <c r="J73" i="43"/>
  <c r="J46" i="43"/>
  <c r="I122" i="43"/>
  <c r="I112" i="43"/>
  <c r="J52" i="43"/>
  <c r="ER113" i="53" l="1"/>
  <c r="ET195" i="53"/>
  <c r="ET123" i="53"/>
  <c r="ET159" i="53"/>
  <c r="EW194" i="53"/>
  <c r="EW158" i="53"/>
  <c r="EW122" i="53"/>
  <c r="EX194" i="52"/>
  <c r="EX158" i="52"/>
  <c r="EX122" i="52"/>
  <c r="EV115" i="53"/>
  <c r="EV118" i="53"/>
  <c r="EV120" i="53"/>
  <c r="EX6" i="53"/>
  <c r="EW167" i="53"/>
  <c r="EW163" i="53"/>
  <c r="EW165" i="53" s="1"/>
  <c r="EW157" i="53"/>
  <c r="EW144" i="53"/>
  <c r="EW143" i="53"/>
  <c r="EW142" i="53"/>
  <c r="EW140" i="53"/>
  <c r="EW138" i="53"/>
  <c r="EW131" i="53"/>
  <c r="EW127" i="53"/>
  <c r="EW129" i="53" s="1"/>
  <c r="EW199" i="53"/>
  <c r="EW201" i="53" s="1"/>
  <c r="EW150" i="53"/>
  <c r="EW178" i="53"/>
  <c r="EW107" i="53"/>
  <c r="EW7" i="53"/>
  <c r="EW102" i="53"/>
  <c r="EW174" i="53"/>
  <c r="EW108" i="53"/>
  <c r="EW193" i="53"/>
  <c r="EW106" i="53"/>
  <c r="EW179" i="53"/>
  <c r="EW153" i="53"/>
  <c r="EW176" i="53"/>
  <c r="EW189" i="53"/>
  <c r="EW186" i="53"/>
  <c r="EW121" i="53"/>
  <c r="EW117" i="53"/>
  <c r="EW114" i="53"/>
  <c r="EW180" i="53"/>
  <c r="EW104" i="53"/>
  <c r="EW203" i="53"/>
  <c r="EV139" i="53"/>
  <c r="EV151" i="53"/>
  <c r="EV154" i="53"/>
  <c r="EV156" i="53"/>
  <c r="EV103" i="53"/>
  <c r="EV175" i="53"/>
  <c r="EV187" i="53"/>
  <c r="EV190" i="53"/>
  <c r="EV192" i="53"/>
  <c r="EU147" i="53"/>
  <c r="EU148" i="53"/>
  <c r="EU183" i="53"/>
  <c r="EU184" i="53"/>
  <c r="EU162" i="53"/>
  <c r="EU152" i="53"/>
  <c r="EU155" i="53"/>
  <c r="EU111" i="53"/>
  <c r="EU112" i="53"/>
  <c r="EU211" i="53"/>
  <c r="EU198" i="53"/>
  <c r="EU188" i="53"/>
  <c r="EU191" i="53"/>
  <c r="EU126" i="53"/>
  <c r="EU116" i="53"/>
  <c r="EU119" i="53"/>
  <c r="ET109" i="53"/>
  <c r="ER124" i="53"/>
  <c r="ER133" i="53" s="1"/>
  <c r="ET147" i="53"/>
  <c r="ET148" i="53"/>
  <c r="ET184" i="53"/>
  <c r="ET183" i="53"/>
  <c r="ET185" i="53" s="1"/>
  <c r="ET196" i="53" s="1"/>
  <c r="ES124" i="53"/>
  <c r="ES213" i="53"/>
  <c r="ES148" i="53"/>
  <c r="ES147" i="53"/>
  <c r="ES149" i="53"/>
  <c r="ES211" i="53"/>
  <c r="ES184" i="53"/>
  <c r="ES183" i="53"/>
  <c r="ES185" i="53" s="1"/>
  <c r="ES196" i="53" s="1"/>
  <c r="ER185" i="53"/>
  <c r="ER196" i="53" s="1"/>
  <c r="ER149" i="53"/>
  <c r="EP168" i="53"/>
  <c r="EQ164" i="53" s="1"/>
  <c r="EP166" i="53"/>
  <c r="EO169" i="53"/>
  <c r="EN171" i="53"/>
  <c r="EN204" i="53"/>
  <c r="EO200" i="53" s="1"/>
  <c r="EN202" i="53"/>
  <c r="EM216" i="53"/>
  <c r="EM205" i="53"/>
  <c r="EL217" i="53"/>
  <c r="EL207" i="53"/>
  <c r="EK219" i="53"/>
  <c r="ET160" i="52"/>
  <c r="ET211" i="52"/>
  <c r="ET112" i="52"/>
  <c r="ET111" i="52"/>
  <c r="ET113" i="52" s="1"/>
  <c r="ET213" i="52"/>
  <c r="EU145" i="52"/>
  <c r="EU211" i="52" s="1"/>
  <c r="EV126" i="52"/>
  <c r="EV116" i="52"/>
  <c r="EV123" i="52" s="1"/>
  <c r="EV119" i="52"/>
  <c r="EV198" i="52"/>
  <c r="EV191" i="52"/>
  <c r="EV188" i="52"/>
  <c r="EV195" i="52" s="1"/>
  <c r="EV162" i="52"/>
  <c r="EV155" i="52"/>
  <c r="EV152" i="52"/>
  <c r="EV159" i="52" s="1"/>
  <c r="EW118" i="52"/>
  <c r="EW120" i="52"/>
  <c r="EW115" i="52"/>
  <c r="EW192" i="52"/>
  <c r="EW190" i="52"/>
  <c r="EW187" i="52"/>
  <c r="EW156" i="52"/>
  <c r="EW154" i="52"/>
  <c r="EW151" i="52"/>
  <c r="EX102" i="52"/>
  <c r="EX103" i="52" s="1"/>
  <c r="EX178" i="52"/>
  <c r="EX106" i="52"/>
  <c r="EX114" i="52"/>
  <c r="EX193" i="52"/>
  <c r="EX179" i="52"/>
  <c r="EX143" i="52"/>
  <c r="EX180" i="52"/>
  <c r="EX203" i="52"/>
  <c r="EX189" i="52"/>
  <c r="EX7" i="52"/>
  <c r="EX186" i="52"/>
  <c r="EX144" i="52"/>
  <c r="EX176" i="52"/>
  <c r="EX140" i="52"/>
  <c r="EX108" i="52"/>
  <c r="EX142" i="52"/>
  <c r="EX107" i="52"/>
  <c r="EX104" i="52"/>
  <c r="EX174" i="52"/>
  <c r="EX175" i="52" s="1"/>
  <c r="EX199" i="52"/>
  <c r="EX201" i="52" s="1"/>
  <c r="EX117" i="52"/>
  <c r="EX163" i="52"/>
  <c r="EX165" i="52" s="1"/>
  <c r="EY6" i="52"/>
  <c r="EX121" i="52"/>
  <c r="EX127" i="52"/>
  <c r="EX129" i="52" s="1"/>
  <c r="EX138" i="52"/>
  <c r="EX150" i="52"/>
  <c r="EX153" i="52"/>
  <c r="EX157" i="52"/>
  <c r="EX131" i="52"/>
  <c r="EX167" i="52"/>
  <c r="EQ130" i="52"/>
  <c r="EQ132" i="52"/>
  <c r="ER128" i="52" s="1"/>
  <c r="EP133" i="52"/>
  <c r="EO135" i="52"/>
  <c r="EO204" i="52"/>
  <c r="EP200" i="52" s="1"/>
  <c r="EO202" i="52"/>
  <c r="EN216" i="52"/>
  <c r="EN205" i="52"/>
  <c r="EM217" i="52"/>
  <c r="EM207" i="52"/>
  <c r="EM219" i="52" s="1"/>
  <c r="EU112" i="52"/>
  <c r="EU111" i="52"/>
  <c r="EU113" i="52" s="1"/>
  <c r="EU184" i="52"/>
  <c r="EU183" i="52"/>
  <c r="EU185" i="52" s="1"/>
  <c r="EV105" i="52"/>
  <c r="EV110" i="52"/>
  <c r="EV210" i="52"/>
  <c r="EV177" i="52"/>
  <c r="EV182" i="52"/>
  <c r="EV146" i="52"/>
  <c r="EV141" i="52"/>
  <c r="ET183" i="52"/>
  <c r="ET185" i="52" s="1"/>
  <c r="ET196" i="52" s="1"/>
  <c r="ET184" i="52"/>
  <c r="EQ214" i="52"/>
  <c r="EQ169" i="52"/>
  <c r="EQ171" i="52" s="1"/>
  <c r="ES149" i="52"/>
  <c r="EW175" i="52"/>
  <c r="EW103" i="52"/>
  <c r="EW139" i="52"/>
  <c r="EQ135" i="53"/>
  <c r="ES130" i="53"/>
  <c r="ES132" i="53"/>
  <c r="ET128" i="53" s="1"/>
  <c r="ER171" i="52"/>
  <c r="ET166" i="52"/>
  <c r="ET168" i="52"/>
  <c r="EU164" i="52" s="1"/>
  <c r="J75" i="43"/>
  <c r="J100" i="43"/>
  <c r="J47" i="43"/>
  <c r="J53" i="43"/>
  <c r="I118" i="43"/>
  <c r="I115" i="43"/>
  <c r="J114" i="43" s="1"/>
  <c r="I113" i="43"/>
  <c r="I186" i="43"/>
  <c r="I187" i="43" s="1"/>
  <c r="I120" i="43"/>
  <c r="EU159" i="53" l="1"/>
  <c r="EU123" i="53"/>
  <c r="EU195" i="53"/>
  <c r="EX194" i="53"/>
  <c r="EX158" i="53"/>
  <c r="EX122" i="53"/>
  <c r="EY194" i="52"/>
  <c r="EY158" i="52"/>
  <c r="EY122" i="52"/>
  <c r="EU149" i="53"/>
  <c r="EV126" i="53"/>
  <c r="EV116" i="53"/>
  <c r="EV119" i="53"/>
  <c r="EX108" i="53"/>
  <c r="EX7" i="53"/>
  <c r="EY6" i="53"/>
  <c r="EX167" i="53"/>
  <c r="EX163" i="53"/>
  <c r="EX165" i="53" s="1"/>
  <c r="EX157" i="53"/>
  <c r="EX144" i="53"/>
  <c r="EX143" i="53"/>
  <c r="EX142" i="53"/>
  <c r="EX140" i="53"/>
  <c r="EX138" i="53"/>
  <c r="EX139" i="53" s="1"/>
  <c r="EX131" i="53"/>
  <c r="EX127" i="53"/>
  <c r="EX129" i="53" s="1"/>
  <c r="EX104" i="53"/>
  <c r="EX114" i="53"/>
  <c r="EX179" i="53"/>
  <c r="EX102" i="53"/>
  <c r="EX103" i="53" s="1"/>
  <c r="EX180" i="53"/>
  <c r="EX117" i="53"/>
  <c r="EX178" i="53"/>
  <c r="EX186" i="53"/>
  <c r="EX121" i="53"/>
  <c r="EX176" i="53"/>
  <c r="EX153" i="53"/>
  <c r="EX199" i="53"/>
  <c r="EX201" i="53" s="1"/>
  <c r="EX174" i="53"/>
  <c r="EX175" i="53" s="1"/>
  <c r="EX107" i="53"/>
  <c r="EX193" i="53"/>
  <c r="EX150" i="53"/>
  <c r="EX189" i="53"/>
  <c r="EX106" i="53"/>
  <c r="EX203" i="53"/>
  <c r="EW156" i="53"/>
  <c r="EW151" i="53"/>
  <c r="EW154" i="53"/>
  <c r="EW192" i="53"/>
  <c r="EW190" i="53"/>
  <c r="EW187" i="53"/>
  <c r="EW115" i="53"/>
  <c r="EW120" i="53"/>
  <c r="EW118" i="53"/>
  <c r="EV146" i="53"/>
  <c r="EV141" i="53"/>
  <c r="EV162" i="53"/>
  <c r="EV155" i="53"/>
  <c r="EV152" i="53"/>
  <c r="EV159" i="53" s="1"/>
  <c r="EV210" i="53"/>
  <c r="EV110" i="53"/>
  <c r="EV105" i="53"/>
  <c r="EV177" i="53"/>
  <c r="EV182" i="53"/>
  <c r="EV198" i="53"/>
  <c r="EV188" i="53"/>
  <c r="EV191" i="53"/>
  <c r="ET111" i="53"/>
  <c r="ET112" i="53"/>
  <c r="ET211" i="53"/>
  <c r="ES212" i="53"/>
  <c r="ES160" i="53"/>
  <c r="ES214" i="53" s="1"/>
  <c r="EU185" i="53"/>
  <c r="EU113" i="53"/>
  <c r="ET213" i="53"/>
  <c r="ET149" i="53"/>
  <c r="ET160" i="53" s="1"/>
  <c r="EW139" i="53"/>
  <c r="EW103" i="53"/>
  <c r="EW175" i="53"/>
  <c r="ER160" i="53"/>
  <c r="ER214" i="53" s="1"/>
  <c r="ER212" i="53"/>
  <c r="EQ168" i="53"/>
  <c r="ER164" i="53" s="1"/>
  <c r="EQ166" i="53"/>
  <c r="EP169" i="53"/>
  <c r="EO171" i="53"/>
  <c r="EO204" i="53"/>
  <c r="EP200" i="53" s="1"/>
  <c r="EO202" i="53"/>
  <c r="EN216" i="53"/>
  <c r="EN205" i="53"/>
  <c r="EM217" i="53"/>
  <c r="EM207" i="53"/>
  <c r="EL219" i="53"/>
  <c r="EU196" i="52"/>
  <c r="ET212" i="52"/>
  <c r="ET124" i="52"/>
  <c r="ET214" i="52" s="1"/>
  <c r="EU147" i="52"/>
  <c r="EU148" i="52"/>
  <c r="EW126" i="52"/>
  <c r="EW119" i="52"/>
  <c r="EW116" i="52"/>
  <c r="EW123" i="52" s="1"/>
  <c r="EW198" i="52"/>
  <c r="EW191" i="52"/>
  <c r="EW188" i="52"/>
  <c r="EW195" i="52" s="1"/>
  <c r="EW162" i="52"/>
  <c r="EW155" i="52"/>
  <c r="EW152" i="52"/>
  <c r="EW159" i="52" s="1"/>
  <c r="EX110" i="52"/>
  <c r="EX105" i="52"/>
  <c r="EX109" i="52" s="1"/>
  <c r="EX115" i="52"/>
  <c r="EX120" i="52"/>
  <c r="EX118" i="52"/>
  <c r="EX192" i="52"/>
  <c r="EX190" i="52"/>
  <c r="EX187" i="52"/>
  <c r="EX182" i="52"/>
  <c r="EX177" i="52"/>
  <c r="EX181" i="52" s="1"/>
  <c r="EY179" i="52"/>
  <c r="EY186" i="52"/>
  <c r="EY144" i="52"/>
  <c r="EY104" i="52"/>
  <c r="EY143" i="52"/>
  <c r="EY7" i="52"/>
  <c r="EY142" i="52"/>
  <c r="EY174" i="52"/>
  <c r="EY176" i="52"/>
  <c r="EY180" i="52"/>
  <c r="EY189" i="52"/>
  <c r="EY107" i="52"/>
  <c r="EY140" i="52"/>
  <c r="EY108" i="52"/>
  <c r="EY199" i="52"/>
  <c r="EY201" i="52" s="1"/>
  <c r="EY203" i="52"/>
  <c r="EY193" i="52"/>
  <c r="EY114" i="52"/>
  <c r="EY106" i="52"/>
  <c r="EY102" i="52"/>
  <c r="EY178" i="52"/>
  <c r="EY121" i="52"/>
  <c r="EY127" i="52"/>
  <c r="EY129" i="52" s="1"/>
  <c r="EY150" i="52"/>
  <c r="EY153" i="52"/>
  <c r="EY157" i="52"/>
  <c r="EY117" i="52"/>
  <c r="EY131" i="52"/>
  <c r="EY138" i="52"/>
  <c r="EY139" i="52" s="1"/>
  <c r="EY167" i="52"/>
  <c r="EY163" i="52"/>
  <c r="EY165" i="52" s="1"/>
  <c r="EZ6" i="52"/>
  <c r="EX156" i="52"/>
  <c r="EX154" i="52"/>
  <c r="EX151" i="52"/>
  <c r="EQ133" i="52"/>
  <c r="ER132" i="52"/>
  <c r="ES128" i="52" s="1"/>
  <c r="ER130" i="52"/>
  <c r="EP135" i="52"/>
  <c r="EP204" i="52"/>
  <c r="EQ200" i="52" s="1"/>
  <c r="EP202" i="52"/>
  <c r="EO216" i="52"/>
  <c r="EO205" i="52"/>
  <c r="EN217" i="52"/>
  <c r="EN207" i="52"/>
  <c r="EN219" i="52" s="1"/>
  <c r="EU124" i="52"/>
  <c r="EV109" i="52"/>
  <c r="EV181" i="52"/>
  <c r="ES160" i="52"/>
  <c r="ES212" i="52"/>
  <c r="EW177" i="52"/>
  <c r="EW182" i="52"/>
  <c r="EW105" i="52"/>
  <c r="EW110" i="52"/>
  <c r="EW210" i="52"/>
  <c r="EW141" i="52"/>
  <c r="EW145" i="52" s="1"/>
  <c r="EW146" i="52"/>
  <c r="EX139" i="52"/>
  <c r="EX210" i="52" s="1"/>
  <c r="EV145" i="52"/>
  <c r="EU213" i="52"/>
  <c r="ER135" i="53"/>
  <c r="ES133" i="53"/>
  <c r="ET132" i="53"/>
  <c r="EU128" i="53" s="1"/>
  <c r="ET130" i="53"/>
  <c r="ET169" i="52"/>
  <c r="EU166" i="52"/>
  <c r="EU168" i="52"/>
  <c r="EV164" i="52" s="1"/>
  <c r="J89" i="43"/>
  <c r="J78" i="43"/>
  <c r="K42" i="43"/>
  <c r="J182" i="43"/>
  <c r="I189" i="43"/>
  <c r="I188" i="43"/>
  <c r="I121" i="43"/>
  <c r="J54" i="43"/>
  <c r="J108" i="43"/>
  <c r="J106" i="43" s="1"/>
  <c r="EV195" i="53" l="1"/>
  <c r="EV123" i="53"/>
  <c r="EY122" i="53"/>
  <c r="EY194" i="53"/>
  <c r="EY158" i="53"/>
  <c r="EZ194" i="52"/>
  <c r="EZ158" i="52"/>
  <c r="EZ122" i="52"/>
  <c r="EZ6" i="53"/>
  <c r="EY167" i="53"/>
  <c r="EY163" i="53"/>
  <c r="EY165" i="53" s="1"/>
  <c r="EY157" i="53"/>
  <c r="EY144" i="53"/>
  <c r="EY143" i="53"/>
  <c r="EY142" i="53"/>
  <c r="EY140" i="53"/>
  <c r="EY138" i="53"/>
  <c r="EY131" i="53"/>
  <c r="EY127" i="53"/>
  <c r="EY129" i="53" s="1"/>
  <c r="EY153" i="53"/>
  <c r="EY7" i="53"/>
  <c r="EY174" i="53"/>
  <c r="EY203" i="53"/>
  <c r="EY117" i="53"/>
  <c r="EY107" i="53"/>
  <c r="EY121" i="53"/>
  <c r="EY189" i="53"/>
  <c r="EY150" i="53"/>
  <c r="EY102" i="53"/>
  <c r="EY186" i="53"/>
  <c r="EY178" i="53"/>
  <c r="EY180" i="53"/>
  <c r="EY179" i="53"/>
  <c r="EY199" i="53"/>
  <c r="EY201" i="53" s="1"/>
  <c r="EY176" i="53"/>
  <c r="EY193" i="53"/>
  <c r="EY106" i="53"/>
  <c r="EY104" i="53"/>
  <c r="EY108" i="53"/>
  <c r="EY114" i="53"/>
  <c r="EX141" i="53"/>
  <c r="EX145" i="53" s="1"/>
  <c r="EX146" i="53"/>
  <c r="EX210" i="53"/>
  <c r="EX115" i="53"/>
  <c r="EX118" i="53"/>
  <c r="EX120" i="53"/>
  <c r="EX105" i="53"/>
  <c r="EX109" i="53" s="1"/>
  <c r="EX110" i="53"/>
  <c r="EX187" i="53"/>
  <c r="EX190" i="53"/>
  <c r="EX192" i="53"/>
  <c r="EX177" i="53"/>
  <c r="EX181" i="53" s="1"/>
  <c r="EX182" i="53"/>
  <c r="EX151" i="53"/>
  <c r="EX154" i="53"/>
  <c r="EX156" i="53"/>
  <c r="EW162" i="53"/>
  <c r="EW152" i="53"/>
  <c r="EW159" i="53" s="1"/>
  <c r="EW155" i="53"/>
  <c r="EW198" i="53"/>
  <c r="EW188" i="53"/>
  <c r="EW191" i="53"/>
  <c r="EW126" i="53"/>
  <c r="EW116" i="53"/>
  <c r="EW119" i="53"/>
  <c r="EV145" i="53"/>
  <c r="EV109" i="53"/>
  <c r="EV181" i="53"/>
  <c r="EU160" i="53"/>
  <c r="EU124" i="53"/>
  <c r="EU212" i="53"/>
  <c r="EU213" i="53"/>
  <c r="EW141" i="53"/>
  <c r="EW146" i="53"/>
  <c r="EW105" i="53"/>
  <c r="EW110" i="53"/>
  <c r="EW210" i="53"/>
  <c r="EW177" i="53"/>
  <c r="EW182" i="53"/>
  <c r="EU196" i="53"/>
  <c r="ET113" i="53"/>
  <c r="ER166" i="53"/>
  <c r="ER168" i="53"/>
  <c r="ES164" i="53" s="1"/>
  <c r="EQ169" i="53"/>
  <c r="EP171" i="53"/>
  <c r="EP204" i="53"/>
  <c r="EQ200" i="53" s="1"/>
  <c r="EP202" i="53"/>
  <c r="EO216" i="53"/>
  <c r="EO205" i="53"/>
  <c r="EN217" i="53"/>
  <c r="EN207" i="53"/>
  <c r="EM219" i="53"/>
  <c r="EX112" i="52"/>
  <c r="EX111" i="52"/>
  <c r="EX126" i="52"/>
  <c r="EX119" i="52"/>
  <c r="EX116" i="52"/>
  <c r="EX123" i="52" s="1"/>
  <c r="EX198" i="52"/>
  <c r="EX191" i="52"/>
  <c r="EX188" i="52"/>
  <c r="EX195" i="52" s="1"/>
  <c r="EX184" i="52"/>
  <c r="EX183" i="52"/>
  <c r="EX185" i="52" s="1"/>
  <c r="EY192" i="52"/>
  <c r="EY190" i="52"/>
  <c r="EY187" i="52"/>
  <c r="EY175" i="52"/>
  <c r="EY120" i="52"/>
  <c r="EY115" i="52"/>
  <c r="EY118" i="52"/>
  <c r="EY103" i="52"/>
  <c r="EY151" i="52"/>
  <c r="EY154" i="52"/>
  <c r="EY156" i="52"/>
  <c r="EY146" i="52"/>
  <c r="EY141" i="52"/>
  <c r="EY145" i="52" s="1"/>
  <c r="EZ180" i="52"/>
  <c r="EZ193" i="52"/>
  <c r="EZ189" i="52"/>
  <c r="EZ144" i="52"/>
  <c r="EZ186" i="52"/>
  <c r="EZ107" i="52"/>
  <c r="EZ140" i="52"/>
  <c r="EZ179" i="52"/>
  <c r="EZ203" i="52"/>
  <c r="EZ114" i="52"/>
  <c r="EZ102" i="52"/>
  <c r="EZ7" i="52"/>
  <c r="EZ142" i="52"/>
  <c r="EZ176" i="52"/>
  <c r="EZ199" i="52"/>
  <c r="EZ201" i="52" s="1"/>
  <c r="EZ108" i="52"/>
  <c r="EZ143" i="52"/>
  <c r="EZ106" i="52"/>
  <c r="EZ178" i="52"/>
  <c r="EZ104" i="52"/>
  <c r="EZ174" i="52"/>
  <c r="EZ121" i="52"/>
  <c r="EZ127" i="52"/>
  <c r="EZ129" i="52" s="1"/>
  <c r="EZ138" i="52"/>
  <c r="EZ150" i="52"/>
  <c r="EZ153" i="52"/>
  <c r="EZ157" i="52"/>
  <c r="EZ167" i="52"/>
  <c r="FA6" i="52"/>
  <c r="EZ117" i="52"/>
  <c r="EZ131" i="52"/>
  <c r="EZ163" i="52"/>
  <c r="EZ165" i="52" s="1"/>
  <c r="EX162" i="52"/>
  <c r="EX155" i="52"/>
  <c r="EX152" i="52"/>
  <c r="EX159" i="52" s="1"/>
  <c r="EQ135" i="52"/>
  <c r="ES132" i="52"/>
  <c r="ET128" i="52" s="1"/>
  <c r="ES130" i="52"/>
  <c r="ER133" i="52"/>
  <c r="EQ204" i="52"/>
  <c r="ER200" i="52" s="1"/>
  <c r="EQ202" i="52"/>
  <c r="EP216" i="52"/>
  <c r="EP205" i="52"/>
  <c r="EO217" i="52"/>
  <c r="EO207" i="52"/>
  <c r="EO219" i="52" s="1"/>
  <c r="EV211" i="52"/>
  <c r="EV112" i="52"/>
  <c r="EV111" i="52"/>
  <c r="EV113" i="52" s="1"/>
  <c r="EV184" i="52"/>
  <c r="EV183" i="52"/>
  <c r="EV185" i="52" s="1"/>
  <c r="EV196" i="52" s="1"/>
  <c r="ES169" i="52"/>
  <c r="ES171" i="52" s="1"/>
  <c r="ES214" i="52"/>
  <c r="EW147" i="52"/>
  <c r="EW148" i="52"/>
  <c r="EV213" i="52"/>
  <c r="EX141" i="52"/>
  <c r="EX146" i="52"/>
  <c r="EV148" i="52"/>
  <c r="EV147" i="52"/>
  <c r="EU149" i="52"/>
  <c r="EW181" i="52"/>
  <c r="EW109" i="52"/>
  <c r="ES135" i="53"/>
  <c r="EU130" i="53"/>
  <c r="EU132" i="53"/>
  <c r="EV128" i="53" s="1"/>
  <c r="ET171" i="52"/>
  <c r="EV166" i="52"/>
  <c r="EV168" i="52"/>
  <c r="EW164" i="52" s="1"/>
  <c r="J184" i="43"/>
  <c r="J185" i="43" s="1"/>
  <c r="K50" i="43"/>
  <c r="K52" i="43" s="1"/>
  <c r="J93" i="43"/>
  <c r="J90" i="43"/>
  <c r="J91" i="43"/>
  <c r="J94" i="43"/>
  <c r="J79" i="43"/>
  <c r="J97" i="43"/>
  <c r="J103" i="43" s="1"/>
  <c r="K45" i="43"/>
  <c r="K44" i="43"/>
  <c r="I190" i="43"/>
  <c r="EW195" i="53" l="1"/>
  <c r="EW123" i="53"/>
  <c r="EZ194" i="53"/>
  <c r="EZ158" i="53"/>
  <c r="EZ122" i="53"/>
  <c r="EV149" i="52"/>
  <c r="FA194" i="52"/>
  <c r="FA158" i="52"/>
  <c r="FA122" i="52"/>
  <c r="EW149" i="52"/>
  <c r="EW160" i="52" s="1"/>
  <c r="EX113" i="52"/>
  <c r="EX124" i="52" s="1"/>
  <c r="FA6" i="53"/>
  <c r="EZ167" i="53"/>
  <c r="EZ163" i="53"/>
  <c r="EZ165" i="53" s="1"/>
  <c r="EZ157" i="53"/>
  <c r="EZ144" i="53"/>
  <c r="EZ143" i="53"/>
  <c r="EZ142" i="53"/>
  <c r="EZ140" i="53"/>
  <c r="EZ138" i="53"/>
  <c r="EZ139" i="53" s="1"/>
  <c r="EZ131" i="53"/>
  <c r="EZ127" i="53"/>
  <c r="EZ129" i="53" s="1"/>
  <c r="EZ104" i="53"/>
  <c r="EZ199" i="53"/>
  <c r="EZ201" i="53" s="1"/>
  <c r="EZ189" i="53"/>
  <c r="EZ106" i="53"/>
  <c r="EZ108" i="53"/>
  <c r="EZ153" i="53"/>
  <c r="EZ193" i="53"/>
  <c r="EZ179" i="53"/>
  <c r="EZ178" i="53"/>
  <c r="EZ180" i="53"/>
  <c r="EZ203" i="53"/>
  <c r="EZ102" i="53"/>
  <c r="EZ103" i="53" s="1"/>
  <c r="EZ186" i="53"/>
  <c r="EZ150" i="53"/>
  <c r="EZ176" i="53"/>
  <c r="EZ107" i="53"/>
  <c r="EZ7" i="53"/>
  <c r="EZ114" i="53"/>
  <c r="EZ121" i="53"/>
  <c r="EZ174" i="53"/>
  <c r="EZ175" i="53" s="1"/>
  <c r="EZ117" i="53"/>
  <c r="EY139" i="53"/>
  <c r="EY175" i="53"/>
  <c r="EY151" i="53"/>
  <c r="EY154" i="53"/>
  <c r="EY156" i="53"/>
  <c r="EY103" i="53"/>
  <c r="EY187" i="53"/>
  <c r="EY190" i="53"/>
  <c r="EY192" i="53"/>
  <c r="EY115" i="53"/>
  <c r="EY118" i="53"/>
  <c r="EY120" i="53"/>
  <c r="EX148" i="53"/>
  <c r="EX147" i="53"/>
  <c r="EX126" i="53"/>
  <c r="EX116" i="53"/>
  <c r="EX123" i="53" s="1"/>
  <c r="EX119" i="53"/>
  <c r="EX211" i="53"/>
  <c r="EX111" i="53"/>
  <c r="EX112" i="53"/>
  <c r="EX198" i="53"/>
  <c r="EX188" i="53"/>
  <c r="EX195" i="53" s="1"/>
  <c r="EX191" i="53"/>
  <c r="EX183" i="53"/>
  <c r="EX184" i="53"/>
  <c r="EX162" i="53"/>
  <c r="EX152" i="53"/>
  <c r="EX159" i="53" s="1"/>
  <c r="EX155" i="53"/>
  <c r="EV148" i="53"/>
  <c r="EV147" i="53"/>
  <c r="EV149" i="53" s="1"/>
  <c r="EV160" i="53" s="1"/>
  <c r="EV111" i="53"/>
  <c r="EV112" i="53"/>
  <c r="EV211" i="53"/>
  <c r="EV183" i="53"/>
  <c r="EV184" i="53"/>
  <c r="ET124" i="53"/>
  <c r="ET212" i="53"/>
  <c r="EU214" i="53"/>
  <c r="EV213" i="53"/>
  <c r="EW145" i="53"/>
  <c r="EW109" i="53"/>
  <c r="EW181" i="53"/>
  <c r="ER169" i="53"/>
  <c r="ES168" i="53"/>
  <c r="ET164" i="53" s="1"/>
  <c r="ES166" i="53"/>
  <c r="EQ171" i="53"/>
  <c r="EQ204" i="53"/>
  <c r="ER200" i="53" s="1"/>
  <c r="EQ202" i="53"/>
  <c r="EP216" i="53"/>
  <c r="EP205" i="53"/>
  <c r="EO217" i="53"/>
  <c r="EO207" i="53"/>
  <c r="EN219" i="53"/>
  <c r="EY198" i="52"/>
  <c r="EY191" i="52"/>
  <c r="EY188" i="52"/>
  <c r="EY195" i="52" s="1"/>
  <c r="EY182" i="52"/>
  <c r="EY177" i="52"/>
  <c r="EY126" i="52"/>
  <c r="EY116" i="52"/>
  <c r="EY119" i="52"/>
  <c r="EY210" i="52"/>
  <c r="EY110" i="52"/>
  <c r="EY105" i="52"/>
  <c r="EY162" i="52"/>
  <c r="EY155" i="52"/>
  <c r="EY152" i="52"/>
  <c r="EY159" i="52" s="1"/>
  <c r="EY147" i="52"/>
  <c r="EY148" i="52"/>
  <c r="EZ192" i="52"/>
  <c r="EZ190" i="52"/>
  <c r="EZ187" i="52"/>
  <c r="EZ118" i="52"/>
  <c r="EZ120" i="52"/>
  <c r="EZ115" i="52"/>
  <c r="EZ139" i="52"/>
  <c r="EZ154" i="52"/>
  <c r="EZ151" i="52"/>
  <c r="EZ156" i="52"/>
  <c r="FA104" i="52"/>
  <c r="FA106" i="52"/>
  <c r="FA176" i="52"/>
  <c r="FA143" i="52"/>
  <c r="FA108" i="52"/>
  <c r="FA199" i="52"/>
  <c r="FA201" i="52" s="1"/>
  <c r="FA174" i="52"/>
  <c r="FA102" i="52"/>
  <c r="FA103" i="52" s="1"/>
  <c r="FA7" i="52"/>
  <c r="FA203" i="52"/>
  <c r="FA179" i="52"/>
  <c r="FA140" i="52"/>
  <c r="FA114" i="52"/>
  <c r="FA142" i="52"/>
  <c r="FA144" i="52"/>
  <c r="FA186" i="52"/>
  <c r="FA107" i="52"/>
  <c r="FA180" i="52"/>
  <c r="FA193" i="52"/>
  <c r="FA178" i="52"/>
  <c r="FA189" i="52"/>
  <c r="FA163" i="52"/>
  <c r="FA165" i="52" s="1"/>
  <c r="FA121" i="52"/>
  <c r="FA127" i="52"/>
  <c r="FA129" i="52" s="1"/>
  <c r="FA138" i="52"/>
  <c r="FA150" i="52"/>
  <c r="FA153" i="52"/>
  <c r="FA157" i="52"/>
  <c r="FA117" i="52"/>
  <c r="FA131" i="52"/>
  <c r="FA167" i="52"/>
  <c r="FB6" i="52"/>
  <c r="ET132" i="52"/>
  <c r="EU128" i="52" s="1"/>
  <c r="ET130" i="52"/>
  <c r="ES133" i="52"/>
  <c r="ER135" i="52"/>
  <c r="ER204" i="52"/>
  <c r="ES200" i="52" s="1"/>
  <c r="ER202" i="52"/>
  <c r="EQ216" i="52"/>
  <c r="EQ205" i="52"/>
  <c r="EP217" i="52"/>
  <c r="EP207" i="52"/>
  <c r="EP219" i="52" s="1"/>
  <c r="EV124" i="52"/>
  <c r="EX145" i="52"/>
  <c r="EU212" i="52"/>
  <c r="EU160" i="52"/>
  <c r="EW183" i="52"/>
  <c r="EW184" i="52"/>
  <c r="EW111" i="52"/>
  <c r="EW112" i="52"/>
  <c r="EW113" i="52"/>
  <c r="EW211" i="52"/>
  <c r="EW213" i="52"/>
  <c r="EX196" i="52"/>
  <c r="EZ103" i="52"/>
  <c r="EZ175" i="52"/>
  <c r="EU133" i="53"/>
  <c r="EV130" i="53"/>
  <c r="EV132" i="53"/>
  <c r="EW128" i="53" s="1"/>
  <c r="EW166" i="52"/>
  <c r="EW168" i="52"/>
  <c r="EX164" i="52" s="1"/>
  <c r="J92" i="43"/>
  <c r="J122" i="43"/>
  <c r="J112" i="43"/>
  <c r="J123" i="43"/>
  <c r="K46" i="43"/>
  <c r="K73" i="43"/>
  <c r="FA194" i="53" l="1"/>
  <c r="FA122" i="53"/>
  <c r="FA158" i="53"/>
  <c r="EY123" i="52"/>
  <c r="EV160" i="52"/>
  <c r="EV212" i="52"/>
  <c r="FB194" i="52"/>
  <c r="FB158" i="52"/>
  <c r="FB122" i="52"/>
  <c r="EW185" i="52"/>
  <c r="EX149" i="53"/>
  <c r="FB6" i="53"/>
  <c r="FA167" i="53"/>
  <c r="FA163" i="53"/>
  <c r="FA165" i="53" s="1"/>
  <c r="FA157" i="53"/>
  <c r="FA144" i="53"/>
  <c r="FA143" i="53"/>
  <c r="FA142" i="53"/>
  <c r="FA140" i="53"/>
  <c r="FA138" i="53"/>
  <c r="FA131" i="53"/>
  <c r="FA127" i="53"/>
  <c r="FA129" i="53" s="1"/>
  <c r="FA108" i="53"/>
  <c r="FA176" i="53"/>
  <c r="FA186" i="53"/>
  <c r="FA107" i="53"/>
  <c r="FA102" i="53"/>
  <c r="FA121" i="53"/>
  <c r="FA179" i="53"/>
  <c r="FA180" i="53"/>
  <c r="FA114" i="53"/>
  <c r="FA104" i="53"/>
  <c r="FA193" i="53"/>
  <c r="FA117" i="53"/>
  <c r="FA150" i="53"/>
  <c r="FA174" i="53"/>
  <c r="FA7" i="53"/>
  <c r="FA199" i="53"/>
  <c r="FA201" i="53" s="1"/>
  <c r="FA189" i="53"/>
  <c r="FA153" i="53"/>
  <c r="FA178" i="53"/>
  <c r="FA203" i="53"/>
  <c r="FA106" i="53"/>
  <c r="EZ146" i="53"/>
  <c r="EZ141" i="53"/>
  <c r="EZ145" i="53" s="1"/>
  <c r="EZ210" i="53"/>
  <c r="EZ110" i="53"/>
  <c r="EZ105" i="53"/>
  <c r="EZ109" i="53" s="1"/>
  <c r="EZ187" i="53"/>
  <c r="EZ190" i="53"/>
  <c r="EZ192" i="53"/>
  <c r="EZ151" i="53"/>
  <c r="EZ154" i="53"/>
  <c r="EZ156" i="53"/>
  <c r="EZ115" i="53"/>
  <c r="EZ118" i="53"/>
  <c r="EZ120" i="53"/>
  <c r="EZ182" i="53"/>
  <c r="EZ177" i="53"/>
  <c r="EZ181" i="53" s="1"/>
  <c r="EY141" i="53"/>
  <c r="EY146" i="53"/>
  <c r="EY177" i="53"/>
  <c r="EY182" i="53"/>
  <c r="EY162" i="53"/>
  <c r="EY152" i="53"/>
  <c r="EY155" i="53"/>
  <c r="EY105" i="53"/>
  <c r="EY110" i="53"/>
  <c r="EY210" i="53"/>
  <c r="EY198" i="53"/>
  <c r="EY188" i="53"/>
  <c r="EY191" i="53"/>
  <c r="EY126" i="53"/>
  <c r="EY116" i="53"/>
  <c r="EY119" i="53"/>
  <c r="ET133" i="53"/>
  <c r="ET135" i="53" s="1"/>
  <c r="ET214" i="53"/>
  <c r="EW213" i="53"/>
  <c r="EW148" i="53"/>
  <c r="EW147" i="53"/>
  <c r="EW149" i="53" s="1"/>
  <c r="EW160" i="53" s="1"/>
  <c r="EW111" i="53"/>
  <c r="EW112" i="53"/>
  <c r="EW113" i="53" s="1"/>
  <c r="EW211" i="53"/>
  <c r="EW184" i="53"/>
  <c r="EW183" i="53"/>
  <c r="EW185" i="53"/>
  <c r="EW196" i="53" s="1"/>
  <c r="EX113" i="53"/>
  <c r="EX185" i="53"/>
  <c r="EV113" i="53"/>
  <c r="EV185" i="53"/>
  <c r="EV196" i="53" s="1"/>
  <c r="ER171" i="53"/>
  <c r="ET168" i="53"/>
  <c r="EU164" i="53" s="1"/>
  <c r="ET166" i="53"/>
  <c r="ES169" i="53"/>
  <c r="ER204" i="53"/>
  <c r="ES200" i="53" s="1"/>
  <c r="ER202" i="53"/>
  <c r="EQ216" i="53"/>
  <c r="EQ205" i="53"/>
  <c r="EP217" i="53"/>
  <c r="EP207" i="53"/>
  <c r="EO219" i="53"/>
  <c r="EX213" i="52"/>
  <c r="EY181" i="52"/>
  <c r="EY109" i="52"/>
  <c r="EZ198" i="52"/>
  <c r="EZ191" i="52"/>
  <c r="EZ188" i="52"/>
  <c r="EZ195" i="52" s="1"/>
  <c r="EZ126" i="52"/>
  <c r="EZ119" i="52"/>
  <c r="EZ116" i="52"/>
  <c r="EZ123" i="52" s="1"/>
  <c r="EZ141" i="52"/>
  <c r="EZ146" i="52"/>
  <c r="EZ162" i="52"/>
  <c r="EZ155" i="52"/>
  <c r="EZ152" i="52"/>
  <c r="EZ159" i="52" s="1"/>
  <c r="FA110" i="52"/>
  <c r="FA105" i="52"/>
  <c r="FA109" i="52" s="1"/>
  <c r="FA118" i="52"/>
  <c r="FA115" i="52"/>
  <c r="FA120" i="52"/>
  <c r="FA192" i="52"/>
  <c r="FA190" i="52"/>
  <c r="FA187" i="52"/>
  <c r="FA156" i="52"/>
  <c r="FA154" i="52"/>
  <c r="FA151" i="52"/>
  <c r="FB104" i="52"/>
  <c r="FB144" i="52"/>
  <c r="FB193" i="52"/>
  <c r="FB174" i="52"/>
  <c r="FB175" i="52" s="1"/>
  <c r="FB140" i="52"/>
  <c r="FB189" i="52"/>
  <c r="FB186" i="52"/>
  <c r="FB7" i="52"/>
  <c r="FB203" i="52"/>
  <c r="FB142" i="52"/>
  <c r="FB114" i="52"/>
  <c r="FB108" i="52"/>
  <c r="FB199" i="52"/>
  <c r="FB201" i="52" s="1"/>
  <c r="FB102" i="52"/>
  <c r="FB143" i="52"/>
  <c r="FB106" i="52"/>
  <c r="FB178" i="52"/>
  <c r="FB176" i="52"/>
  <c r="FB179" i="52"/>
  <c r="FB107" i="52"/>
  <c r="FB180" i="52"/>
  <c r="FB117" i="52"/>
  <c r="FB131" i="52"/>
  <c r="FB138" i="52"/>
  <c r="FB139" i="52" s="1"/>
  <c r="FB163" i="52"/>
  <c r="FB165" i="52" s="1"/>
  <c r="FC6" i="52"/>
  <c r="FB121" i="52"/>
  <c r="FB127" i="52"/>
  <c r="FB129" i="52" s="1"/>
  <c r="FB150" i="52"/>
  <c r="FB153" i="52"/>
  <c r="FB157" i="52"/>
  <c r="FB167" i="52"/>
  <c r="EU132" i="52"/>
  <c r="EV128" i="52" s="1"/>
  <c r="EU130" i="52"/>
  <c r="ET133" i="52"/>
  <c r="ES135" i="52"/>
  <c r="ES204" i="52"/>
  <c r="ET200" i="52" s="1"/>
  <c r="ES202" i="52"/>
  <c r="ER216" i="52"/>
  <c r="ER205" i="52"/>
  <c r="EQ217" i="52"/>
  <c r="EQ207" i="52"/>
  <c r="EQ219" i="52" s="1"/>
  <c r="EX211" i="52"/>
  <c r="EX147" i="52"/>
  <c r="EX148" i="52"/>
  <c r="EU169" i="52"/>
  <c r="EU171" i="52" s="1"/>
  <c r="EU214" i="52"/>
  <c r="EW124" i="52"/>
  <c r="EZ105" i="52"/>
  <c r="EZ110" i="52"/>
  <c r="EZ210" i="52"/>
  <c r="EZ177" i="52"/>
  <c r="EZ182" i="52"/>
  <c r="EY149" i="52"/>
  <c r="FA175" i="52"/>
  <c r="FA139" i="52"/>
  <c r="FA210" i="52" s="1"/>
  <c r="EU135" i="53"/>
  <c r="EW132" i="53"/>
  <c r="EX128" i="53" s="1"/>
  <c r="EW130" i="53"/>
  <c r="EX166" i="52"/>
  <c r="EX168" i="52"/>
  <c r="EY164" i="52" s="1"/>
  <c r="EW169" i="52"/>
  <c r="EW171" i="52" s="1"/>
  <c r="J118" i="43"/>
  <c r="J113" i="43"/>
  <c r="J115" i="43"/>
  <c r="K114" i="43" s="1"/>
  <c r="J120" i="43"/>
  <c r="J186" i="43"/>
  <c r="J187" i="43" s="1"/>
  <c r="K47" i="43"/>
  <c r="K53" i="43"/>
  <c r="K75" i="43"/>
  <c r="K100" i="43"/>
  <c r="EY159" i="53" l="1"/>
  <c r="EY195" i="53"/>
  <c r="EY123" i="53"/>
  <c r="FB122" i="53"/>
  <c r="FB194" i="53"/>
  <c r="FB158" i="53"/>
  <c r="EV214" i="52"/>
  <c r="EV169" i="52"/>
  <c r="EV171" i="52" s="1"/>
  <c r="FC194" i="52"/>
  <c r="FC158" i="52"/>
  <c r="FC122" i="52"/>
  <c r="EW196" i="52"/>
  <c r="EW214" i="52" s="1"/>
  <c r="EW212" i="52"/>
  <c r="EX196" i="53"/>
  <c r="FC6" i="53"/>
  <c r="FB167" i="53"/>
  <c r="FB163" i="53"/>
  <c r="FB165" i="53" s="1"/>
  <c r="FB157" i="53"/>
  <c r="FB144" i="53"/>
  <c r="FB143" i="53"/>
  <c r="FB142" i="53"/>
  <c r="FB140" i="53"/>
  <c r="FB138" i="53"/>
  <c r="FB139" i="53" s="1"/>
  <c r="FB131" i="53"/>
  <c r="FB127" i="53"/>
  <c r="FB129" i="53" s="1"/>
  <c r="FB121" i="53"/>
  <c r="FB179" i="53"/>
  <c r="FB180" i="53"/>
  <c r="FB203" i="53"/>
  <c r="FB102" i="53"/>
  <c r="FB103" i="53" s="1"/>
  <c r="FB193" i="53"/>
  <c r="FB174" i="53"/>
  <c r="FB175" i="53" s="1"/>
  <c r="FB186" i="53"/>
  <c r="FB114" i="53"/>
  <c r="FB178" i="53"/>
  <c r="FB106" i="53"/>
  <c r="FB189" i="53"/>
  <c r="FB153" i="53"/>
  <c r="FB108" i="53"/>
  <c r="FB199" i="53"/>
  <c r="FB201" i="53" s="1"/>
  <c r="FB117" i="53"/>
  <c r="FB7" i="53"/>
  <c r="FB107" i="53"/>
  <c r="FB104" i="53"/>
  <c r="FB176" i="53"/>
  <c r="FB150" i="53"/>
  <c r="FA139" i="53"/>
  <c r="FA187" i="53"/>
  <c r="FA190" i="53"/>
  <c r="FA192" i="53"/>
  <c r="FA103" i="53"/>
  <c r="FA115" i="53"/>
  <c r="FA118" i="53"/>
  <c r="FA120" i="53"/>
  <c r="FA151" i="53"/>
  <c r="FA154" i="53"/>
  <c r="FA156" i="53"/>
  <c r="FA175" i="53"/>
  <c r="EZ147" i="53"/>
  <c r="EZ148" i="53"/>
  <c r="EZ111" i="53"/>
  <c r="EZ112" i="53"/>
  <c r="EZ211" i="53"/>
  <c r="EZ198" i="53"/>
  <c r="EZ188" i="53"/>
  <c r="EZ191" i="53"/>
  <c r="EZ162" i="53"/>
  <c r="EZ152" i="53"/>
  <c r="EZ155" i="53"/>
  <c r="EZ126" i="53"/>
  <c r="EZ116" i="53"/>
  <c r="EZ119" i="53"/>
  <c r="EZ184" i="53"/>
  <c r="EZ183" i="53"/>
  <c r="EZ185" i="53"/>
  <c r="EY145" i="53"/>
  <c r="EY181" i="53"/>
  <c r="EY109" i="53"/>
  <c r="EW212" i="53"/>
  <c r="EW124" i="53"/>
  <c r="EX124" i="53"/>
  <c r="EX212" i="53"/>
  <c r="EX160" i="53"/>
  <c r="EV124" i="53"/>
  <c r="EV212" i="53"/>
  <c r="EX213" i="53"/>
  <c r="EU166" i="53"/>
  <c r="EU168" i="53"/>
  <c r="EV164" i="53" s="1"/>
  <c r="ET169" i="53"/>
  <c r="ES171" i="53"/>
  <c r="ES204" i="53"/>
  <c r="ET200" i="53" s="1"/>
  <c r="ES202" i="53"/>
  <c r="ER216" i="53"/>
  <c r="ER205" i="53"/>
  <c r="EQ217" i="53"/>
  <c r="EQ207" i="53"/>
  <c r="EP219" i="53"/>
  <c r="EX149" i="52"/>
  <c r="EY160" i="52"/>
  <c r="EY184" i="52"/>
  <c r="EY183" i="52"/>
  <c r="EY185" i="52" s="1"/>
  <c r="EY196" i="52" s="1"/>
  <c r="EY211" i="52"/>
  <c r="EY112" i="52"/>
  <c r="EY111" i="52"/>
  <c r="EY113" i="52" s="1"/>
  <c r="EZ145" i="52"/>
  <c r="FA112" i="52"/>
  <c r="FA111" i="52"/>
  <c r="FA113" i="52" s="1"/>
  <c r="FA126" i="52"/>
  <c r="FA119" i="52"/>
  <c r="FA116" i="52"/>
  <c r="FA123" i="52" s="1"/>
  <c r="FA198" i="52"/>
  <c r="FA191" i="52"/>
  <c r="FA188" i="52"/>
  <c r="FA195" i="52" s="1"/>
  <c r="FA162" i="52"/>
  <c r="FA155" i="52"/>
  <c r="FA152" i="52"/>
  <c r="FA159" i="52" s="1"/>
  <c r="FB182" i="52"/>
  <c r="FB177" i="52"/>
  <c r="FB181" i="52" s="1"/>
  <c r="FB192" i="52"/>
  <c r="FB190" i="52"/>
  <c r="FB187" i="52"/>
  <c r="FB118" i="52"/>
  <c r="FB120" i="52"/>
  <c r="FB115" i="52"/>
  <c r="FB103" i="52"/>
  <c r="FB146" i="52"/>
  <c r="FB141" i="52"/>
  <c r="FB145" i="52" s="1"/>
  <c r="FC179" i="52"/>
  <c r="FC176" i="52"/>
  <c r="FC104" i="52"/>
  <c r="FC199" i="52"/>
  <c r="FC201" i="52" s="1"/>
  <c r="FC106" i="52"/>
  <c r="FC178" i="52"/>
  <c r="FC102" i="52"/>
  <c r="FC143" i="52"/>
  <c r="FC108" i="52"/>
  <c r="FC203" i="52"/>
  <c r="FC142" i="52"/>
  <c r="FC7" i="52"/>
  <c r="FC186" i="52"/>
  <c r="FC180" i="52"/>
  <c r="FC114" i="52"/>
  <c r="FC189" i="52"/>
  <c r="FC140" i="52"/>
  <c r="FC174" i="52"/>
  <c r="FC144" i="52"/>
  <c r="FC107" i="52"/>
  <c r="FC193" i="52"/>
  <c r="FC121" i="52"/>
  <c r="FC127" i="52"/>
  <c r="FC129" i="52" s="1"/>
  <c r="FC150" i="52"/>
  <c r="FC153" i="52"/>
  <c r="FC157" i="52"/>
  <c r="FC131" i="52"/>
  <c r="FC138" i="52"/>
  <c r="FC167" i="52"/>
  <c r="FC117" i="52"/>
  <c r="FC163" i="52"/>
  <c r="FC165" i="52" s="1"/>
  <c r="FD6" i="52"/>
  <c r="FB154" i="52"/>
  <c r="FB156" i="52"/>
  <c r="FB151" i="52"/>
  <c r="EV132" i="52"/>
  <c r="EW128" i="52" s="1"/>
  <c r="EV130" i="52"/>
  <c r="EU133" i="52"/>
  <c r="ET135" i="52"/>
  <c r="ET204" i="52"/>
  <c r="EU200" i="52" s="1"/>
  <c r="ET202" i="52"/>
  <c r="ES216" i="52"/>
  <c r="ES205" i="52"/>
  <c r="ER217" i="52"/>
  <c r="ER207" i="52"/>
  <c r="ER219" i="52" s="1"/>
  <c r="EY213" i="52"/>
  <c r="FA177" i="52"/>
  <c r="FA181" i="52" s="1"/>
  <c r="FA182" i="52"/>
  <c r="FA141" i="52"/>
  <c r="FA146" i="52"/>
  <c r="EZ109" i="52"/>
  <c r="EZ181" i="52"/>
  <c r="EX130" i="53"/>
  <c r="EX132" i="53"/>
  <c r="EY128" i="53" s="1"/>
  <c r="EY166" i="52"/>
  <c r="EY168" i="52"/>
  <c r="EZ164" i="52" s="1"/>
  <c r="J121" i="43"/>
  <c r="J188" i="43"/>
  <c r="J189" i="43"/>
  <c r="L42" i="43"/>
  <c r="K182" i="43"/>
  <c r="K78" i="43"/>
  <c r="K89" i="43"/>
  <c r="K54" i="43"/>
  <c r="K108" i="43"/>
  <c r="K106" i="43" s="1"/>
  <c r="EZ195" i="53" l="1"/>
  <c r="EZ159" i="53"/>
  <c r="EZ123" i="53"/>
  <c r="FC194" i="53"/>
  <c r="FC122" i="53"/>
  <c r="FC158" i="53"/>
  <c r="FD194" i="52"/>
  <c r="FD158" i="52"/>
  <c r="FD122" i="52"/>
  <c r="EX214" i="53"/>
  <c r="EX212" i="52"/>
  <c r="EX160" i="52"/>
  <c r="EZ149" i="53"/>
  <c r="EZ160" i="53" s="1"/>
  <c r="FC108" i="53"/>
  <c r="FC102" i="53"/>
  <c r="FC203" i="53"/>
  <c r="FC121" i="53"/>
  <c r="FC189" i="53"/>
  <c r="FC153" i="53"/>
  <c r="FC179" i="53"/>
  <c r="FC150" i="53"/>
  <c r="FC186" i="53"/>
  <c r="FC106" i="53"/>
  <c r="FC117" i="53"/>
  <c r="FC107" i="53"/>
  <c r="FD6" i="53"/>
  <c r="FC167" i="53"/>
  <c r="FC163" i="53"/>
  <c r="FC165" i="53" s="1"/>
  <c r="FC157" i="53"/>
  <c r="FC144" i="53"/>
  <c r="FC143" i="53"/>
  <c r="FC142" i="53"/>
  <c r="FC140" i="53"/>
  <c r="FC138" i="53"/>
  <c r="FC131" i="53"/>
  <c r="FC127" i="53"/>
  <c r="FC129" i="53" s="1"/>
  <c r="FC104" i="53"/>
  <c r="FC7" i="53"/>
  <c r="FC180" i="53"/>
  <c r="FC199" i="53"/>
  <c r="FC201" i="53" s="1"/>
  <c r="FC174" i="53"/>
  <c r="FC193" i="53"/>
  <c r="FC178" i="53"/>
  <c r="FC176" i="53"/>
  <c r="FC114" i="53"/>
  <c r="FB141" i="53"/>
  <c r="FB145" i="53" s="1"/>
  <c r="FB146" i="53"/>
  <c r="FB110" i="53"/>
  <c r="FB105" i="53"/>
  <c r="FB109" i="53" s="1"/>
  <c r="FB210" i="53"/>
  <c r="FB182" i="53"/>
  <c r="FB177" i="53"/>
  <c r="FB181" i="53" s="1"/>
  <c r="FB187" i="53"/>
  <c r="FB190" i="53"/>
  <c r="FB192" i="53"/>
  <c r="FB118" i="53"/>
  <c r="FB120" i="53"/>
  <c r="FB115" i="53"/>
  <c r="FB151" i="53"/>
  <c r="FB156" i="53"/>
  <c r="FB154" i="53"/>
  <c r="FA146" i="53"/>
  <c r="FA141" i="53"/>
  <c r="FA198" i="53"/>
  <c r="FA188" i="53"/>
  <c r="FA195" i="53" s="1"/>
  <c r="FA191" i="53"/>
  <c r="FA210" i="53"/>
  <c r="FA110" i="53"/>
  <c r="FA105" i="53"/>
  <c r="FA126" i="53"/>
  <c r="FA116" i="53"/>
  <c r="FA123" i="53" s="1"/>
  <c r="FA119" i="53"/>
  <c r="FA162" i="53"/>
  <c r="FA152" i="53"/>
  <c r="FA159" i="53" s="1"/>
  <c r="FA155" i="53"/>
  <c r="FA182" i="53"/>
  <c r="FA177" i="53"/>
  <c r="EZ213" i="53"/>
  <c r="EY148" i="53"/>
  <c r="EY147" i="53"/>
  <c r="EY184" i="53"/>
  <c r="EY183" i="53"/>
  <c r="EY112" i="53"/>
  <c r="EY211" i="53"/>
  <c r="EY111" i="53"/>
  <c r="EY113" i="53" s="1"/>
  <c r="EV133" i="53"/>
  <c r="EV135" i="53" s="1"/>
  <c r="EV214" i="53"/>
  <c r="EY213" i="53"/>
  <c r="EZ113" i="53"/>
  <c r="EW214" i="53"/>
  <c r="EW133" i="53"/>
  <c r="EW135" i="53" s="1"/>
  <c r="EU169" i="53"/>
  <c r="EV166" i="53"/>
  <c r="EV168" i="53"/>
  <c r="EW164" i="53" s="1"/>
  <c r="ET171" i="53"/>
  <c r="ET204" i="53"/>
  <c r="EU200" i="53" s="1"/>
  <c r="ET202" i="53"/>
  <c r="ES216" i="53"/>
  <c r="ES205" i="53"/>
  <c r="ER217" i="53"/>
  <c r="ER207" i="53"/>
  <c r="EQ219" i="53"/>
  <c r="EY212" i="52"/>
  <c r="EY124" i="52"/>
  <c r="EY214" i="52" s="1"/>
  <c r="EZ213" i="52"/>
  <c r="EZ147" i="52"/>
  <c r="EZ148" i="52"/>
  <c r="FB184" i="52"/>
  <c r="FB183" i="52"/>
  <c r="FB185" i="52" s="1"/>
  <c r="FB198" i="52"/>
  <c r="FB191" i="52"/>
  <c r="FB188" i="52"/>
  <c r="FB195" i="52" s="1"/>
  <c r="FB126" i="52"/>
  <c r="FB119" i="52"/>
  <c r="FB116" i="52"/>
  <c r="FB123" i="52" s="1"/>
  <c r="FB210" i="52"/>
  <c r="FB110" i="52"/>
  <c r="FB105" i="52"/>
  <c r="FB147" i="52"/>
  <c r="FB148" i="52"/>
  <c r="FC192" i="52"/>
  <c r="FC190" i="52"/>
  <c r="FC187" i="52"/>
  <c r="FC120" i="52"/>
  <c r="FC118" i="52"/>
  <c r="FC115" i="52"/>
  <c r="FC175" i="52"/>
  <c r="FC154" i="52"/>
  <c r="FC151" i="52"/>
  <c r="FC156" i="52"/>
  <c r="FC139" i="52"/>
  <c r="FD7" i="52"/>
  <c r="FD189" i="52"/>
  <c r="FD140" i="52"/>
  <c r="FD108" i="52"/>
  <c r="FD179" i="52"/>
  <c r="FD180" i="52"/>
  <c r="FD143" i="52"/>
  <c r="FD104" i="52"/>
  <c r="FD199" i="52"/>
  <c r="FD201" i="52" s="1"/>
  <c r="FD174" i="52"/>
  <c r="FD142" i="52"/>
  <c r="FD203" i="52"/>
  <c r="FD144" i="52"/>
  <c r="FD193" i="52"/>
  <c r="FD114" i="52"/>
  <c r="FD186" i="52"/>
  <c r="FD176" i="52"/>
  <c r="FD106" i="52"/>
  <c r="FD178" i="52"/>
  <c r="FD107" i="52"/>
  <c r="FD102" i="52"/>
  <c r="FD103" i="52" s="1"/>
  <c r="FD121" i="52"/>
  <c r="FD127" i="52"/>
  <c r="FD129" i="52" s="1"/>
  <c r="FD138" i="52"/>
  <c r="FD150" i="52"/>
  <c r="FD153" i="52"/>
  <c r="FD157" i="52"/>
  <c r="FD117" i="52"/>
  <c r="FD167" i="52"/>
  <c r="FE6" i="52"/>
  <c r="FD131" i="52"/>
  <c r="FD163" i="52"/>
  <c r="FD165" i="52" s="1"/>
  <c r="FB162" i="52"/>
  <c r="FB155" i="52"/>
  <c r="FB152" i="52"/>
  <c r="FB159" i="52" s="1"/>
  <c r="EW132" i="52"/>
  <c r="EX128" i="52" s="1"/>
  <c r="EW130" i="52"/>
  <c r="EV133" i="52"/>
  <c r="EU135" i="52"/>
  <c r="EU204" i="52"/>
  <c r="EV200" i="52" s="1"/>
  <c r="EU202" i="52"/>
  <c r="ET216" i="52"/>
  <c r="ET205" i="52"/>
  <c r="ES217" i="52"/>
  <c r="ES207" i="52"/>
  <c r="ES219" i="52" s="1"/>
  <c r="FA184" i="52"/>
  <c r="FA183" i="52"/>
  <c r="FA185" i="52" s="1"/>
  <c r="EZ111" i="52"/>
  <c r="EZ112" i="52"/>
  <c r="EZ113" i="52"/>
  <c r="EZ124" i="52" s="1"/>
  <c r="EZ211" i="52"/>
  <c r="EZ183" i="52"/>
  <c r="EZ184" i="52"/>
  <c r="FA124" i="52"/>
  <c r="FC103" i="52"/>
  <c r="FA145" i="52"/>
  <c r="EX133" i="53"/>
  <c r="EY132" i="53"/>
  <c r="EZ128" i="53" s="1"/>
  <c r="EY130" i="53"/>
  <c r="EY169" i="52"/>
  <c r="EZ166" i="52"/>
  <c r="EZ168" i="52"/>
  <c r="FA164" i="52" s="1"/>
  <c r="J190" i="43"/>
  <c r="L45" i="43"/>
  <c r="L44" i="43"/>
  <c r="K79" i="43"/>
  <c r="K97" i="43"/>
  <c r="K103" i="43" s="1"/>
  <c r="K93" i="43"/>
  <c r="K94" i="43"/>
  <c r="K91" i="43"/>
  <c r="K90" i="43"/>
  <c r="L50" i="43"/>
  <c r="K184" i="43"/>
  <c r="K185" i="43" s="1"/>
  <c r="EY149" i="53" l="1"/>
  <c r="EY160" i="53" s="1"/>
  <c r="FD194" i="53"/>
  <c r="FD158" i="53"/>
  <c r="FD122" i="53"/>
  <c r="EZ185" i="52"/>
  <c r="EZ196" i="52" s="1"/>
  <c r="FE194" i="52"/>
  <c r="FE158" i="52"/>
  <c r="FE122" i="52"/>
  <c r="K92" i="43"/>
  <c r="EX169" i="52"/>
  <c r="EX171" i="52" s="1"/>
  <c r="EX214" i="52"/>
  <c r="EY185" i="53"/>
  <c r="FC103" i="53"/>
  <c r="FC151" i="53"/>
  <c r="FC154" i="53"/>
  <c r="FC156" i="53"/>
  <c r="FC187" i="53"/>
  <c r="FC190" i="53"/>
  <c r="FC192" i="53"/>
  <c r="FE6" i="53"/>
  <c r="FD167" i="53"/>
  <c r="FD163" i="53"/>
  <c r="FD165" i="53" s="1"/>
  <c r="FD157" i="53"/>
  <c r="FD144" i="53"/>
  <c r="FD143" i="53"/>
  <c r="FD142" i="53"/>
  <c r="FD140" i="53"/>
  <c r="FD138" i="53"/>
  <c r="FD139" i="53" s="1"/>
  <c r="FD131" i="53"/>
  <c r="FD127" i="53"/>
  <c r="FD129" i="53" s="1"/>
  <c r="FD179" i="53"/>
  <c r="FD106" i="53"/>
  <c r="FD108" i="53"/>
  <c r="FD203" i="53"/>
  <c r="FD153" i="53"/>
  <c r="FD189" i="53"/>
  <c r="FD176" i="53"/>
  <c r="FD121" i="53"/>
  <c r="FD199" i="53"/>
  <c r="FD201" i="53" s="1"/>
  <c r="FD114" i="53"/>
  <c r="FD193" i="53"/>
  <c r="FD180" i="53"/>
  <c r="FD102" i="53"/>
  <c r="FD174" i="53"/>
  <c r="FD175" i="53" s="1"/>
  <c r="FD7" i="53"/>
  <c r="FD107" i="53"/>
  <c r="FD186" i="53"/>
  <c r="FD178" i="53"/>
  <c r="FD117" i="53"/>
  <c r="FD104" i="53"/>
  <c r="FD150" i="53"/>
  <c r="FC139" i="53"/>
  <c r="FC175" i="53"/>
  <c r="FC115" i="53"/>
  <c r="FC118" i="53"/>
  <c r="FC120" i="53"/>
  <c r="FB148" i="53"/>
  <c r="FB147" i="53"/>
  <c r="FB149" i="53" s="1"/>
  <c r="FB111" i="53"/>
  <c r="FB112" i="53"/>
  <c r="FB211" i="53"/>
  <c r="FB183" i="53"/>
  <c r="FB184" i="53"/>
  <c r="FB198" i="53"/>
  <c r="FB188" i="53"/>
  <c r="FB191" i="53"/>
  <c r="FB126" i="53"/>
  <c r="FB116" i="53"/>
  <c r="FB119" i="53"/>
  <c r="FB162" i="53"/>
  <c r="FB152" i="53"/>
  <c r="FB155" i="53"/>
  <c r="FA145" i="53"/>
  <c r="FA109" i="53"/>
  <c r="FA181" i="53"/>
  <c r="EZ196" i="53"/>
  <c r="EY124" i="53"/>
  <c r="EZ124" i="53"/>
  <c r="EZ212" i="53"/>
  <c r="EU171" i="53"/>
  <c r="EV169" i="53"/>
  <c r="EW168" i="53"/>
  <c r="EX164" i="53" s="1"/>
  <c r="EW166" i="53"/>
  <c r="EU204" i="53"/>
  <c r="EV200" i="53" s="1"/>
  <c r="EU202" i="53"/>
  <c r="ET216" i="53"/>
  <c r="ET205" i="53"/>
  <c r="ES217" i="53"/>
  <c r="ES207" i="53"/>
  <c r="ER219" i="53"/>
  <c r="FA196" i="52"/>
  <c r="FB196" i="52"/>
  <c r="FA213" i="52"/>
  <c r="FB109" i="52"/>
  <c r="FC198" i="52"/>
  <c r="FC191" i="52"/>
  <c r="FC188" i="52"/>
  <c r="FC126" i="52"/>
  <c r="FC119" i="52"/>
  <c r="FC116" i="52"/>
  <c r="FC123" i="52" s="1"/>
  <c r="FC182" i="52"/>
  <c r="FC177" i="52"/>
  <c r="FC162" i="52"/>
  <c r="FC155" i="52"/>
  <c r="FC152" i="52"/>
  <c r="FC159" i="52" s="1"/>
  <c r="FC146" i="52"/>
  <c r="FC141" i="52"/>
  <c r="FD118" i="52"/>
  <c r="FD120" i="52"/>
  <c r="FD115" i="52"/>
  <c r="FD192" i="52"/>
  <c r="FD190" i="52"/>
  <c r="FD187" i="52"/>
  <c r="FD110" i="52"/>
  <c r="FD105" i="52"/>
  <c r="FD109" i="52" s="1"/>
  <c r="FD154" i="52"/>
  <c r="FD156" i="52"/>
  <c r="FD151" i="52"/>
  <c r="FE140" i="52"/>
  <c r="FE189" i="52"/>
  <c r="FE180" i="52"/>
  <c r="FE7" i="52"/>
  <c r="FE186" i="52"/>
  <c r="FE108" i="52"/>
  <c r="FE193" i="52"/>
  <c r="FE143" i="52"/>
  <c r="FE102" i="52"/>
  <c r="FE144" i="52"/>
  <c r="FE106" i="52"/>
  <c r="FE174" i="52"/>
  <c r="FE203" i="52"/>
  <c r="FE107" i="52"/>
  <c r="FE199" i="52"/>
  <c r="FE201" i="52" s="1"/>
  <c r="FE178" i="52"/>
  <c r="FE179" i="52"/>
  <c r="FE176" i="52"/>
  <c r="FE104" i="52"/>
  <c r="FE114" i="52"/>
  <c r="FE142" i="52"/>
  <c r="FE117" i="52"/>
  <c r="FE163" i="52"/>
  <c r="FE165" i="52" s="1"/>
  <c r="FE121" i="52"/>
  <c r="FE127" i="52"/>
  <c r="FE129" i="52" s="1"/>
  <c r="FE150" i="52"/>
  <c r="FE153" i="52"/>
  <c r="FE157" i="52"/>
  <c r="FF6" i="52"/>
  <c r="FE131" i="52"/>
  <c r="FE138" i="52"/>
  <c r="FE139" i="52" s="1"/>
  <c r="FE167" i="52"/>
  <c r="EX132" i="52"/>
  <c r="EY128" i="52" s="1"/>
  <c r="EX130" i="52"/>
  <c r="EW133" i="52"/>
  <c r="EV135" i="52"/>
  <c r="EV204" i="52"/>
  <c r="EW200" i="52" s="1"/>
  <c r="EV202" i="52"/>
  <c r="EU216" i="52"/>
  <c r="EU205" i="52"/>
  <c r="ET217" i="52"/>
  <c r="ET207" i="52"/>
  <c r="ET219" i="52" s="1"/>
  <c r="FC105" i="52"/>
  <c r="FC109" i="52" s="1"/>
  <c r="FC110" i="52"/>
  <c r="FC210" i="52"/>
  <c r="FA148" i="52"/>
  <c r="FA147" i="52"/>
  <c r="FA149" i="52" s="1"/>
  <c r="FA211" i="52"/>
  <c r="EZ149" i="52"/>
  <c r="FB149" i="52"/>
  <c r="FD175" i="52"/>
  <c r="FD139" i="52"/>
  <c r="FD210" i="52" s="1"/>
  <c r="FB213" i="52"/>
  <c r="EX135" i="53"/>
  <c r="EZ132" i="53"/>
  <c r="FA128" i="53" s="1"/>
  <c r="EZ130" i="53"/>
  <c r="EY171" i="52"/>
  <c r="FA166" i="52"/>
  <c r="FA168" i="52"/>
  <c r="FB164" i="52" s="1"/>
  <c r="L46" i="43"/>
  <c r="L73" i="43"/>
  <c r="K122" i="43"/>
  <c r="K112" i="43"/>
  <c r="K123" i="43"/>
  <c r="L52" i="43"/>
  <c r="FB195" i="53" l="1"/>
  <c r="FB123" i="53"/>
  <c r="FB159" i="53"/>
  <c r="FE122" i="53"/>
  <c r="FE194" i="53"/>
  <c r="FE158" i="53"/>
  <c r="FC195" i="52"/>
  <c r="FF194" i="52"/>
  <c r="FF158" i="52"/>
  <c r="FF122" i="52"/>
  <c r="EY196" i="53"/>
  <c r="EY212" i="53"/>
  <c r="FB185" i="53"/>
  <c r="EZ214" i="53"/>
  <c r="FB113" i="53"/>
  <c r="FB212" i="53" s="1"/>
  <c r="FB160" i="53"/>
  <c r="EY214" i="53"/>
  <c r="EY133" i="53"/>
  <c r="EY135" i="53" s="1"/>
  <c r="FC210" i="53"/>
  <c r="FC105" i="53"/>
  <c r="FC110" i="53"/>
  <c r="FC162" i="53"/>
  <c r="FC152" i="53"/>
  <c r="FC155" i="53"/>
  <c r="FC198" i="53"/>
  <c r="FC188" i="53"/>
  <c r="FC191" i="53"/>
  <c r="FF6" i="53"/>
  <c r="FE167" i="53"/>
  <c r="FE163" i="53"/>
  <c r="FE165" i="53" s="1"/>
  <c r="FE157" i="53"/>
  <c r="FE144" i="53"/>
  <c r="FE143" i="53"/>
  <c r="FE142" i="53"/>
  <c r="FE140" i="53"/>
  <c r="FE138" i="53"/>
  <c r="FE131" i="53"/>
  <c r="FE127" i="53"/>
  <c r="FE129" i="53" s="1"/>
  <c r="FE179" i="53"/>
  <c r="FE150" i="53"/>
  <c r="FE114" i="53"/>
  <c r="FE106" i="53"/>
  <c r="FE117" i="53"/>
  <c r="FE104" i="53"/>
  <c r="FE199" i="53"/>
  <c r="FE201" i="53" s="1"/>
  <c r="FE108" i="53"/>
  <c r="FE186" i="53"/>
  <c r="FE203" i="53"/>
  <c r="FE178" i="53"/>
  <c r="FE107" i="53"/>
  <c r="FE193" i="53"/>
  <c r="FE121" i="53"/>
  <c r="FE180" i="53"/>
  <c r="FE153" i="53"/>
  <c r="FE7" i="53"/>
  <c r="FE176" i="53"/>
  <c r="FE102" i="53"/>
  <c r="FE103" i="53" s="1"/>
  <c r="FE189" i="53"/>
  <c r="FE174" i="53"/>
  <c r="FD146" i="53"/>
  <c r="FD141" i="53"/>
  <c r="FD145" i="53" s="1"/>
  <c r="FD115" i="53"/>
  <c r="FD118" i="53"/>
  <c r="FD120" i="53"/>
  <c r="FD182" i="53"/>
  <c r="FD177" i="53"/>
  <c r="FD181" i="53" s="1"/>
  <c r="FD187" i="53"/>
  <c r="FD190" i="53"/>
  <c r="FD192" i="53"/>
  <c r="FD151" i="53"/>
  <c r="FD154" i="53"/>
  <c r="FD156" i="53"/>
  <c r="FC146" i="53"/>
  <c r="FC141" i="53"/>
  <c r="FC182" i="53"/>
  <c r="FC177" i="53"/>
  <c r="FC126" i="53"/>
  <c r="FC116" i="53"/>
  <c r="FC119" i="53"/>
  <c r="FA147" i="53"/>
  <c r="FA148" i="53"/>
  <c r="FA211" i="53"/>
  <c r="FA112" i="53"/>
  <c r="FA111" i="53"/>
  <c r="FA213" i="53"/>
  <c r="FA184" i="53"/>
  <c r="FA183" i="53"/>
  <c r="FD103" i="53"/>
  <c r="EV171" i="53"/>
  <c r="EX168" i="53"/>
  <c r="EY164" i="53" s="1"/>
  <c r="EX166" i="53"/>
  <c r="EW169" i="53"/>
  <c r="EV204" i="53"/>
  <c r="EW200" i="53" s="1"/>
  <c r="EV202" i="53"/>
  <c r="EU216" i="53"/>
  <c r="EU205" i="53"/>
  <c r="ET217" i="53"/>
  <c r="ET207" i="53"/>
  <c r="ES219" i="53"/>
  <c r="FB160" i="52"/>
  <c r="FB211" i="52"/>
  <c r="FB112" i="52"/>
  <c r="FB111" i="52"/>
  <c r="FB113" i="52" s="1"/>
  <c r="FC181" i="52"/>
  <c r="FC145" i="52"/>
  <c r="FD126" i="52"/>
  <c r="FD116" i="52"/>
  <c r="FD119" i="52"/>
  <c r="FD198" i="52"/>
  <c r="FD191" i="52"/>
  <c r="FD188" i="52"/>
  <c r="FD195" i="52" s="1"/>
  <c r="FD112" i="52"/>
  <c r="FD111" i="52"/>
  <c r="FD113" i="52" s="1"/>
  <c r="FD162" i="52"/>
  <c r="FD155" i="52"/>
  <c r="FD152" i="52"/>
  <c r="FD159" i="52" s="1"/>
  <c r="FE192" i="52"/>
  <c r="FE190" i="52"/>
  <c r="FE187" i="52"/>
  <c r="FE103" i="52"/>
  <c r="FE118" i="52"/>
  <c r="FE120" i="52"/>
  <c r="FE115" i="52"/>
  <c r="FE154" i="52"/>
  <c r="FE156" i="52"/>
  <c r="FE151" i="52"/>
  <c r="FF203" i="52"/>
  <c r="FF104" i="52"/>
  <c r="FF176" i="52"/>
  <c r="FF142" i="52"/>
  <c r="FF107" i="52"/>
  <c r="FF199" i="52"/>
  <c r="FF201" i="52" s="1"/>
  <c r="FF180" i="52"/>
  <c r="FF144" i="52"/>
  <c r="FF178" i="52"/>
  <c r="FF143" i="52"/>
  <c r="FF193" i="52"/>
  <c r="FF102" i="52"/>
  <c r="FF174" i="52"/>
  <c r="FF175" i="52" s="1"/>
  <c r="FF189" i="52"/>
  <c r="FF106" i="52"/>
  <c r="FF108" i="52"/>
  <c r="FF186" i="52"/>
  <c r="FF7" i="52"/>
  <c r="FF114" i="52"/>
  <c r="FF140" i="52"/>
  <c r="FF179" i="52"/>
  <c r="FF167" i="52"/>
  <c r="FF117" i="52"/>
  <c r="FF131" i="52"/>
  <c r="FF163" i="52"/>
  <c r="FF165" i="52" s="1"/>
  <c r="FG6" i="52"/>
  <c r="FF121" i="52"/>
  <c r="FF127" i="52"/>
  <c r="FF129" i="52" s="1"/>
  <c r="FF138" i="52"/>
  <c r="FF150" i="52"/>
  <c r="FF153" i="52"/>
  <c r="FF157" i="52"/>
  <c r="FE141" i="52"/>
  <c r="FE145" i="52" s="1"/>
  <c r="FE146" i="52"/>
  <c r="EY132" i="52"/>
  <c r="EZ128" i="52" s="1"/>
  <c r="EY130" i="52"/>
  <c r="EX133" i="52"/>
  <c r="EW135" i="52"/>
  <c r="EW204" i="52"/>
  <c r="EX200" i="52" s="1"/>
  <c r="EW202" i="52"/>
  <c r="EV216" i="52"/>
  <c r="EV205" i="52"/>
  <c r="EU217" i="52"/>
  <c r="EU207" i="52"/>
  <c r="EU219" i="52" s="1"/>
  <c r="FC112" i="52"/>
  <c r="FC111" i="52"/>
  <c r="FC113" i="52" s="1"/>
  <c r="FA212" i="52"/>
  <c r="FA160" i="52"/>
  <c r="EZ212" i="52"/>
  <c r="EZ160" i="52"/>
  <c r="FD177" i="52"/>
  <c r="FD182" i="52"/>
  <c r="FD141" i="52"/>
  <c r="FD146" i="52"/>
  <c r="FE175" i="52"/>
  <c r="FA130" i="53"/>
  <c r="FA132" i="53"/>
  <c r="FB128" i="53" s="1"/>
  <c r="EZ133" i="53"/>
  <c r="FB166" i="52"/>
  <c r="FB168" i="52"/>
  <c r="FC164" i="52" s="1"/>
  <c r="L47" i="43"/>
  <c r="L53" i="43"/>
  <c r="L75" i="43"/>
  <c r="L100" i="43"/>
  <c r="K118" i="43"/>
  <c r="K115" i="43"/>
  <c r="L114" i="43" s="1"/>
  <c r="K113" i="43"/>
  <c r="K120" i="43"/>
  <c r="K121" i="43" s="1"/>
  <c r="K186" i="43"/>
  <c r="K187" i="43" s="1"/>
  <c r="FC159" i="53" l="1"/>
  <c r="FC195" i="53"/>
  <c r="FC123" i="53"/>
  <c r="FF194" i="53"/>
  <c r="FF158" i="53"/>
  <c r="FF122" i="53"/>
  <c r="FD123" i="52"/>
  <c r="FG194" i="52"/>
  <c r="FG158" i="52"/>
  <c r="FG122" i="52"/>
  <c r="FC211" i="52"/>
  <c r="FB124" i="53"/>
  <c r="FA149" i="53"/>
  <c r="FA160" i="53" s="1"/>
  <c r="FA113" i="53"/>
  <c r="FA124" i="53" s="1"/>
  <c r="FA133" i="53" s="1"/>
  <c r="FC109" i="53"/>
  <c r="FF127" i="53"/>
  <c r="FF129" i="53" s="1"/>
  <c r="FF174" i="53"/>
  <c r="FF175" i="53" s="1"/>
  <c r="FF189" i="53"/>
  <c r="FF114" i="53"/>
  <c r="FF193" i="53"/>
  <c r="FF108" i="53"/>
  <c r="FF186" i="53"/>
  <c r="FF203" i="53"/>
  <c r="FF117" i="53"/>
  <c r="FF7" i="53"/>
  <c r="FF176" i="53"/>
  <c r="FF180" i="53"/>
  <c r="FF153" i="53"/>
  <c r="FF121" i="53"/>
  <c r="FF104" i="53"/>
  <c r="FF102" i="53"/>
  <c r="FF106" i="53"/>
  <c r="FF150" i="53"/>
  <c r="FF178" i="53"/>
  <c r="FG6" i="53"/>
  <c r="FF167" i="53"/>
  <c r="FF163" i="53"/>
  <c r="FF165" i="53" s="1"/>
  <c r="FF157" i="53"/>
  <c r="FF144" i="53"/>
  <c r="FF143" i="53"/>
  <c r="FF142" i="53"/>
  <c r="FF140" i="53"/>
  <c r="FF138" i="53"/>
  <c r="FF139" i="53" s="1"/>
  <c r="FF131" i="53"/>
  <c r="FF199" i="53"/>
  <c r="FF201" i="53" s="1"/>
  <c r="FF107" i="53"/>
  <c r="FF179" i="53"/>
  <c r="FE139" i="53"/>
  <c r="FE151" i="53"/>
  <c r="FE156" i="53"/>
  <c r="FE154" i="53"/>
  <c r="FE118" i="53"/>
  <c r="FE115" i="53"/>
  <c r="FE120" i="53"/>
  <c r="FE187" i="53"/>
  <c r="FE192" i="53"/>
  <c r="FE190" i="53"/>
  <c r="FE105" i="53"/>
  <c r="FE110" i="53"/>
  <c r="FE175" i="53"/>
  <c r="FD148" i="53"/>
  <c r="FD147" i="53"/>
  <c r="FD149" i="53" s="1"/>
  <c r="FD126" i="53"/>
  <c r="FD119" i="53"/>
  <c r="FD116" i="53"/>
  <c r="FD123" i="53" s="1"/>
  <c r="FD184" i="53"/>
  <c r="FD183" i="53"/>
  <c r="FD185" i="53" s="1"/>
  <c r="FD198" i="53"/>
  <c r="FD188" i="53"/>
  <c r="FD191" i="53"/>
  <c r="FD162" i="53"/>
  <c r="FD152" i="53"/>
  <c r="FD155" i="53"/>
  <c r="FC145" i="53"/>
  <c r="FC181" i="53"/>
  <c r="FB196" i="53"/>
  <c r="FB213" i="53"/>
  <c r="FD105" i="53"/>
  <c r="FD109" i="53" s="1"/>
  <c r="FD110" i="53"/>
  <c r="FD210" i="53"/>
  <c r="FA185" i="53"/>
  <c r="EY168" i="53"/>
  <c r="EZ164" i="53" s="1"/>
  <c r="EY166" i="53"/>
  <c r="EX169" i="53"/>
  <c r="EW171" i="53"/>
  <c r="EW202" i="53"/>
  <c r="EW204" i="53"/>
  <c r="EX200" i="53" s="1"/>
  <c r="EV216" i="53"/>
  <c r="EV205" i="53"/>
  <c r="EU217" i="53"/>
  <c r="EU207" i="53"/>
  <c r="ET219" i="53"/>
  <c r="FB124" i="52"/>
  <c r="FB214" i="52" s="1"/>
  <c r="FB212" i="52"/>
  <c r="FC213" i="52"/>
  <c r="FC124" i="52"/>
  <c r="FC184" i="52"/>
  <c r="FC183" i="52"/>
  <c r="FC185" i="52" s="1"/>
  <c r="FC196" i="52" s="1"/>
  <c r="FC147" i="52"/>
  <c r="FC148" i="52"/>
  <c r="FE198" i="52"/>
  <c r="FE191" i="52"/>
  <c r="FE188" i="52"/>
  <c r="FE195" i="52" s="1"/>
  <c r="FE210" i="52"/>
  <c r="FE110" i="52"/>
  <c r="FE105" i="52"/>
  <c r="FE126" i="52"/>
  <c r="FE119" i="52"/>
  <c r="FE116" i="52"/>
  <c r="FE123" i="52" s="1"/>
  <c r="FE162" i="52"/>
  <c r="FE155" i="52"/>
  <c r="FE152" i="52"/>
  <c r="FE159" i="52" s="1"/>
  <c r="FF182" i="52"/>
  <c r="FF177" i="52"/>
  <c r="FF181" i="52" s="1"/>
  <c r="FF192" i="52"/>
  <c r="FF190" i="52"/>
  <c r="FF187" i="52"/>
  <c r="FF120" i="52"/>
  <c r="FF118" i="52"/>
  <c r="FF115" i="52"/>
  <c r="FG108" i="52"/>
  <c r="FG186" i="52"/>
  <c r="FG140" i="52"/>
  <c r="FG7" i="52"/>
  <c r="FG106" i="52"/>
  <c r="FG179" i="52"/>
  <c r="FG102" i="52"/>
  <c r="FG193" i="52"/>
  <c r="FG174" i="52"/>
  <c r="FG143" i="52"/>
  <c r="FG142" i="52"/>
  <c r="FG178" i="52"/>
  <c r="FG144" i="52"/>
  <c r="FG107" i="52"/>
  <c r="FG189" i="52"/>
  <c r="FG199" i="52"/>
  <c r="FG201" i="52" s="1"/>
  <c r="FG104" i="52"/>
  <c r="FG203" i="52"/>
  <c r="FG176" i="52"/>
  <c r="FG114" i="52"/>
  <c r="FG180" i="52"/>
  <c r="FG121" i="52"/>
  <c r="FG127" i="52"/>
  <c r="FG129" i="52" s="1"/>
  <c r="FG150" i="52"/>
  <c r="FG153" i="52"/>
  <c r="FG157" i="52"/>
  <c r="FG117" i="52"/>
  <c r="FG131" i="52"/>
  <c r="FG138" i="52"/>
  <c r="FG139" i="52" s="1"/>
  <c r="FG167" i="52"/>
  <c r="FH6" i="52"/>
  <c r="FG163" i="52"/>
  <c r="FG165" i="52" s="1"/>
  <c r="FF139" i="52"/>
  <c r="FF151" i="52"/>
  <c r="FF154" i="52"/>
  <c r="FF156" i="52"/>
  <c r="FE147" i="52"/>
  <c r="FE148" i="52"/>
  <c r="EZ132" i="52"/>
  <c r="FA128" i="52" s="1"/>
  <c r="EZ130" i="52"/>
  <c r="EY133" i="52"/>
  <c r="EX135" i="52"/>
  <c r="EX204" i="52"/>
  <c r="EY200" i="52" s="1"/>
  <c r="EX202" i="52"/>
  <c r="EW216" i="52"/>
  <c r="EW205" i="52"/>
  <c r="EV217" i="52"/>
  <c r="EV207" i="52"/>
  <c r="EV219" i="52" s="1"/>
  <c r="EZ214" i="52"/>
  <c r="EZ169" i="52"/>
  <c r="EZ171" i="52" s="1"/>
  <c r="FE177" i="52"/>
  <c r="FE181" i="52" s="1"/>
  <c r="FE182" i="52"/>
  <c r="FF103" i="52"/>
  <c r="FA214" i="52"/>
  <c r="FA169" i="52"/>
  <c r="FA171" i="52" s="1"/>
  <c r="FD181" i="52"/>
  <c r="FD145" i="52"/>
  <c r="FB130" i="53"/>
  <c r="FB132" i="53"/>
  <c r="FC128" i="53" s="1"/>
  <c r="EZ135" i="53"/>
  <c r="FC166" i="52"/>
  <c r="FC168" i="52"/>
  <c r="FD164" i="52" s="1"/>
  <c r="FB169" i="52"/>
  <c r="FB171" i="52" s="1"/>
  <c r="M42" i="43"/>
  <c r="L182" i="43"/>
  <c r="L89" i="43"/>
  <c r="L78" i="43"/>
  <c r="K188" i="43"/>
  <c r="K189" i="43"/>
  <c r="K190" i="43" s="1"/>
  <c r="L54" i="43"/>
  <c r="L108" i="43"/>
  <c r="L106" i="43" s="1"/>
  <c r="FD195" i="53" l="1"/>
  <c r="FD159" i="53"/>
  <c r="FB214" i="53"/>
  <c r="FG194" i="53"/>
  <c r="FG122" i="53"/>
  <c r="FG158" i="53"/>
  <c r="FH194" i="52"/>
  <c r="FH158" i="52"/>
  <c r="FH122" i="52"/>
  <c r="H122" i="52" s="1"/>
  <c r="FE210" i="53"/>
  <c r="FC111" i="53"/>
  <c r="FC112" i="53"/>
  <c r="FC211" i="53"/>
  <c r="FC213" i="53"/>
  <c r="FF177" i="53"/>
  <c r="FF181" i="53" s="1"/>
  <c r="FF182" i="53"/>
  <c r="FF115" i="53"/>
  <c r="FF118" i="53"/>
  <c r="FF120" i="53"/>
  <c r="FF187" i="53"/>
  <c r="FF190" i="53"/>
  <c r="FF192" i="53"/>
  <c r="FF103" i="53"/>
  <c r="FF151" i="53"/>
  <c r="FF154" i="53"/>
  <c r="FF156" i="53"/>
  <c r="FH6" i="53"/>
  <c r="FG167" i="53"/>
  <c r="FG163" i="53"/>
  <c r="FG165" i="53" s="1"/>
  <c r="FG157" i="53"/>
  <c r="FG144" i="53"/>
  <c r="FG143" i="53"/>
  <c r="FG142" i="53"/>
  <c r="FG140" i="53"/>
  <c r="FG138" i="53"/>
  <c r="FG131" i="53"/>
  <c r="FG127" i="53"/>
  <c r="FG129" i="53" s="1"/>
  <c r="FG106" i="53"/>
  <c r="FG176" i="53"/>
  <c r="FG189" i="53"/>
  <c r="FG107" i="53"/>
  <c r="FG108" i="53"/>
  <c r="FG114" i="53"/>
  <c r="FG199" i="53"/>
  <c r="FG201" i="53" s="1"/>
  <c r="FG186" i="53"/>
  <c r="FG117" i="53"/>
  <c r="FG121" i="53"/>
  <c r="FG180" i="53"/>
  <c r="FG102" i="53"/>
  <c r="FG203" i="53"/>
  <c r="FG150" i="53"/>
  <c r="FG153" i="53"/>
  <c r="FG193" i="53"/>
  <c r="FG7" i="53"/>
  <c r="FG179" i="53"/>
  <c r="FG104" i="53"/>
  <c r="FG178" i="53"/>
  <c r="FG174" i="53"/>
  <c r="FF141" i="53"/>
  <c r="FF145" i="53" s="1"/>
  <c r="FF146" i="53"/>
  <c r="FE141" i="53"/>
  <c r="FE146" i="53"/>
  <c r="FE162" i="53"/>
  <c r="FE152" i="53"/>
  <c r="FE155" i="53"/>
  <c r="FE126" i="53"/>
  <c r="FE116" i="53"/>
  <c r="FE119" i="53"/>
  <c r="FE198" i="53"/>
  <c r="FE191" i="53"/>
  <c r="FE188" i="53"/>
  <c r="FE195" i="53" s="1"/>
  <c r="FE177" i="53"/>
  <c r="FE182" i="53"/>
  <c r="FC148" i="53"/>
  <c r="FC147" i="53"/>
  <c r="FC149" i="53" s="1"/>
  <c r="FC160" i="53" s="1"/>
  <c r="FC183" i="53"/>
  <c r="FC184" i="53"/>
  <c r="FD211" i="53"/>
  <c r="FD112" i="53"/>
  <c r="FD111" i="53"/>
  <c r="FD113" i="53" s="1"/>
  <c r="FE109" i="53"/>
  <c r="FA196" i="53"/>
  <c r="FA214" i="53" s="1"/>
  <c r="FA212" i="53"/>
  <c r="EZ166" i="53"/>
  <c r="EZ168" i="53"/>
  <c r="FA164" i="53" s="1"/>
  <c r="EY169" i="53"/>
  <c r="EX171" i="53"/>
  <c r="EW216" i="53"/>
  <c r="EW205" i="53"/>
  <c r="EX204" i="53"/>
  <c r="EY200" i="53" s="1"/>
  <c r="EX202" i="53"/>
  <c r="EV217" i="53"/>
  <c r="EV207" i="53"/>
  <c r="EU219" i="53"/>
  <c r="FE109" i="52"/>
  <c r="FF184" i="52"/>
  <c r="FF183" i="52"/>
  <c r="FF185" i="52" s="1"/>
  <c r="FF198" i="52"/>
  <c r="FF191" i="52"/>
  <c r="FF188" i="52"/>
  <c r="FF195" i="52" s="1"/>
  <c r="FF126" i="52"/>
  <c r="FF119" i="52"/>
  <c r="FF116" i="52"/>
  <c r="FF123" i="52" s="1"/>
  <c r="FG192" i="52"/>
  <c r="FG190" i="52"/>
  <c r="FG187" i="52"/>
  <c r="FG175" i="52"/>
  <c r="FG120" i="52"/>
  <c r="FG118" i="52"/>
  <c r="FG115" i="52"/>
  <c r="FG154" i="52"/>
  <c r="FG156" i="52"/>
  <c r="FG151" i="52"/>
  <c r="FG146" i="52"/>
  <c r="FG141" i="52"/>
  <c r="FG145" i="52" s="1"/>
  <c r="DT180" i="52"/>
  <c r="DG179" i="52"/>
  <c r="CV144" i="52"/>
  <c r="CI143" i="52"/>
  <c r="BX108" i="52"/>
  <c r="BK107" i="52"/>
  <c r="D269" i="52"/>
  <c r="FH104" i="52"/>
  <c r="FH176" i="52"/>
  <c r="FH203" i="52"/>
  <c r="H203" i="52" s="1"/>
  <c r="FH180" i="52"/>
  <c r="FH174" i="52"/>
  <c r="FH107" i="52"/>
  <c r="FH144" i="52"/>
  <c r="FH143" i="52"/>
  <c r="FH199" i="52"/>
  <c r="FH201" i="52" s="1"/>
  <c r="H201" i="52" s="1"/>
  <c r="FH178" i="52"/>
  <c r="H178" i="52" s="1"/>
  <c r="FH106" i="52"/>
  <c r="H106" i="52" s="1"/>
  <c r="FH7" i="52"/>
  <c r="FH193" i="52"/>
  <c r="H193" i="52" s="1"/>
  <c r="FH142" i="52"/>
  <c r="H142" i="52" s="1"/>
  <c r="FH179" i="52"/>
  <c r="FH102" i="52"/>
  <c r="FH186" i="52"/>
  <c r="FH140" i="52"/>
  <c r="FH108" i="52"/>
  <c r="FH114" i="52"/>
  <c r="FH189" i="52"/>
  <c r="H189" i="52" s="1"/>
  <c r="FH131" i="52"/>
  <c r="H131" i="52" s="1"/>
  <c r="FH163" i="52"/>
  <c r="FH165" i="52" s="1"/>
  <c r="H165" i="52" s="1"/>
  <c r="FH121" i="52"/>
  <c r="H121" i="52" s="1"/>
  <c r="FH127" i="52"/>
  <c r="FH129" i="52" s="1"/>
  <c r="H129" i="52" s="1"/>
  <c r="FH138" i="52"/>
  <c r="FH150" i="52"/>
  <c r="FH153" i="52"/>
  <c r="H153" i="52" s="1"/>
  <c r="FH157" i="52"/>
  <c r="H157" i="52" s="1"/>
  <c r="FH117" i="52"/>
  <c r="H117" i="52" s="1"/>
  <c r="FH167" i="52"/>
  <c r="H167" i="52" s="1"/>
  <c r="FF146" i="52"/>
  <c r="FF141" i="52"/>
  <c r="FF162" i="52"/>
  <c r="FF155" i="52"/>
  <c r="FF152" i="52"/>
  <c r="FF159" i="52" s="1"/>
  <c r="FA130" i="52"/>
  <c r="FA132" i="52"/>
  <c r="FB128" i="52" s="1"/>
  <c r="EZ133" i="52"/>
  <c r="EY135" i="52"/>
  <c r="EY204" i="52"/>
  <c r="EZ200" i="52" s="1"/>
  <c r="EY202" i="52"/>
  <c r="EX216" i="52"/>
  <c r="EX205" i="52"/>
  <c r="EW217" i="52"/>
  <c r="EW207" i="52"/>
  <c r="EW219" i="52" s="1"/>
  <c r="FE184" i="52"/>
  <c r="FE183" i="52"/>
  <c r="FE185" i="52" s="1"/>
  <c r="FE196" i="52" s="1"/>
  <c r="FF105" i="52"/>
  <c r="FF110" i="52"/>
  <c r="FF210" i="52"/>
  <c r="FD183" i="52"/>
  <c r="FD184" i="52"/>
  <c r="FD148" i="52"/>
  <c r="FD147" i="52"/>
  <c r="FD149" i="52" s="1"/>
  <c r="FD211" i="52"/>
  <c r="FC149" i="52"/>
  <c r="FE149" i="52"/>
  <c r="FG103" i="52"/>
  <c r="FD213" i="52"/>
  <c r="FD124" i="52"/>
  <c r="FA135" i="53"/>
  <c r="FB133" i="53"/>
  <c r="FC132" i="53"/>
  <c r="FD128" i="53" s="1"/>
  <c r="FC130" i="53"/>
  <c r="FD166" i="52"/>
  <c r="FD168" i="52"/>
  <c r="FE164" i="52" s="1"/>
  <c r="M45" i="43"/>
  <c r="M44" i="43"/>
  <c r="L90" i="43"/>
  <c r="L91" i="43"/>
  <c r="L79" i="43"/>
  <c r="L97" i="43"/>
  <c r="L103" i="43" s="1"/>
  <c r="L184" i="43"/>
  <c r="L185" i="43" s="1"/>
  <c r="M50" i="43"/>
  <c r="FE159" i="53" l="1"/>
  <c r="FE123" i="53"/>
  <c r="FH122" i="53"/>
  <c r="FH194" i="53"/>
  <c r="FH158" i="53"/>
  <c r="H158" i="53" s="1"/>
  <c r="H194" i="52"/>
  <c r="H158" i="52"/>
  <c r="FD185" i="52"/>
  <c r="FF183" i="53"/>
  <c r="FF184" i="53"/>
  <c r="FF126" i="53"/>
  <c r="FF116" i="53"/>
  <c r="FF119" i="53"/>
  <c r="FF198" i="53"/>
  <c r="FF188" i="53"/>
  <c r="FF191" i="53"/>
  <c r="FF105" i="53"/>
  <c r="FF110" i="53"/>
  <c r="FF210" i="53"/>
  <c r="FF162" i="53"/>
  <c r="FF152" i="53"/>
  <c r="FF155" i="53"/>
  <c r="DL180" i="53"/>
  <c r="DA179" i="53"/>
  <c r="CN144" i="53"/>
  <c r="CC143" i="53"/>
  <c r="BE107" i="53"/>
  <c r="BP108" i="53"/>
  <c r="FH102" i="53"/>
  <c r="FH180" i="53"/>
  <c r="FH106" i="53"/>
  <c r="H106" i="53" s="1"/>
  <c r="FH121" i="53"/>
  <c r="H121" i="53" s="1"/>
  <c r="FH186" i="53"/>
  <c r="FH117" i="53"/>
  <c r="H117" i="53" s="1"/>
  <c r="FH199" i="53"/>
  <c r="FH201" i="53" s="1"/>
  <c r="H201" i="53" s="1"/>
  <c r="FH114" i="53"/>
  <c r="FH107" i="53"/>
  <c r="FH153" i="53"/>
  <c r="H153" i="53" s="1"/>
  <c r="FH104" i="53"/>
  <c r="FH108" i="53"/>
  <c r="FH176" i="53"/>
  <c r="FH167" i="53"/>
  <c r="H167" i="53" s="1"/>
  <c r="FH163" i="53"/>
  <c r="FH165" i="53" s="1"/>
  <c r="H165" i="53" s="1"/>
  <c r="FH157" i="53"/>
  <c r="H157" i="53" s="1"/>
  <c r="FH144" i="53"/>
  <c r="FH143" i="53"/>
  <c r="FH142" i="53"/>
  <c r="H142" i="53" s="1"/>
  <c r="FH140" i="53"/>
  <c r="FH138" i="53"/>
  <c r="FH131" i="53"/>
  <c r="H131" i="53" s="1"/>
  <c r="FH127" i="53"/>
  <c r="FH129" i="53" s="1"/>
  <c r="H129" i="53" s="1"/>
  <c r="FH174" i="53"/>
  <c r="FH189" i="53"/>
  <c r="H189" i="53" s="1"/>
  <c r="FH178" i="53"/>
  <c r="H178" i="53" s="1"/>
  <c r="FH179" i="53"/>
  <c r="FH193" i="53"/>
  <c r="H193" i="53" s="1"/>
  <c r="FH7" i="53"/>
  <c r="FH150" i="53"/>
  <c r="FH203" i="53"/>
  <c r="H203" i="53" s="1"/>
  <c r="D269" i="53"/>
  <c r="FG139" i="53"/>
  <c r="FG115" i="53"/>
  <c r="FG118" i="53"/>
  <c r="FG120" i="53"/>
  <c r="FG187" i="53"/>
  <c r="FG190" i="53"/>
  <c r="FG192" i="53"/>
  <c r="FG151" i="53"/>
  <c r="FG154" i="53"/>
  <c r="FG156" i="53"/>
  <c r="FG175" i="53"/>
  <c r="FF148" i="53"/>
  <c r="FF147" i="53"/>
  <c r="FF149" i="53" s="1"/>
  <c r="FE145" i="53"/>
  <c r="FE181" i="53"/>
  <c r="FD213" i="53"/>
  <c r="FD196" i="53"/>
  <c r="FD124" i="53"/>
  <c r="FD212" i="53"/>
  <c r="FE112" i="53"/>
  <c r="FE211" i="53"/>
  <c r="FE111" i="53"/>
  <c r="FE113" i="53" s="1"/>
  <c r="FC113" i="53"/>
  <c r="FC185" i="53"/>
  <c r="FC196" i="53" s="1"/>
  <c r="FG103" i="53"/>
  <c r="FD160" i="53"/>
  <c r="EZ169" i="53"/>
  <c r="FA168" i="53"/>
  <c r="FB164" i="53" s="1"/>
  <c r="FA166" i="53"/>
  <c r="EY171" i="53"/>
  <c r="EW217" i="53"/>
  <c r="EW207" i="53"/>
  <c r="EY204" i="53"/>
  <c r="EZ200" i="53" s="1"/>
  <c r="EY202" i="53"/>
  <c r="EX216" i="53"/>
  <c r="EX205" i="53"/>
  <c r="EV219" i="53"/>
  <c r="FE160" i="52"/>
  <c r="FE211" i="52"/>
  <c r="FE112" i="52"/>
  <c r="FE111" i="52"/>
  <c r="FE113" i="52" s="1"/>
  <c r="FG198" i="52"/>
  <c r="FG191" i="52"/>
  <c r="FG188" i="52"/>
  <c r="FG195" i="52" s="1"/>
  <c r="FG182" i="52"/>
  <c r="FG177" i="52"/>
  <c r="FG126" i="52"/>
  <c r="FG119" i="52"/>
  <c r="FG116" i="52"/>
  <c r="FG123" i="52" s="1"/>
  <c r="FG162" i="52"/>
  <c r="FG155" i="52"/>
  <c r="FG152" i="52"/>
  <c r="FG147" i="52"/>
  <c r="FG148" i="52"/>
  <c r="H180" i="52"/>
  <c r="DT181" i="52"/>
  <c r="DG181" i="52"/>
  <c r="H179" i="52"/>
  <c r="H144" i="52"/>
  <c r="CV145" i="52"/>
  <c r="H143" i="52"/>
  <c r="CI145" i="52"/>
  <c r="BX109" i="52"/>
  <c r="H108" i="52"/>
  <c r="H107" i="52"/>
  <c r="BK109" i="52"/>
  <c r="FH192" i="52"/>
  <c r="H192" i="52" s="1"/>
  <c r="FH190" i="52"/>
  <c r="H190" i="52" s="1"/>
  <c r="FH187" i="52"/>
  <c r="FH120" i="52"/>
  <c r="H120" i="52" s="1"/>
  <c r="FH118" i="52"/>
  <c r="H118" i="52" s="1"/>
  <c r="FH115" i="52"/>
  <c r="H115" i="52" s="1"/>
  <c r="H138" i="52"/>
  <c r="FH139" i="52"/>
  <c r="FH156" i="52"/>
  <c r="H156" i="52" s="1"/>
  <c r="FH151" i="52"/>
  <c r="H151" i="52" s="1"/>
  <c r="FH154" i="52"/>
  <c r="H154" i="52" s="1"/>
  <c r="FF145" i="52"/>
  <c r="FA133" i="52"/>
  <c r="FB132" i="52"/>
  <c r="FC128" i="52" s="1"/>
  <c r="FB130" i="52"/>
  <c r="EZ135" i="52"/>
  <c r="EZ204" i="52"/>
  <c r="FA200" i="52" s="1"/>
  <c r="EZ202" i="52"/>
  <c r="EY216" i="52"/>
  <c r="EY205" i="52"/>
  <c r="EX217" i="52"/>
  <c r="EX207" i="52"/>
  <c r="EX219" i="52" s="1"/>
  <c r="FD160" i="52"/>
  <c r="FC160" i="52"/>
  <c r="FC212" i="52"/>
  <c r="FG105" i="52"/>
  <c r="FG109" i="52" s="1"/>
  <c r="FG110" i="52"/>
  <c r="FG210" i="52"/>
  <c r="FE213" i="52"/>
  <c r="FH175" i="52"/>
  <c r="H175" i="52" s="1"/>
  <c r="H174" i="52"/>
  <c r="FH103" i="52"/>
  <c r="H103" i="52" s="1"/>
  <c r="H102" i="52"/>
  <c r="FF109" i="52"/>
  <c r="FB135" i="53"/>
  <c r="FD130" i="53"/>
  <c r="FD132" i="53"/>
  <c r="FE128" i="53" s="1"/>
  <c r="FE166" i="52"/>
  <c r="FE168" i="52"/>
  <c r="FF164" i="52" s="1"/>
  <c r="L93" i="43"/>
  <c r="L94" i="43"/>
  <c r="L92" i="43"/>
  <c r="M73" i="43"/>
  <c r="M46" i="43"/>
  <c r="L112" i="43"/>
  <c r="L122" i="43"/>
  <c r="L123" i="43"/>
  <c r="M52" i="43"/>
  <c r="FF123" i="53" l="1"/>
  <c r="FF195" i="53"/>
  <c r="FF159" i="53"/>
  <c r="H122" i="53"/>
  <c r="H194" i="53"/>
  <c r="FG159" i="52"/>
  <c r="FD196" i="52"/>
  <c r="FD214" i="52" s="1"/>
  <c r="FD212" i="52"/>
  <c r="D265" i="52"/>
  <c r="FG149" i="52"/>
  <c r="FF185" i="53"/>
  <c r="FD214" i="53"/>
  <c r="FH139" i="53"/>
  <c r="H139" i="53" s="1"/>
  <c r="H138" i="53"/>
  <c r="FH175" i="53"/>
  <c r="H174" i="53"/>
  <c r="FF109" i="53"/>
  <c r="H180" i="53"/>
  <c r="DL181" i="53"/>
  <c r="H179" i="53"/>
  <c r="DA181" i="53"/>
  <c r="H144" i="53"/>
  <c r="CN145" i="53"/>
  <c r="H143" i="53"/>
  <c r="CC145" i="53"/>
  <c r="H107" i="53"/>
  <c r="BE109" i="53"/>
  <c r="H108" i="53"/>
  <c r="BP109" i="53"/>
  <c r="FH190" i="53"/>
  <c r="H190" i="53" s="1"/>
  <c r="FH192" i="53"/>
  <c r="H192" i="53" s="1"/>
  <c r="FH187" i="53"/>
  <c r="FH115" i="53"/>
  <c r="FH118" i="53"/>
  <c r="H118" i="53" s="1"/>
  <c r="FH120" i="53"/>
  <c r="H120" i="53" s="1"/>
  <c r="FH146" i="53"/>
  <c r="FH141" i="53"/>
  <c r="FH145" i="53" s="1"/>
  <c r="FH182" i="53"/>
  <c r="FH177" i="53"/>
  <c r="FH181" i="53" s="1"/>
  <c r="FH151" i="53"/>
  <c r="FH154" i="53"/>
  <c r="H154" i="53" s="1"/>
  <c r="FH156" i="53"/>
  <c r="H156" i="53" s="1"/>
  <c r="FG146" i="53"/>
  <c r="FG141" i="53"/>
  <c r="FG126" i="53"/>
  <c r="FG119" i="53"/>
  <c r="FG116" i="53"/>
  <c r="FG123" i="53" s="1"/>
  <c r="FG198" i="53"/>
  <c r="FG188" i="53"/>
  <c r="FG191" i="53"/>
  <c r="FG162" i="53"/>
  <c r="FG152" i="53"/>
  <c r="FG155" i="53"/>
  <c r="H175" i="53"/>
  <c r="FG182" i="53"/>
  <c r="FG177" i="53"/>
  <c r="FE147" i="53"/>
  <c r="FE148" i="53"/>
  <c r="FE183" i="53"/>
  <c r="FE184" i="53"/>
  <c r="FE124" i="53"/>
  <c r="FC124" i="53"/>
  <c r="FC212" i="53"/>
  <c r="FG105" i="53"/>
  <c r="FG110" i="53"/>
  <c r="FG210" i="53"/>
  <c r="FH103" i="53"/>
  <c r="H102" i="53"/>
  <c r="FE213" i="53"/>
  <c r="EZ171" i="53"/>
  <c r="FB166" i="53"/>
  <c r="FB168" i="53"/>
  <c r="FC164" i="53" s="1"/>
  <c r="FA169" i="53"/>
  <c r="EW219" i="53"/>
  <c r="EZ204" i="53"/>
  <c r="FA200" i="53" s="1"/>
  <c r="EZ202" i="53"/>
  <c r="EY216" i="53"/>
  <c r="EY205" i="53"/>
  <c r="EX217" i="53"/>
  <c r="EX207" i="53"/>
  <c r="FE169" i="52"/>
  <c r="FE171" i="52" s="1"/>
  <c r="FE124" i="52"/>
  <c r="FE214" i="52" s="1"/>
  <c r="FE212" i="52"/>
  <c r="FF196" i="52"/>
  <c r="FG181" i="52"/>
  <c r="FG211" i="52" s="1"/>
  <c r="DT211" i="52"/>
  <c r="DT184" i="52"/>
  <c r="DT183" i="52"/>
  <c r="DG211" i="52"/>
  <c r="DG184" i="52"/>
  <c r="DG183" i="52"/>
  <c r="CV211" i="52"/>
  <c r="CV147" i="52"/>
  <c r="CV148" i="52"/>
  <c r="CV149" i="52" s="1"/>
  <c r="CI211" i="52"/>
  <c r="CI147" i="52"/>
  <c r="CI148" i="52"/>
  <c r="CI149" i="52"/>
  <c r="BX211" i="52"/>
  <c r="BX112" i="52"/>
  <c r="BX111" i="52"/>
  <c r="BX113" i="52" s="1"/>
  <c r="BK211" i="52"/>
  <c r="BK112" i="52"/>
  <c r="BK111" i="52"/>
  <c r="H187" i="52"/>
  <c r="FH198" i="52"/>
  <c r="FH191" i="52"/>
  <c r="H191" i="52" s="1"/>
  <c r="FH188" i="52"/>
  <c r="FH195" i="52" s="1"/>
  <c r="H195" i="52" s="1"/>
  <c r="FH126" i="52"/>
  <c r="FH119" i="52"/>
  <c r="H119" i="52" s="1"/>
  <c r="FH116" i="52"/>
  <c r="FH123" i="52" s="1"/>
  <c r="H123" i="52" s="1"/>
  <c r="H139" i="52"/>
  <c r="FH141" i="52"/>
  <c r="FH146" i="52"/>
  <c r="H146" i="52" s="1"/>
  <c r="FH162" i="52"/>
  <c r="FH155" i="52"/>
  <c r="H155" i="52" s="1"/>
  <c r="FH152" i="52"/>
  <c r="FH159" i="52" s="1"/>
  <c r="FF147" i="52"/>
  <c r="FF148" i="52"/>
  <c r="FA135" i="52"/>
  <c r="FC132" i="52"/>
  <c r="FD128" i="52" s="1"/>
  <c r="FC130" i="52"/>
  <c r="FB133" i="52"/>
  <c r="FA204" i="52"/>
  <c r="FB200" i="52" s="1"/>
  <c r="FA202" i="52"/>
  <c r="EZ216" i="52"/>
  <c r="EZ205" i="52"/>
  <c r="EY217" i="52"/>
  <c r="EY207" i="52"/>
  <c r="EY219" i="52" s="1"/>
  <c r="FC169" i="52"/>
  <c r="FC171" i="52" s="1"/>
  <c r="FC214" i="52"/>
  <c r="FG112" i="52"/>
  <c r="FG111" i="52"/>
  <c r="FG113" i="52" s="1"/>
  <c r="FF213" i="52"/>
  <c r="FH177" i="52"/>
  <c r="FH182" i="52"/>
  <c r="H182" i="52" s="1"/>
  <c r="FH105" i="52"/>
  <c r="FH110" i="52"/>
  <c r="H110" i="52" s="1"/>
  <c r="FH210" i="52"/>
  <c r="H210" i="52" s="1"/>
  <c r="FF111" i="52"/>
  <c r="FF112" i="52"/>
  <c r="FF211" i="52"/>
  <c r="FD169" i="52"/>
  <c r="FD171" i="52" s="1"/>
  <c r="FD133" i="53"/>
  <c r="FE132" i="53"/>
  <c r="FF128" i="53" s="1"/>
  <c r="FE130" i="53"/>
  <c r="FF166" i="52"/>
  <c r="FF168" i="52"/>
  <c r="FG164" i="52" s="1"/>
  <c r="M75" i="43"/>
  <c r="M100" i="43"/>
  <c r="M47" i="43"/>
  <c r="M53" i="43"/>
  <c r="L115" i="43"/>
  <c r="M114" i="43" s="1"/>
  <c r="L118" i="43"/>
  <c r="L113" i="43"/>
  <c r="L120" i="43"/>
  <c r="L121" i="43" s="1"/>
  <c r="L186" i="43"/>
  <c r="L187" i="43" s="1"/>
  <c r="FG195" i="53" l="1"/>
  <c r="FG159" i="53"/>
  <c r="D265" i="53"/>
  <c r="H159" i="52"/>
  <c r="DT185" i="52"/>
  <c r="FF113" i="52"/>
  <c r="FF124" i="52" s="1"/>
  <c r="H182" i="53"/>
  <c r="FF196" i="53"/>
  <c r="FF211" i="53"/>
  <c r="FF111" i="53"/>
  <c r="FF112" i="53"/>
  <c r="DL184" i="53"/>
  <c r="DL183" i="53"/>
  <c r="DL185" i="53" s="1"/>
  <c r="DL211" i="53"/>
  <c r="DA211" i="53"/>
  <c r="DA184" i="53"/>
  <c r="DA183" i="53"/>
  <c r="DA185" i="53" s="1"/>
  <c r="CN211" i="53"/>
  <c r="CN147" i="53"/>
  <c r="CN148" i="53"/>
  <c r="CC211" i="53"/>
  <c r="CC147" i="53"/>
  <c r="CC148" i="53"/>
  <c r="CC149" i="53"/>
  <c r="BE211" i="53"/>
  <c r="BE112" i="53"/>
  <c r="BE111" i="53"/>
  <c r="BE113" i="53" s="1"/>
  <c r="BP211" i="53"/>
  <c r="BP112" i="53"/>
  <c r="BP111" i="53"/>
  <c r="BP113" i="53" s="1"/>
  <c r="H187" i="53"/>
  <c r="FH198" i="53"/>
  <c r="FH188" i="53"/>
  <c r="FH191" i="53"/>
  <c r="H191" i="53" s="1"/>
  <c r="FH126" i="53"/>
  <c r="FH116" i="53"/>
  <c r="FH119" i="53"/>
  <c r="H119" i="53" s="1"/>
  <c r="H115" i="53"/>
  <c r="FH147" i="53"/>
  <c r="FH148" i="53"/>
  <c r="FH183" i="53"/>
  <c r="FH184" i="53"/>
  <c r="FH162" i="53"/>
  <c r="FH152" i="53"/>
  <c r="FH155" i="53"/>
  <c r="H155" i="53" s="1"/>
  <c r="H151" i="53"/>
  <c r="H141" i="53"/>
  <c r="FG145" i="53"/>
  <c r="H145" i="53" s="1"/>
  <c r="H152" i="53"/>
  <c r="H177" i="53"/>
  <c r="FG181" i="53"/>
  <c r="H181" i="53" s="1"/>
  <c r="FC133" i="53"/>
  <c r="FC135" i="53" s="1"/>
  <c r="FC214" i="53"/>
  <c r="FF160" i="53"/>
  <c r="FH105" i="53"/>
  <c r="FH110" i="53"/>
  <c r="H110" i="53" s="1"/>
  <c r="FH210" i="53"/>
  <c r="H210" i="53" s="1"/>
  <c r="H103" i="53"/>
  <c r="FF213" i="53"/>
  <c r="H146" i="53"/>
  <c r="FE149" i="53"/>
  <c r="FE185" i="53"/>
  <c r="FE196" i="53" s="1"/>
  <c r="H116" i="53"/>
  <c r="H188" i="53"/>
  <c r="FG109" i="53"/>
  <c r="FB169" i="53"/>
  <c r="FC168" i="53"/>
  <c r="FD164" i="53" s="1"/>
  <c r="FC166" i="53"/>
  <c r="FA171" i="53"/>
  <c r="FA204" i="53"/>
  <c r="FB200" i="53" s="1"/>
  <c r="FA202" i="53"/>
  <c r="EZ216" i="53"/>
  <c r="EZ205" i="53"/>
  <c r="EY217" i="53"/>
  <c r="EY207" i="53"/>
  <c r="EX219" i="53"/>
  <c r="FF149" i="52"/>
  <c r="FG213" i="52"/>
  <c r="FG184" i="52"/>
  <c r="FG183" i="52"/>
  <c r="FG185" i="52" s="1"/>
  <c r="FG160" i="52"/>
  <c r="DG185" i="52"/>
  <c r="CV212" i="52"/>
  <c r="CV160" i="52"/>
  <c r="CI212" i="52"/>
  <c r="CI160" i="52"/>
  <c r="BX124" i="52"/>
  <c r="BX212" i="52"/>
  <c r="BK113" i="52"/>
  <c r="H116" i="52"/>
  <c r="H141" i="52"/>
  <c r="FH145" i="52"/>
  <c r="FD132" i="52"/>
  <c r="FE128" i="52" s="1"/>
  <c r="FD130" i="52"/>
  <c r="FC133" i="52"/>
  <c r="FB135" i="52"/>
  <c r="FB204" i="52"/>
  <c r="FC200" i="52" s="1"/>
  <c r="FB202" i="52"/>
  <c r="FA216" i="52"/>
  <c r="FA205" i="52"/>
  <c r="EZ217" i="52"/>
  <c r="EZ207" i="52"/>
  <c r="EZ219" i="52" s="1"/>
  <c r="H105" i="52"/>
  <c r="FH109" i="52"/>
  <c r="H188" i="52"/>
  <c r="H152" i="52"/>
  <c r="FG124" i="52"/>
  <c r="FH181" i="52"/>
  <c r="H177" i="52"/>
  <c r="FD135" i="53"/>
  <c r="FF130" i="53"/>
  <c r="FF132" i="53"/>
  <c r="FG128" i="53" s="1"/>
  <c r="FE133" i="53"/>
  <c r="FG166" i="52"/>
  <c r="FG168" i="52"/>
  <c r="FH164" i="52" s="1"/>
  <c r="M78" i="43"/>
  <c r="M89" i="43"/>
  <c r="N42" i="43"/>
  <c r="M182" i="43"/>
  <c r="L188" i="43"/>
  <c r="L189" i="43"/>
  <c r="L190" i="43" s="1"/>
  <c r="M54" i="43"/>
  <c r="M108" i="43"/>
  <c r="M106" i="43" s="1"/>
  <c r="FH195" i="53" l="1"/>
  <c r="FH123" i="53"/>
  <c r="FH159" i="53"/>
  <c r="DT212" i="52"/>
  <c r="DT196" i="52"/>
  <c r="FH149" i="53"/>
  <c r="FH185" i="53"/>
  <c r="H159" i="53"/>
  <c r="E236" i="53" s="1"/>
  <c r="FG213" i="53"/>
  <c r="DL212" i="53"/>
  <c r="DL196" i="53"/>
  <c r="DA212" i="53"/>
  <c r="DA196" i="53"/>
  <c r="CC212" i="53"/>
  <c r="CC160" i="53"/>
  <c r="BE124" i="53"/>
  <c r="BE212" i="53"/>
  <c r="BP212" i="53"/>
  <c r="BP124" i="53"/>
  <c r="FG148" i="53"/>
  <c r="H148" i="53" s="1"/>
  <c r="FG147" i="53"/>
  <c r="FG184" i="53"/>
  <c r="H184" i="53" s="1"/>
  <c r="FG183" i="53"/>
  <c r="FE212" i="53"/>
  <c r="FE160" i="53"/>
  <c r="FE214" i="53" s="1"/>
  <c r="FG111" i="53"/>
  <c r="FG112" i="53"/>
  <c r="FG113" i="53"/>
  <c r="FG211" i="53"/>
  <c r="FF113" i="53"/>
  <c r="CN149" i="53"/>
  <c r="FH109" i="53"/>
  <c r="H105" i="53"/>
  <c r="FB171" i="53"/>
  <c r="FD166" i="53"/>
  <c r="FD168" i="53"/>
  <c r="FE164" i="53" s="1"/>
  <c r="FC169" i="53"/>
  <c r="FB204" i="53"/>
  <c r="FC200" i="53" s="1"/>
  <c r="FB202" i="53"/>
  <c r="FA216" i="53"/>
  <c r="FA205" i="53"/>
  <c r="EZ217" i="53"/>
  <c r="EZ207" i="53"/>
  <c r="EY219" i="53"/>
  <c r="FF160" i="52"/>
  <c r="FF212" i="52"/>
  <c r="E236" i="52"/>
  <c r="DG212" i="52"/>
  <c r="DG196" i="52"/>
  <c r="CV169" i="52"/>
  <c r="CV214" i="52"/>
  <c r="CI214" i="52"/>
  <c r="CI169" i="52"/>
  <c r="CI161" i="52"/>
  <c r="CJ161" i="52" s="1"/>
  <c r="CK161" i="52" s="1"/>
  <c r="CL161" i="52" s="1"/>
  <c r="CM161" i="52" s="1"/>
  <c r="CN161" i="52" s="1"/>
  <c r="CO161" i="52" s="1"/>
  <c r="CP161" i="52" s="1"/>
  <c r="CQ161" i="52" s="1"/>
  <c r="CR161" i="52" s="1"/>
  <c r="CS161" i="52" s="1"/>
  <c r="CT161" i="52" s="1"/>
  <c r="CU161" i="52" s="1"/>
  <c r="CV161" i="52" s="1"/>
  <c r="CW161" i="52" s="1"/>
  <c r="CX161" i="52" s="1"/>
  <c r="CY161" i="52" s="1"/>
  <c r="CZ161" i="52" s="1"/>
  <c r="DA161" i="52" s="1"/>
  <c r="DB161" i="52" s="1"/>
  <c r="DC161" i="52" s="1"/>
  <c r="DD161" i="52" s="1"/>
  <c r="DE161" i="52" s="1"/>
  <c r="DF161" i="52" s="1"/>
  <c r="DG161" i="52" s="1"/>
  <c r="DH161" i="52" s="1"/>
  <c r="DI161" i="52" s="1"/>
  <c r="DJ161" i="52" s="1"/>
  <c r="DK161" i="52" s="1"/>
  <c r="DL161" i="52" s="1"/>
  <c r="DM161" i="52" s="1"/>
  <c r="DN161" i="52" s="1"/>
  <c r="DO161" i="52" s="1"/>
  <c r="DP161" i="52" s="1"/>
  <c r="DQ161" i="52" s="1"/>
  <c r="DR161" i="52" s="1"/>
  <c r="DS161" i="52" s="1"/>
  <c r="DT161" i="52" s="1"/>
  <c r="DU161" i="52" s="1"/>
  <c r="DV161" i="52" s="1"/>
  <c r="DW161" i="52" s="1"/>
  <c r="DX161" i="52" s="1"/>
  <c r="DY161" i="52" s="1"/>
  <c r="DZ161" i="52" s="1"/>
  <c r="EA161" i="52" s="1"/>
  <c r="EB161" i="52" s="1"/>
  <c r="EC161" i="52" s="1"/>
  <c r="ED161" i="52" s="1"/>
  <c r="EE161" i="52" s="1"/>
  <c r="EF161" i="52" s="1"/>
  <c r="EG161" i="52" s="1"/>
  <c r="EH161" i="52" s="1"/>
  <c r="EI161" i="52" s="1"/>
  <c r="EJ161" i="52" s="1"/>
  <c r="EK161" i="52" s="1"/>
  <c r="EL161" i="52" s="1"/>
  <c r="EM161" i="52" s="1"/>
  <c r="EN161" i="52" s="1"/>
  <c r="EO161" i="52" s="1"/>
  <c r="EP161" i="52" s="1"/>
  <c r="EQ161" i="52" s="1"/>
  <c r="ER161" i="52" s="1"/>
  <c r="ES161" i="52" s="1"/>
  <c r="ET161" i="52" s="1"/>
  <c r="EU161" i="52" s="1"/>
  <c r="EV161" i="52" s="1"/>
  <c r="EW161" i="52" s="1"/>
  <c r="EX161" i="52" s="1"/>
  <c r="EY161" i="52" s="1"/>
  <c r="EZ161" i="52" s="1"/>
  <c r="FA161" i="52" s="1"/>
  <c r="FB161" i="52" s="1"/>
  <c r="FC161" i="52" s="1"/>
  <c r="FD161" i="52" s="1"/>
  <c r="FE161" i="52" s="1"/>
  <c r="BX133" i="52"/>
  <c r="BX214" i="52"/>
  <c r="BK212" i="52"/>
  <c r="BK124" i="52"/>
  <c r="FH213" i="52"/>
  <c r="H213" i="52" s="1"/>
  <c r="H145" i="52"/>
  <c r="FH147" i="52"/>
  <c r="FH148" i="52"/>
  <c r="H148" i="52" s="1"/>
  <c r="FE132" i="52"/>
  <c r="FF128" i="52" s="1"/>
  <c r="FE130" i="52"/>
  <c r="FD133" i="52"/>
  <c r="FC135" i="52"/>
  <c r="FC204" i="52"/>
  <c r="FD200" i="52" s="1"/>
  <c r="FC202" i="52"/>
  <c r="FB216" i="52"/>
  <c r="FB205" i="52"/>
  <c r="FA217" i="52"/>
  <c r="FA207" i="52"/>
  <c r="FA219" i="52" s="1"/>
  <c r="H109" i="52"/>
  <c r="FH211" i="52"/>
  <c r="H211" i="52" s="1"/>
  <c r="D267" i="52" s="1"/>
  <c r="FH112" i="52"/>
  <c r="H112" i="52" s="1"/>
  <c r="FH111" i="52"/>
  <c r="F236" i="52"/>
  <c r="FH183" i="52"/>
  <c r="FH184" i="52"/>
  <c r="H184" i="52" s="1"/>
  <c r="H181" i="52"/>
  <c r="FG212" i="52"/>
  <c r="FG196" i="52"/>
  <c r="FG214" i="52" s="1"/>
  <c r="FG130" i="53"/>
  <c r="FG132" i="53"/>
  <c r="FH128" i="53" s="1"/>
  <c r="FE135" i="53"/>
  <c r="FH166" i="52"/>
  <c r="FH168" i="52"/>
  <c r="FG169" i="52"/>
  <c r="FG171" i="52" s="1"/>
  <c r="M79" i="43"/>
  <c r="M97" i="43"/>
  <c r="M103" i="43" s="1"/>
  <c r="M91" i="43"/>
  <c r="M90" i="43"/>
  <c r="N45" i="43"/>
  <c r="N44" i="43"/>
  <c r="M184" i="43"/>
  <c r="M185" i="43" s="1"/>
  <c r="N50" i="43"/>
  <c r="FF161" i="52" l="1"/>
  <c r="FG161" i="52" s="1"/>
  <c r="DT205" i="52"/>
  <c r="DT214" i="52"/>
  <c r="H183" i="52"/>
  <c r="FH185" i="52"/>
  <c r="FH160" i="53"/>
  <c r="DL205" i="53"/>
  <c r="DL214" i="53"/>
  <c r="DA205" i="53"/>
  <c r="DA197" i="53"/>
  <c r="DB197" i="53" s="1"/>
  <c r="DC197" i="53" s="1"/>
  <c r="DD197" i="53" s="1"/>
  <c r="DE197" i="53" s="1"/>
  <c r="DF197" i="53" s="1"/>
  <c r="DG197" i="53" s="1"/>
  <c r="DH197" i="53" s="1"/>
  <c r="DI197" i="53" s="1"/>
  <c r="DJ197" i="53" s="1"/>
  <c r="DK197" i="53" s="1"/>
  <c r="DL197" i="53" s="1"/>
  <c r="DM197" i="53" s="1"/>
  <c r="DN197" i="53" s="1"/>
  <c r="DO197" i="53" s="1"/>
  <c r="DP197" i="53" s="1"/>
  <c r="DQ197" i="53" s="1"/>
  <c r="DR197" i="53" s="1"/>
  <c r="DS197" i="53" s="1"/>
  <c r="DT197" i="53" s="1"/>
  <c r="DU197" i="53" s="1"/>
  <c r="DV197" i="53" s="1"/>
  <c r="DW197" i="53" s="1"/>
  <c r="DX197" i="53" s="1"/>
  <c r="DY197" i="53" s="1"/>
  <c r="DZ197" i="53" s="1"/>
  <c r="EA197" i="53" s="1"/>
  <c r="EB197" i="53" s="1"/>
  <c r="EC197" i="53" s="1"/>
  <c r="ED197" i="53" s="1"/>
  <c r="EE197" i="53" s="1"/>
  <c r="EF197" i="53" s="1"/>
  <c r="EG197" i="53" s="1"/>
  <c r="EH197" i="53" s="1"/>
  <c r="EI197" i="53" s="1"/>
  <c r="EJ197" i="53" s="1"/>
  <c r="EK197" i="53" s="1"/>
  <c r="EL197" i="53" s="1"/>
  <c r="EM197" i="53" s="1"/>
  <c r="EN197" i="53" s="1"/>
  <c r="EO197" i="53" s="1"/>
  <c r="EP197" i="53" s="1"/>
  <c r="EQ197" i="53" s="1"/>
  <c r="ER197" i="53" s="1"/>
  <c r="ES197" i="53" s="1"/>
  <c r="ET197" i="53" s="1"/>
  <c r="EU197" i="53" s="1"/>
  <c r="EV197" i="53" s="1"/>
  <c r="EW197" i="53" s="1"/>
  <c r="EX197" i="53" s="1"/>
  <c r="EY197" i="53" s="1"/>
  <c r="EZ197" i="53" s="1"/>
  <c r="FA197" i="53" s="1"/>
  <c r="FB197" i="53" s="1"/>
  <c r="FC197" i="53" s="1"/>
  <c r="FD197" i="53" s="1"/>
  <c r="FE197" i="53" s="1"/>
  <c r="FF197" i="53" s="1"/>
  <c r="DA214" i="53"/>
  <c r="CC169" i="53"/>
  <c r="CC214" i="53"/>
  <c r="CC161" i="53"/>
  <c r="BE214" i="53"/>
  <c r="BE125" i="53"/>
  <c r="BE133" i="53"/>
  <c r="BP214" i="53"/>
  <c r="BP133" i="53"/>
  <c r="FG124" i="53"/>
  <c r="FG133" i="53" s="1"/>
  <c r="FF124" i="53"/>
  <c r="FF212" i="53"/>
  <c r="CN160" i="53"/>
  <c r="CN212" i="53"/>
  <c r="FH196" i="53"/>
  <c r="H195" i="53"/>
  <c r="F236" i="53" s="1"/>
  <c r="H123" i="53"/>
  <c r="D236" i="53" s="1"/>
  <c r="FH213" i="53"/>
  <c r="H213" i="53" s="1"/>
  <c r="G236" i="53" s="1"/>
  <c r="FH211" i="53"/>
  <c r="H211" i="53" s="1"/>
  <c r="D267" i="53" s="1"/>
  <c r="FH112" i="53"/>
  <c r="H112" i="53" s="1"/>
  <c r="FH111" i="53"/>
  <c r="H109" i="53"/>
  <c r="H147" i="53"/>
  <c r="FG149" i="53"/>
  <c r="H183" i="53"/>
  <c r="FG185" i="53"/>
  <c r="FD169" i="53"/>
  <c r="FE168" i="53"/>
  <c r="FF164" i="53" s="1"/>
  <c r="FE166" i="53"/>
  <c r="FC171" i="53"/>
  <c r="FC204" i="53"/>
  <c r="FD200" i="53" s="1"/>
  <c r="FC202" i="53"/>
  <c r="FB216" i="53"/>
  <c r="FB205" i="53"/>
  <c r="FA217" i="53"/>
  <c r="FA207" i="53"/>
  <c r="EZ219" i="53"/>
  <c r="FF214" i="52"/>
  <c r="FF169" i="52"/>
  <c r="FF171" i="52" s="1"/>
  <c r="DG205" i="52"/>
  <c r="DG197" i="52"/>
  <c r="DH197" i="52" s="1"/>
  <c r="DI197" i="52" s="1"/>
  <c r="DJ197" i="52" s="1"/>
  <c r="DK197" i="52" s="1"/>
  <c r="DL197" i="52" s="1"/>
  <c r="DM197" i="52" s="1"/>
  <c r="DN197" i="52" s="1"/>
  <c r="DO197" i="52" s="1"/>
  <c r="DP197" i="52" s="1"/>
  <c r="DQ197" i="52" s="1"/>
  <c r="DR197" i="52" s="1"/>
  <c r="DS197" i="52" s="1"/>
  <c r="DT197" i="52" s="1"/>
  <c r="DU197" i="52" s="1"/>
  <c r="DV197" i="52" s="1"/>
  <c r="DW197" i="52" s="1"/>
  <c r="DX197" i="52" s="1"/>
  <c r="DY197" i="52" s="1"/>
  <c r="DZ197" i="52" s="1"/>
  <c r="EA197" i="52" s="1"/>
  <c r="EB197" i="52" s="1"/>
  <c r="EC197" i="52" s="1"/>
  <c r="ED197" i="52" s="1"/>
  <c r="EE197" i="52" s="1"/>
  <c r="EF197" i="52" s="1"/>
  <c r="EG197" i="52" s="1"/>
  <c r="EH197" i="52" s="1"/>
  <c r="EI197" i="52" s="1"/>
  <c r="EJ197" i="52" s="1"/>
  <c r="EK197" i="52" s="1"/>
  <c r="EL197" i="52" s="1"/>
  <c r="EM197" i="52" s="1"/>
  <c r="EN197" i="52" s="1"/>
  <c r="EO197" i="52" s="1"/>
  <c r="EP197" i="52" s="1"/>
  <c r="EQ197" i="52" s="1"/>
  <c r="ER197" i="52" s="1"/>
  <c r="ES197" i="52" s="1"/>
  <c r="ET197" i="52" s="1"/>
  <c r="EU197" i="52" s="1"/>
  <c r="EV197" i="52" s="1"/>
  <c r="EW197" i="52" s="1"/>
  <c r="EX197" i="52" s="1"/>
  <c r="EY197" i="52" s="1"/>
  <c r="EZ197" i="52" s="1"/>
  <c r="FA197" i="52" s="1"/>
  <c r="FB197" i="52" s="1"/>
  <c r="FC197" i="52" s="1"/>
  <c r="FD197" i="52" s="1"/>
  <c r="FE197" i="52" s="1"/>
  <c r="FF197" i="52" s="1"/>
  <c r="FG197" i="52" s="1"/>
  <c r="DG214" i="52"/>
  <c r="CV217" i="52"/>
  <c r="CV171" i="52"/>
  <c r="CV219" i="52" s="1"/>
  <c r="CI217" i="52"/>
  <c r="CI171" i="52"/>
  <c r="CI170" i="52"/>
  <c r="CJ170" i="52" s="1"/>
  <c r="CK170" i="52" s="1"/>
  <c r="CL170" i="52" s="1"/>
  <c r="CM170" i="52" s="1"/>
  <c r="CN170" i="52" s="1"/>
  <c r="CO170" i="52" s="1"/>
  <c r="CP170" i="52" s="1"/>
  <c r="CQ170" i="52" s="1"/>
  <c r="CR170" i="52" s="1"/>
  <c r="CS170" i="52" s="1"/>
  <c r="CT170" i="52" s="1"/>
  <c r="CU170" i="52" s="1"/>
  <c r="CV170" i="52" s="1"/>
  <c r="CW170" i="52" s="1"/>
  <c r="CX170" i="52" s="1"/>
  <c r="CY170" i="52" s="1"/>
  <c r="CZ170" i="52" s="1"/>
  <c r="DA170" i="52" s="1"/>
  <c r="DB170" i="52" s="1"/>
  <c r="DC170" i="52" s="1"/>
  <c r="DD170" i="52" s="1"/>
  <c r="DE170" i="52" s="1"/>
  <c r="DF170" i="52" s="1"/>
  <c r="DG170" i="52" s="1"/>
  <c r="DH170" i="52" s="1"/>
  <c r="DI170" i="52" s="1"/>
  <c r="DJ170" i="52" s="1"/>
  <c r="DK170" i="52" s="1"/>
  <c r="DL170" i="52" s="1"/>
  <c r="DM170" i="52" s="1"/>
  <c r="DN170" i="52" s="1"/>
  <c r="DO170" i="52" s="1"/>
  <c r="DP170" i="52" s="1"/>
  <c r="DQ170" i="52" s="1"/>
  <c r="DR170" i="52" s="1"/>
  <c r="DS170" i="52" s="1"/>
  <c r="DT170" i="52" s="1"/>
  <c r="DU170" i="52" s="1"/>
  <c r="DV170" i="52" s="1"/>
  <c r="DW170" i="52" s="1"/>
  <c r="DX170" i="52" s="1"/>
  <c r="DY170" i="52" s="1"/>
  <c r="DZ170" i="52" s="1"/>
  <c r="EA170" i="52" s="1"/>
  <c r="EB170" i="52" s="1"/>
  <c r="EC170" i="52" s="1"/>
  <c r="ED170" i="52" s="1"/>
  <c r="EE170" i="52" s="1"/>
  <c r="EF170" i="52" s="1"/>
  <c r="EG170" i="52" s="1"/>
  <c r="EH170" i="52" s="1"/>
  <c r="EI170" i="52" s="1"/>
  <c r="EJ170" i="52" s="1"/>
  <c r="EK170" i="52" s="1"/>
  <c r="EL170" i="52" s="1"/>
  <c r="EM170" i="52" s="1"/>
  <c r="EN170" i="52" s="1"/>
  <c r="EO170" i="52" s="1"/>
  <c r="EP170" i="52" s="1"/>
  <c r="EQ170" i="52" s="1"/>
  <c r="ER170" i="52" s="1"/>
  <c r="ES170" i="52" s="1"/>
  <c r="ET170" i="52" s="1"/>
  <c r="EU170" i="52" s="1"/>
  <c r="EV170" i="52" s="1"/>
  <c r="EW170" i="52" s="1"/>
  <c r="EX170" i="52" s="1"/>
  <c r="EY170" i="52" s="1"/>
  <c r="EZ170" i="52" s="1"/>
  <c r="FA170" i="52" s="1"/>
  <c r="FB170" i="52" s="1"/>
  <c r="FC170" i="52" s="1"/>
  <c r="FD170" i="52" s="1"/>
  <c r="FE170" i="52" s="1"/>
  <c r="BX217" i="52"/>
  <c r="BX135" i="52"/>
  <c r="BX219" i="52" s="1"/>
  <c r="BK133" i="52"/>
  <c r="BK125" i="52"/>
  <c r="BL125" i="52" s="1"/>
  <c r="BM125" i="52" s="1"/>
  <c r="BN125" i="52" s="1"/>
  <c r="BO125" i="52" s="1"/>
  <c r="BP125" i="52" s="1"/>
  <c r="BQ125" i="52" s="1"/>
  <c r="BR125" i="52" s="1"/>
  <c r="BS125" i="52" s="1"/>
  <c r="BT125" i="52" s="1"/>
  <c r="BU125" i="52" s="1"/>
  <c r="BV125" i="52" s="1"/>
  <c r="BW125" i="52" s="1"/>
  <c r="BX125" i="52" s="1"/>
  <c r="BY125" i="52" s="1"/>
  <c r="BZ125" i="52" s="1"/>
  <c r="CA125" i="52" s="1"/>
  <c r="CB125" i="52" s="1"/>
  <c r="CC125" i="52" s="1"/>
  <c r="CD125" i="52" s="1"/>
  <c r="CE125" i="52" s="1"/>
  <c r="CF125" i="52" s="1"/>
  <c r="CG125" i="52" s="1"/>
  <c r="CH125" i="52" s="1"/>
  <c r="CI125" i="52" s="1"/>
  <c r="CJ125" i="52" s="1"/>
  <c r="CK125" i="52" s="1"/>
  <c r="CL125" i="52" s="1"/>
  <c r="CM125" i="52" s="1"/>
  <c r="CN125" i="52" s="1"/>
  <c r="CO125" i="52" s="1"/>
  <c r="CP125" i="52" s="1"/>
  <c r="CQ125" i="52" s="1"/>
  <c r="CR125" i="52" s="1"/>
  <c r="CS125" i="52" s="1"/>
  <c r="CT125" i="52" s="1"/>
  <c r="CU125" i="52" s="1"/>
  <c r="CV125" i="52" s="1"/>
  <c r="CW125" i="52" s="1"/>
  <c r="CX125" i="52" s="1"/>
  <c r="CY125" i="52" s="1"/>
  <c r="CZ125" i="52" s="1"/>
  <c r="DA125" i="52" s="1"/>
  <c r="DB125" i="52" s="1"/>
  <c r="DC125" i="52" s="1"/>
  <c r="DD125" i="52" s="1"/>
  <c r="DE125" i="52" s="1"/>
  <c r="DF125" i="52" s="1"/>
  <c r="DG125" i="52" s="1"/>
  <c r="DH125" i="52" s="1"/>
  <c r="DI125" i="52" s="1"/>
  <c r="DJ125" i="52" s="1"/>
  <c r="DK125" i="52" s="1"/>
  <c r="DL125" i="52" s="1"/>
  <c r="DM125" i="52" s="1"/>
  <c r="DN125" i="52" s="1"/>
  <c r="DO125" i="52" s="1"/>
  <c r="DP125" i="52" s="1"/>
  <c r="DQ125" i="52" s="1"/>
  <c r="DR125" i="52" s="1"/>
  <c r="DS125" i="52" s="1"/>
  <c r="DT125" i="52" s="1"/>
  <c r="DU125" i="52" s="1"/>
  <c r="DV125" i="52" s="1"/>
  <c r="DW125" i="52" s="1"/>
  <c r="DX125" i="52" s="1"/>
  <c r="DY125" i="52" s="1"/>
  <c r="DZ125" i="52" s="1"/>
  <c r="EA125" i="52" s="1"/>
  <c r="EB125" i="52" s="1"/>
  <c r="EC125" i="52" s="1"/>
  <c r="ED125" i="52" s="1"/>
  <c r="EE125" i="52" s="1"/>
  <c r="EF125" i="52" s="1"/>
  <c r="EG125" i="52" s="1"/>
  <c r="EH125" i="52" s="1"/>
  <c r="EI125" i="52" s="1"/>
  <c r="EJ125" i="52" s="1"/>
  <c r="EK125" i="52" s="1"/>
  <c r="EL125" i="52" s="1"/>
  <c r="EM125" i="52" s="1"/>
  <c r="EN125" i="52" s="1"/>
  <c r="EO125" i="52" s="1"/>
  <c r="EP125" i="52" s="1"/>
  <c r="EQ125" i="52" s="1"/>
  <c r="ER125" i="52" s="1"/>
  <c r="ES125" i="52" s="1"/>
  <c r="ET125" i="52" s="1"/>
  <c r="EU125" i="52" s="1"/>
  <c r="EV125" i="52" s="1"/>
  <c r="EW125" i="52" s="1"/>
  <c r="EX125" i="52" s="1"/>
  <c r="EY125" i="52" s="1"/>
  <c r="EZ125" i="52" s="1"/>
  <c r="FA125" i="52" s="1"/>
  <c r="FB125" i="52" s="1"/>
  <c r="FC125" i="52" s="1"/>
  <c r="FD125" i="52" s="1"/>
  <c r="FE125" i="52" s="1"/>
  <c r="FF125" i="52" s="1"/>
  <c r="FG125" i="52" s="1"/>
  <c r="BK214" i="52"/>
  <c r="D236" i="52"/>
  <c r="G236" i="52"/>
  <c r="H147" i="52"/>
  <c r="FH149" i="52"/>
  <c r="FF132" i="52"/>
  <c r="FG128" i="52" s="1"/>
  <c r="FF130" i="52"/>
  <c r="FE133" i="52"/>
  <c r="FD135" i="52"/>
  <c r="FD204" i="52"/>
  <c r="FE200" i="52" s="1"/>
  <c r="FD202" i="52"/>
  <c r="FC216" i="52"/>
  <c r="FC205" i="52"/>
  <c r="FB217" i="52"/>
  <c r="FB207" i="52"/>
  <c r="FB219" i="52" s="1"/>
  <c r="H111" i="52"/>
  <c r="FH113" i="52"/>
  <c r="FH132" i="53"/>
  <c r="FH130" i="53"/>
  <c r="H166" i="52"/>
  <c r="M112" i="43"/>
  <c r="M122" i="43"/>
  <c r="M123" i="43"/>
  <c r="N73" i="43"/>
  <c r="N46" i="43"/>
  <c r="N52" i="43"/>
  <c r="M92" i="43"/>
  <c r="M93" i="43"/>
  <c r="M94" i="43"/>
  <c r="FF170" i="52" l="1"/>
  <c r="FG170" i="52" s="1"/>
  <c r="DT217" i="52"/>
  <c r="DT207" i="52"/>
  <c r="DT219" i="52" s="1"/>
  <c r="H185" i="52"/>
  <c r="FH196" i="52"/>
  <c r="FG212" i="53"/>
  <c r="DL207" i="53"/>
  <c r="DL219" i="53" s="1"/>
  <c r="DL217" i="53"/>
  <c r="DA206" i="53"/>
  <c r="DB206" i="53" s="1"/>
  <c r="DC206" i="53" s="1"/>
  <c r="DD206" i="53" s="1"/>
  <c r="DE206" i="53" s="1"/>
  <c r="DF206" i="53" s="1"/>
  <c r="DG206" i="53" s="1"/>
  <c r="DH206" i="53" s="1"/>
  <c r="DI206" i="53" s="1"/>
  <c r="DJ206" i="53" s="1"/>
  <c r="DK206" i="53" s="1"/>
  <c r="DL206" i="53" s="1"/>
  <c r="DM206" i="53" s="1"/>
  <c r="DN206" i="53" s="1"/>
  <c r="DO206" i="53" s="1"/>
  <c r="DP206" i="53" s="1"/>
  <c r="DQ206" i="53" s="1"/>
  <c r="DR206" i="53" s="1"/>
  <c r="DS206" i="53" s="1"/>
  <c r="DT206" i="53" s="1"/>
  <c r="DU206" i="53" s="1"/>
  <c r="DV206" i="53" s="1"/>
  <c r="DW206" i="53" s="1"/>
  <c r="DX206" i="53" s="1"/>
  <c r="DY206" i="53" s="1"/>
  <c r="DZ206" i="53" s="1"/>
  <c r="EA206" i="53" s="1"/>
  <c r="EB206" i="53" s="1"/>
  <c r="EC206" i="53" s="1"/>
  <c r="ED206" i="53" s="1"/>
  <c r="EE206" i="53" s="1"/>
  <c r="EF206" i="53" s="1"/>
  <c r="EG206" i="53" s="1"/>
  <c r="EH206" i="53" s="1"/>
  <c r="EI206" i="53" s="1"/>
  <c r="EJ206" i="53" s="1"/>
  <c r="EK206" i="53" s="1"/>
  <c r="EL206" i="53" s="1"/>
  <c r="EM206" i="53" s="1"/>
  <c r="EN206" i="53" s="1"/>
  <c r="EO206" i="53" s="1"/>
  <c r="EP206" i="53" s="1"/>
  <c r="EQ206" i="53" s="1"/>
  <c r="ER206" i="53" s="1"/>
  <c r="ES206" i="53" s="1"/>
  <c r="ET206" i="53" s="1"/>
  <c r="EU206" i="53" s="1"/>
  <c r="EV206" i="53" s="1"/>
  <c r="EW206" i="53" s="1"/>
  <c r="EX206" i="53" s="1"/>
  <c r="EY206" i="53" s="1"/>
  <c r="EZ206" i="53" s="1"/>
  <c r="FA206" i="53" s="1"/>
  <c r="DA207" i="53"/>
  <c r="DA219" i="53" s="1"/>
  <c r="DA217" i="53"/>
  <c r="CC217" i="53"/>
  <c r="CC170" i="53"/>
  <c r="CD170" i="53" s="1"/>
  <c r="CE170" i="53" s="1"/>
  <c r="CF170" i="53" s="1"/>
  <c r="CG170" i="53" s="1"/>
  <c r="CH170" i="53" s="1"/>
  <c r="CI170" i="53" s="1"/>
  <c r="CJ170" i="53" s="1"/>
  <c r="CK170" i="53" s="1"/>
  <c r="CL170" i="53" s="1"/>
  <c r="CM170" i="53" s="1"/>
  <c r="CC171" i="53"/>
  <c r="CC219" i="53" s="1"/>
  <c r="CD161" i="53"/>
  <c r="BE215" i="53"/>
  <c r="BF125" i="53"/>
  <c r="BE134" i="53"/>
  <c r="BF134" i="53" s="1"/>
  <c r="BG134" i="53" s="1"/>
  <c r="BH134" i="53" s="1"/>
  <c r="BI134" i="53" s="1"/>
  <c r="BJ134" i="53" s="1"/>
  <c r="BK134" i="53" s="1"/>
  <c r="BL134" i="53" s="1"/>
  <c r="BM134" i="53" s="1"/>
  <c r="BN134" i="53" s="1"/>
  <c r="BO134" i="53" s="1"/>
  <c r="BP134" i="53" s="1"/>
  <c r="BQ134" i="53" s="1"/>
  <c r="BR134" i="53" s="1"/>
  <c r="BS134" i="53" s="1"/>
  <c r="BT134" i="53" s="1"/>
  <c r="BU134" i="53" s="1"/>
  <c r="BV134" i="53" s="1"/>
  <c r="BW134" i="53" s="1"/>
  <c r="BX134" i="53" s="1"/>
  <c r="BY134" i="53" s="1"/>
  <c r="BZ134" i="53" s="1"/>
  <c r="CA134" i="53" s="1"/>
  <c r="CB134" i="53" s="1"/>
  <c r="CC134" i="53" s="1"/>
  <c r="CD134" i="53" s="1"/>
  <c r="CE134" i="53" s="1"/>
  <c r="CF134" i="53" s="1"/>
  <c r="CG134" i="53" s="1"/>
  <c r="CH134" i="53" s="1"/>
  <c r="CI134" i="53" s="1"/>
  <c r="CJ134" i="53" s="1"/>
  <c r="CK134" i="53" s="1"/>
  <c r="CL134" i="53" s="1"/>
  <c r="CM134" i="53" s="1"/>
  <c r="CN134" i="53" s="1"/>
  <c r="CO134" i="53" s="1"/>
  <c r="CP134" i="53" s="1"/>
  <c r="CQ134" i="53" s="1"/>
  <c r="CR134" i="53" s="1"/>
  <c r="CS134" i="53" s="1"/>
  <c r="CT134" i="53" s="1"/>
  <c r="CU134" i="53" s="1"/>
  <c r="CV134" i="53" s="1"/>
  <c r="CW134" i="53" s="1"/>
  <c r="CX134" i="53" s="1"/>
  <c r="CY134" i="53" s="1"/>
  <c r="CZ134" i="53" s="1"/>
  <c r="DA134" i="53" s="1"/>
  <c r="DB134" i="53" s="1"/>
  <c r="DC134" i="53" s="1"/>
  <c r="DD134" i="53" s="1"/>
  <c r="DE134" i="53" s="1"/>
  <c r="DF134" i="53" s="1"/>
  <c r="DG134" i="53" s="1"/>
  <c r="DH134" i="53" s="1"/>
  <c r="DI134" i="53" s="1"/>
  <c r="DJ134" i="53" s="1"/>
  <c r="DK134" i="53" s="1"/>
  <c r="DL134" i="53" s="1"/>
  <c r="DM134" i="53" s="1"/>
  <c r="DN134" i="53" s="1"/>
  <c r="DO134" i="53" s="1"/>
  <c r="DP134" i="53" s="1"/>
  <c r="DQ134" i="53" s="1"/>
  <c r="DR134" i="53" s="1"/>
  <c r="DS134" i="53" s="1"/>
  <c r="DT134" i="53" s="1"/>
  <c r="DU134" i="53" s="1"/>
  <c r="DV134" i="53" s="1"/>
  <c r="DW134" i="53" s="1"/>
  <c r="DX134" i="53" s="1"/>
  <c r="DY134" i="53" s="1"/>
  <c r="DZ134" i="53" s="1"/>
  <c r="EA134" i="53" s="1"/>
  <c r="EB134" i="53" s="1"/>
  <c r="EC134" i="53" s="1"/>
  <c r="ED134" i="53" s="1"/>
  <c r="EE134" i="53" s="1"/>
  <c r="EF134" i="53" s="1"/>
  <c r="EG134" i="53" s="1"/>
  <c r="EH134" i="53" s="1"/>
  <c r="EI134" i="53" s="1"/>
  <c r="EJ134" i="53" s="1"/>
  <c r="EK134" i="53" s="1"/>
  <c r="EL134" i="53" s="1"/>
  <c r="EM134" i="53" s="1"/>
  <c r="EN134" i="53" s="1"/>
  <c r="EO134" i="53" s="1"/>
  <c r="EP134" i="53" s="1"/>
  <c r="EQ134" i="53" s="1"/>
  <c r="ER134" i="53" s="1"/>
  <c r="ES134" i="53" s="1"/>
  <c r="ET134" i="53" s="1"/>
  <c r="EU134" i="53" s="1"/>
  <c r="EV134" i="53" s="1"/>
  <c r="EW134" i="53" s="1"/>
  <c r="EX134" i="53" s="1"/>
  <c r="EY134" i="53" s="1"/>
  <c r="EZ134" i="53" s="1"/>
  <c r="FA134" i="53" s="1"/>
  <c r="FB134" i="53" s="1"/>
  <c r="FC134" i="53" s="1"/>
  <c r="FD134" i="53" s="1"/>
  <c r="FE134" i="53" s="1"/>
  <c r="BE217" i="53"/>
  <c r="BE218" i="53" s="1"/>
  <c r="BF218" i="53" s="1"/>
  <c r="BG218" i="53" s="1"/>
  <c r="BH218" i="53" s="1"/>
  <c r="BI218" i="53" s="1"/>
  <c r="BJ218" i="53" s="1"/>
  <c r="BK218" i="53" s="1"/>
  <c r="BL218" i="53" s="1"/>
  <c r="BM218" i="53" s="1"/>
  <c r="BN218" i="53" s="1"/>
  <c r="BO218" i="53" s="1"/>
  <c r="BE135" i="53"/>
  <c r="BE219" i="53" s="1"/>
  <c r="BE220" i="53" s="1"/>
  <c r="BF220" i="53" s="1"/>
  <c r="BG220" i="53" s="1"/>
  <c r="BH220" i="53" s="1"/>
  <c r="BI220" i="53" s="1"/>
  <c r="BJ220" i="53" s="1"/>
  <c r="BK220" i="53" s="1"/>
  <c r="BL220" i="53" s="1"/>
  <c r="BM220" i="53" s="1"/>
  <c r="BN220" i="53" s="1"/>
  <c r="BO220" i="53" s="1"/>
  <c r="BP135" i="53"/>
  <c r="BP219" i="53" s="1"/>
  <c r="BP217" i="53"/>
  <c r="FF133" i="53"/>
  <c r="FF135" i="53" s="1"/>
  <c r="FF214" i="53"/>
  <c r="CN169" i="53"/>
  <c r="CN214" i="53"/>
  <c r="H111" i="53"/>
  <c r="FH113" i="53"/>
  <c r="H149" i="53"/>
  <c r="FG160" i="53"/>
  <c r="H185" i="53"/>
  <c r="FG196" i="53"/>
  <c r="E239" i="53"/>
  <c r="H160" i="53"/>
  <c r="E237" i="53" s="1"/>
  <c r="E238" i="53" s="1"/>
  <c r="E240" i="53"/>
  <c r="FD171" i="53"/>
  <c r="FF168" i="53"/>
  <c r="FG164" i="53" s="1"/>
  <c r="FF166" i="53"/>
  <c r="FE169" i="53"/>
  <c r="FD204" i="53"/>
  <c r="FE200" i="53" s="1"/>
  <c r="FD202" i="53"/>
  <c r="FC216" i="53"/>
  <c r="FC205" i="53"/>
  <c r="FB217" i="53"/>
  <c r="FB206" i="53"/>
  <c r="FC206" i="53" s="1"/>
  <c r="FB207" i="53"/>
  <c r="FA219" i="53"/>
  <c r="DG206" i="52"/>
  <c r="DH206" i="52" s="1"/>
  <c r="DI206" i="52" s="1"/>
  <c r="DJ206" i="52" s="1"/>
  <c r="DK206" i="52" s="1"/>
  <c r="DL206" i="52" s="1"/>
  <c r="DM206" i="52" s="1"/>
  <c r="DN206" i="52" s="1"/>
  <c r="DO206" i="52" s="1"/>
  <c r="DP206" i="52" s="1"/>
  <c r="DQ206" i="52" s="1"/>
  <c r="DR206" i="52" s="1"/>
  <c r="DS206" i="52" s="1"/>
  <c r="DT206" i="52" s="1"/>
  <c r="DU206" i="52" s="1"/>
  <c r="DV206" i="52" s="1"/>
  <c r="DW206" i="52" s="1"/>
  <c r="DX206" i="52" s="1"/>
  <c r="DY206" i="52" s="1"/>
  <c r="DZ206" i="52" s="1"/>
  <c r="EA206" i="52" s="1"/>
  <c r="EB206" i="52" s="1"/>
  <c r="EC206" i="52" s="1"/>
  <c r="ED206" i="52" s="1"/>
  <c r="EE206" i="52" s="1"/>
  <c r="EF206" i="52" s="1"/>
  <c r="EG206" i="52" s="1"/>
  <c r="EH206" i="52" s="1"/>
  <c r="EI206" i="52" s="1"/>
  <c r="EJ206" i="52" s="1"/>
  <c r="EK206" i="52" s="1"/>
  <c r="EL206" i="52" s="1"/>
  <c r="EM206" i="52" s="1"/>
  <c r="EN206" i="52" s="1"/>
  <c r="EO206" i="52" s="1"/>
  <c r="EP206" i="52" s="1"/>
  <c r="EQ206" i="52" s="1"/>
  <c r="ER206" i="52" s="1"/>
  <c r="ES206" i="52" s="1"/>
  <c r="ET206" i="52" s="1"/>
  <c r="EU206" i="52" s="1"/>
  <c r="EV206" i="52" s="1"/>
  <c r="EW206" i="52" s="1"/>
  <c r="EX206" i="52" s="1"/>
  <c r="EY206" i="52" s="1"/>
  <c r="EZ206" i="52" s="1"/>
  <c r="FA206" i="52" s="1"/>
  <c r="FB206" i="52" s="1"/>
  <c r="FC206" i="52" s="1"/>
  <c r="DG217" i="52"/>
  <c r="DG207" i="52"/>
  <c r="CI219" i="52"/>
  <c r="BK134" i="52"/>
  <c r="BL134" i="52" s="1"/>
  <c r="BM134" i="52" s="1"/>
  <c r="BN134" i="52" s="1"/>
  <c r="BO134" i="52" s="1"/>
  <c r="BP134" i="52" s="1"/>
  <c r="BQ134" i="52" s="1"/>
  <c r="BR134" i="52" s="1"/>
  <c r="BS134" i="52" s="1"/>
  <c r="BT134" i="52" s="1"/>
  <c r="BU134" i="52" s="1"/>
  <c r="BV134" i="52" s="1"/>
  <c r="BW134" i="52" s="1"/>
  <c r="BX134" i="52" s="1"/>
  <c r="BY134" i="52" s="1"/>
  <c r="BZ134" i="52" s="1"/>
  <c r="CA134" i="52" s="1"/>
  <c r="CB134" i="52" s="1"/>
  <c r="CC134" i="52" s="1"/>
  <c r="CD134" i="52" s="1"/>
  <c r="CE134" i="52" s="1"/>
  <c r="CF134" i="52" s="1"/>
  <c r="CG134" i="52" s="1"/>
  <c r="CH134" i="52" s="1"/>
  <c r="CI134" i="52" s="1"/>
  <c r="CJ134" i="52" s="1"/>
  <c r="CK134" i="52" s="1"/>
  <c r="CL134" i="52" s="1"/>
  <c r="CM134" i="52" s="1"/>
  <c r="CN134" i="52" s="1"/>
  <c r="CO134" i="52" s="1"/>
  <c r="CP134" i="52" s="1"/>
  <c r="CQ134" i="52" s="1"/>
  <c r="CR134" i="52" s="1"/>
  <c r="CS134" i="52" s="1"/>
  <c r="CT134" i="52" s="1"/>
  <c r="CU134" i="52" s="1"/>
  <c r="CV134" i="52" s="1"/>
  <c r="CW134" i="52" s="1"/>
  <c r="CX134" i="52" s="1"/>
  <c r="CY134" i="52" s="1"/>
  <c r="CZ134" i="52" s="1"/>
  <c r="DA134" i="52" s="1"/>
  <c r="DB134" i="52" s="1"/>
  <c r="DC134" i="52" s="1"/>
  <c r="DD134" i="52" s="1"/>
  <c r="DE134" i="52" s="1"/>
  <c r="DF134" i="52" s="1"/>
  <c r="DG134" i="52" s="1"/>
  <c r="DH134" i="52" s="1"/>
  <c r="DI134" i="52" s="1"/>
  <c r="DJ134" i="52" s="1"/>
  <c r="DK134" i="52" s="1"/>
  <c r="DL134" i="52" s="1"/>
  <c r="DM134" i="52" s="1"/>
  <c r="DN134" i="52" s="1"/>
  <c r="DO134" i="52" s="1"/>
  <c r="DP134" i="52" s="1"/>
  <c r="DQ134" i="52" s="1"/>
  <c r="DR134" i="52" s="1"/>
  <c r="DS134" i="52" s="1"/>
  <c r="DT134" i="52" s="1"/>
  <c r="DU134" i="52" s="1"/>
  <c r="DV134" i="52" s="1"/>
  <c r="DW134" i="52" s="1"/>
  <c r="DX134" i="52" s="1"/>
  <c r="DY134" i="52" s="1"/>
  <c r="DZ134" i="52" s="1"/>
  <c r="EA134" i="52" s="1"/>
  <c r="EB134" i="52" s="1"/>
  <c r="EC134" i="52" s="1"/>
  <c r="ED134" i="52" s="1"/>
  <c r="EE134" i="52" s="1"/>
  <c r="EF134" i="52" s="1"/>
  <c r="EG134" i="52" s="1"/>
  <c r="EH134" i="52" s="1"/>
  <c r="EI134" i="52" s="1"/>
  <c r="EJ134" i="52" s="1"/>
  <c r="EK134" i="52" s="1"/>
  <c r="EL134" i="52" s="1"/>
  <c r="EM134" i="52" s="1"/>
  <c r="EN134" i="52" s="1"/>
  <c r="EO134" i="52" s="1"/>
  <c r="EP134" i="52" s="1"/>
  <c r="EQ134" i="52" s="1"/>
  <c r="ER134" i="52" s="1"/>
  <c r="ES134" i="52" s="1"/>
  <c r="ET134" i="52" s="1"/>
  <c r="EU134" i="52" s="1"/>
  <c r="EV134" i="52" s="1"/>
  <c r="EW134" i="52" s="1"/>
  <c r="EX134" i="52" s="1"/>
  <c r="EY134" i="52" s="1"/>
  <c r="EZ134" i="52" s="1"/>
  <c r="FA134" i="52" s="1"/>
  <c r="FB134" i="52" s="1"/>
  <c r="FC134" i="52" s="1"/>
  <c r="FD134" i="52" s="1"/>
  <c r="FE134" i="52" s="1"/>
  <c r="BK135" i="52"/>
  <c r="BK217" i="52"/>
  <c r="BK215" i="52"/>
  <c r="BL215" i="52" s="1"/>
  <c r="BM215" i="52" s="1"/>
  <c r="BN215" i="52" s="1"/>
  <c r="BO215" i="52" s="1"/>
  <c r="BP215" i="52" s="1"/>
  <c r="BQ215" i="52" s="1"/>
  <c r="BR215" i="52" s="1"/>
  <c r="BS215" i="52" s="1"/>
  <c r="BT215" i="52" s="1"/>
  <c r="BU215" i="52" s="1"/>
  <c r="BV215" i="52" s="1"/>
  <c r="BW215" i="52" s="1"/>
  <c r="BX215" i="52" s="1"/>
  <c r="BY215" i="52" s="1"/>
  <c r="BZ215" i="52" s="1"/>
  <c r="CA215" i="52" s="1"/>
  <c r="CB215" i="52" s="1"/>
  <c r="CC215" i="52" s="1"/>
  <c r="CD215" i="52" s="1"/>
  <c r="CE215" i="52" s="1"/>
  <c r="CF215" i="52" s="1"/>
  <c r="CG215" i="52" s="1"/>
  <c r="CH215" i="52" s="1"/>
  <c r="CI215" i="52" s="1"/>
  <c r="CJ215" i="52" s="1"/>
  <c r="CK215" i="52" s="1"/>
  <c r="CL215" i="52" s="1"/>
  <c r="CM215" i="52" s="1"/>
  <c r="CN215" i="52" s="1"/>
  <c r="CO215" i="52" s="1"/>
  <c r="CP215" i="52" s="1"/>
  <c r="CQ215" i="52" s="1"/>
  <c r="CR215" i="52" s="1"/>
  <c r="CS215" i="52" s="1"/>
  <c r="CT215" i="52" s="1"/>
  <c r="CU215" i="52" s="1"/>
  <c r="CV215" i="52" s="1"/>
  <c r="CW215" i="52" s="1"/>
  <c r="CX215" i="52" s="1"/>
  <c r="CY215" i="52" s="1"/>
  <c r="CZ215" i="52" s="1"/>
  <c r="DA215" i="52" s="1"/>
  <c r="DB215" i="52" s="1"/>
  <c r="DC215" i="52" s="1"/>
  <c r="DD215" i="52" s="1"/>
  <c r="DE215" i="52" s="1"/>
  <c r="DF215" i="52" s="1"/>
  <c r="DG215" i="52" s="1"/>
  <c r="DH215" i="52" s="1"/>
  <c r="DI215" i="52" s="1"/>
  <c r="DJ215" i="52" s="1"/>
  <c r="DK215" i="52" s="1"/>
  <c r="DL215" i="52" s="1"/>
  <c r="DM215" i="52" s="1"/>
  <c r="DN215" i="52" s="1"/>
  <c r="DO215" i="52" s="1"/>
  <c r="DP215" i="52" s="1"/>
  <c r="DQ215" i="52" s="1"/>
  <c r="DR215" i="52" s="1"/>
  <c r="DS215" i="52" s="1"/>
  <c r="DT215" i="52" s="1"/>
  <c r="DU215" i="52" s="1"/>
  <c r="DV215" i="52" s="1"/>
  <c r="DW215" i="52" s="1"/>
  <c r="DX215" i="52" s="1"/>
  <c r="DY215" i="52" s="1"/>
  <c r="DZ215" i="52" s="1"/>
  <c r="EA215" i="52" s="1"/>
  <c r="EB215" i="52" s="1"/>
  <c r="EC215" i="52" s="1"/>
  <c r="ED215" i="52" s="1"/>
  <c r="EE215" i="52" s="1"/>
  <c r="EF215" i="52" s="1"/>
  <c r="EG215" i="52" s="1"/>
  <c r="EH215" i="52" s="1"/>
  <c r="EI215" i="52" s="1"/>
  <c r="EJ215" i="52" s="1"/>
  <c r="EK215" i="52" s="1"/>
  <c r="EL215" i="52" s="1"/>
  <c r="EM215" i="52" s="1"/>
  <c r="EN215" i="52" s="1"/>
  <c r="EO215" i="52" s="1"/>
  <c r="EP215" i="52" s="1"/>
  <c r="EQ215" i="52" s="1"/>
  <c r="ER215" i="52" s="1"/>
  <c r="ES215" i="52" s="1"/>
  <c r="ET215" i="52" s="1"/>
  <c r="EU215" i="52" s="1"/>
  <c r="EV215" i="52" s="1"/>
  <c r="EW215" i="52" s="1"/>
  <c r="EX215" i="52" s="1"/>
  <c r="EY215" i="52" s="1"/>
  <c r="EZ215" i="52" s="1"/>
  <c r="FA215" i="52" s="1"/>
  <c r="FB215" i="52" s="1"/>
  <c r="FC215" i="52" s="1"/>
  <c r="FD215" i="52" s="1"/>
  <c r="FE215" i="52" s="1"/>
  <c r="FF215" i="52" s="1"/>
  <c r="FG215" i="52" s="1"/>
  <c r="H149" i="52"/>
  <c r="FH160" i="52"/>
  <c r="FG132" i="52"/>
  <c r="FH128" i="52" s="1"/>
  <c r="FG130" i="52"/>
  <c r="FF133" i="52"/>
  <c r="FE135" i="52"/>
  <c r="FE204" i="52"/>
  <c r="FF200" i="52" s="1"/>
  <c r="FE202" i="52"/>
  <c r="FD216" i="52"/>
  <c r="FD205" i="52"/>
  <c r="FC217" i="52"/>
  <c r="FC207" i="52"/>
  <c r="FC219" i="52" s="1"/>
  <c r="FH124" i="52"/>
  <c r="H113" i="52"/>
  <c r="FH212" i="52"/>
  <c r="H212" i="52" s="1"/>
  <c r="E262" i="52"/>
  <c r="E252" i="52"/>
  <c r="FG135" i="53"/>
  <c r="H130" i="53"/>
  <c r="M115" i="43"/>
  <c r="N114" i="43" s="1"/>
  <c r="M113" i="43"/>
  <c r="M118" i="43"/>
  <c r="M120" i="43"/>
  <c r="M121" i="43" s="1"/>
  <c r="M186" i="43"/>
  <c r="M187" i="43" s="1"/>
  <c r="N75" i="43"/>
  <c r="N100" i="43"/>
  <c r="N47" i="43"/>
  <c r="N53" i="43"/>
  <c r="FF134" i="52" l="1"/>
  <c r="F251" i="52"/>
  <c r="F235" i="52"/>
  <c r="F240" i="52"/>
  <c r="F239" i="52"/>
  <c r="H196" i="52"/>
  <c r="F237" i="52" s="1"/>
  <c r="F238" i="52" s="1"/>
  <c r="FH197" i="52"/>
  <c r="FF134" i="53"/>
  <c r="FG134" i="53" s="1"/>
  <c r="BF215" i="53"/>
  <c r="CN217" i="53"/>
  <c r="CN171" i="53"/>
  <c r="CN219" i="53" s="1"/>
  <c r="H113" i="53"/>
  <c r="FH212" i="53"/>
  <c r="H212" i="53" s="1"/>
  <c r="FH124" i="53"/>
  <c r="E235" i="53"/>
  <c r="E251" i="53"/>
  <c r="F251" i="53"/>
  <c r="F235" i="53"/>
  <c r="FG197" i="53"/>
  <c r="FH197" i="53" s="1"/>
  <c r="H196" i="53"/>
  <c r="F237" i="53" s="1"/>
  <c r="BP218" i="53"/>
  <c r="BQ218" i="53" s="1"/>
  <c r="BR218" i="53" s="1"/>
  <c r="BS218" i="53" s="1"/>
  <c r="BT218" i="53" s="1"/>
  <c r="BU218" i="53" s="1"/>
  <c r="BV218" i="53" s="1"/>
  <c r="BW218" i="53" s="1"/>
  <c r="BX218" i="53" s="1"/>
  <c r="BY218" i="53" s="1"/>
  <c r="BZ218" i="53" s="1"/>
  <c r="CA218" i="53" s="1"/>
  <c r="CB218" i="53" s="1"/>
  <c r="CC218" i="53" s="1"/>
  <c r="CD218" i="53" s="1"/>
  <c r="CE218" i="53" s="1"/>
  <c r="CF218" i="53" s="1"/>
  <c r="CG218" i="53" s="1"/>
  <c r="CH218" i="53" s="1"/>
  <c r="CI218" i="53" s="1"/>
  <c r="CJ218" i="53" s="1"/>
  <c r="CK218" i="53" s="1"/>
  <c r="CL218" i="53" s="1"/>
  <c r="CM218" i="53" s="1"/>
  <c r="CN218" i="53" s="1"/>
  <c r="CO218" i="53" s="1"/>
  <c r="CP218" i="53" s="1"/>
  <c r="CQ218" i="53" s="1"/>
  <c r="CR218" i="53" s="1"/>
  <c r="CS218" i="53" s="1"/>
  <c r="CT218" i="53" s="1"/>
  <c r="CU218" i="53" s="1"/>
  <c r="CV218" i="53" s="1"/>
  <c r="CW218" i="53" s="1"/>
  <c r="CX218" i="53" s="1"/>
  <c r="CY218" i="53" s="1"/>
  <c r="CZ218" i="53" s="1"/>
  <c r="DA218" i="53" s="1"/>
  <c r="DB218" i="53" s="1"/>
  <c r="DC218" i="53" s="1"/>
  <c r="DD218" i="53" s="1"/>
  <c r="DE218" i="53" s="1"/>
  <c r="DF218" i="53" s="1"/>
  <c r="DG218" i="53" s="1"/>
  <c r="DH218" i="53" s="1"/>
  <c r="DI218" i="53" s="1"/>
  <c r="DJ218" i="53" s="1"/>
  <c r="DK218" i="53" s="1"/>
  <c r="DL218" i="53" s="1"/>
  <c r="DM218" i="53" s="1"/>
  <c r="DN218" i="53" s="1"/>
  <c r="DO218" i="53" s="1"/>
  <c r="DP218" i="53" s="1"/>
  <c r="DQ218" i="53" s="1"/>
  <c r="DR218" i="53" s="1"/>
  <c r="DS218" i="53" s="1"/>
  <c r="DT218" i="53" s="1"/>
  <c r="DU218" i="53" s="1"/>
  <c r="DV218" i="53" s="1"/>
  <c r="DW218" i="53" s="1"/>
  <c r="DX218" i="53" s="1"/>
  <c r="DY218" i="53" s="1"/>
  <c r="DZ218" i="53" s="1"/>
  <c r="EA218" i="53" s="1"/>
  <c r="EB218" i="53" s="1"/>
  <c r="EC218" i="53" s="1"/>
  <c r="ED218" i="53" s="1"/>
  <c r="EE218" i="53" s="1"/>
  <c r="EF218" i="53" s="1"/>
  <c r="EG218" i="53" s="1"/>
  <c r="EH218" i="53" s="1"/>
  <c r="EI218" i="53" s="1"/>
  <c r="EJ218" i="53" s="1"/>
  <c r="EK218" i="53" s="1"/>
  <c r="EL218" i="53" s="1"/>
  <c r="EM218" i="53" s="1"/>
  <c r="EN218" i="53" s="1"/>
  <c r="EO218" i="53" s="1"/>
  <c r="EP218" i="53" s="1"/>
  <c r="EQ218" i="53" s="1"/>
  <c r="ER218" i="53" s="1"/>
  <c r="ES218" i="53" s="1"/>
  <c r="ET218" i="53" s="1"/>
  <c r="EU218" i="53" s="1"/>
  <c r="EV218" i="53" s="1"/>
  <c r="EW218" i="53" s="1"/>
  <c r="EX218" i="53" s="1"/>
  <c r="EY218" i="53" s="1"/>
  <c r="EZ218" i="53" s="1"/>
  <c r="FA218" i="53" s="1"/>
  <c r="FB218" i="53" s="1"/>
  <c r="BP220" i="53"/>
  <c r="BQ220" i="53" s="1"/>
  <c r="BR220" i="53" s="1"/>
  <c r="BS220" i="53" s="1"/>
  <c r="BT220" i="53" s="1"/>
  <c r="BU220" i="53" s="1"/>
  <c r="BV220" i="53" s="1"/>
  <c r="BW220" i="53" s="1"/>
  <c r="BX220" i="53" s="1"/>
  <c r="BY220" i="53" s="1"/>
  <c r="BZ220" i="53" s="1"/>
  <c r="CA220" i="53" s="1"/>
  <c r="CB220" i="53" s="1"/>
  <c r="CC220" i="53" s="1"/>
  <c r="CD220" i="53" s="1"/>
  <c r="CE220" i="53" s="1"/>
  <c r="CF220" i="53" s="1"/>
  <c r="CG220" i="53" s="1"/>
  <c r="CH220" i="53" s="1"/>
  <c r="CI220" i="53" s="1"/>
  <c r="CJ220" i="53" s="1"/>
  <c r="CK220" i="53" s="1"/>
  <c r="CL220" i="53" s="1"/>
  <c r="CM220" i="53" s="1"/>
  <c r="FG214" i="53"/>
  <c r="CN170" i="53"/>
  <c r="CO170" i="53" s="1"/>
  <c r="CP170" i="53" s="1"/>
  <c r="CQ170" i="53" s="1"/>
  <c r="CR170" i="53" s="1"/>
  <c r="CS170" i="53" s="1"/>
  <c r="CT170" i="53" s="1"/>
  <c r="CU170" i="53" s="1"/>
  <c r="CV170" i="53" s="1"/>
  <c r="CW170" i="53" s="1"/>
  <c r="CX170" i="53" s="1"/>
  <c r="CY170" i="53" s="1"/>
  <c r="CZ170" i="53" s="1"/>
  <c r="DA170" i="53" s="1"/>
  <c r="DB170" i="53" s="1"/>
  <c r="DC170" i="53" s="1"/>
  <c r="DD170" i="53" s="1"/>
  <c r="DE170" i="53" s="1"/>
  <c r="DF170" i="53" s="1"/>
  <c r="DG170" i="53" s="1"/>
  <c r="DH170" i="53" s="1"/>
  <c r="DI170" i="53" s="1"/>
  <c r="DJ170" i="53" s="1"/>
  <c r="DK170" i="53" s="1"/>
  <c r="DL170" i="53" s="1"/>
  <c r="DM170" i="53" s="1"/>
  <c r="DN170" i="53" s="1"/>
  <c r="DO170" i="53" s="1"/>
  <c r="DP170" i="53" s="1"/>
  <c r="DQ170" i="53" s="1"/>
  <c r="DR170" i="53" s="1"/>
  <c r="DS170" i="53" s="1"/>
  <c r="DT170" i="53" s="1"/>
  <c r="DU170" i="53" s="1"/>
  <c r="DV170" i="53" s="1"/>
  <c r="DW170" i="53" s="1"/>
  <c r="DX170" i="53" s="1"/>
  <c r="DY170" i="53" s="1"/>
  <c r="DZ170" i="53" s="1"/>
  <c r="EA170" i="53" s="1"/>
  <c r="EB170" i="53" s="1"/>
  <c r="EC170" i="53" s="1"/>
  <c r="ED170" i="53" s="1"/>
  <c r="EE170" i="53" s="1"/>
  <c r="EF170" i="53" s="1"/>
  <c r="EG170" i="53" s="1"/>
  <c r="EH170" i="53" s="1"/>
  <c r="EI170" i="53" s="1"/>
  <c r="EJ170" i="53" s="1"/>
  <c r="EK170" i="53" s="1"/>
  <c r="EL170" i="53" s="1"/>
  <c r="EM170" i="53" s="1"/>
  <c r="EN170" i="53" s="1"/>
  <c r="EO170" i="53" s="1"/>
  <c r="EP170" i="53" s="1"/>
  <c r="EQ170" i="53" s="1"/>
  <c r="ER170" i="53" s="1"/>
  <c r="ES170" i="53" s="1"/>
  <c r="ET170" i="53" s="1"/>
  <c r="EU170" i="53" s="1"/>
  <c r="EV170" i="53" s="1"/>
  <c r="EW170" i="53" s="1"/>
  <c r="EX170" i="53" s="1"/>
  <c r="EY170" i="53" s="1"/>
  <c r="EZ170" i="53" s="1"/>
  <c r="FA170" i="53" s="1"/>
  <c r="FB170" i="53" s="1"/>
  <c r="FC170" i="53" s="1"/>
  <c r="FD170" i="53" s="1"/>
  <c r="FE170" i="53" s="1"/>
  <c r="CE161" i="53"/>
  <c r="CF161" i="53" s="1"/>
  <c r="CG161" i="53" s="1"/>
  <c r="CH161" i="53" s="1"/>
  <c r="CI161" i="53" s="1"/>
  <c r="CJ161" i="53" s="1"/>
  <c r="CK161" i="53" s="1"/>
  <c r="CL161" i="53" s="1"/>
  <c r="CM161" i="53" s="1"/>
  <c r="CN161" i="53" s="1"/>
  <c r="CO161" i="53" s="1"/>
  <c r="CP161" i="53" s="1"/>
  <c r="CQ161" i="53" s="1"/>
  <c r="CR161" i="53" s="1"/>
  <c r="CS161" i="53" s="1"/>
  <c r="CT161" i="53" s="1"/>
  <c r="CU161" i="53" s="1"/>
  <c r="CV161" i="53" s="1"/>
  <c r="CW161" i="53" s="1"/>
  <c r="CX161" i="53" s="1"/>
  <c r="CY161" i="53" s="1"/>
  <c r="CZ161" i="53" s="1"/>
  <c r="DA161" i="53" s="1"/>
  <c r="DB161" i="53" s="1"/>
  <c r="DC161" i="53" s="1"/>
  <c r="DD161" i="53" s="1"/>
  <c r="DE161" i="53" s="1"/>
  <c r="DF161" i="53" s="1"/>
  <c r="DG161" i="53" s="1"/>
  <c r="DH161" i="53" s="1"/>
  <c r="DI161" i="53" s="1"/>
  <c r="DJ161" i="53" s="1"/>
  <c r="DK161" i="53" s="1"/>
  <c r="DL161" i="53" s="1"/>
  <c r="DM161" i="53" s="1"/>
  <c r="DN161" i="53" s="1"/>
  <c r="DO161" i="53" s="1"/>
  <c r="DP161" i="53" s="1"/>
  <c r="DQ161" i="53" s="1"/>
  <c r="DR161" i="53" s="1"/>
  <c r="DS161" i="53" s="1"/>
  <c r="DT161" i="53" s="1"/>
  <c r="DU161" i="53" s="1"/>
  <c r="DV161" i="53" s="1"/>
  <c r="DW161" i="53" s="1"/>
  <c r="DX161" i="53" s="1"/>
  <c r="DY161" i="53" s="1"/>
  <c r="DZ161" i="53" s="1"/>
  <c r="EA161" i="53" s="1"/>
  <c r="EB161" i="53" s="1"/>
  <c r="EC161" i="53" s="1"/>
  <c r="ED161" i="53" s="1"/>
  <c r="EE161" i="53" s="1"/>
  <c r="EF161" i="53" s="1"/>
  <c r="EG161" i="53" s="1"/>
  <c r="EH161" i="53" s="1"/>
  <c r="EI161" i="53" s="1"/>
  <c r="EJ161" i="53" s="1"/>
  <c r="EK161" i="53" s="1"/>
  <c r="EL161" i="53" s="1"/>
  <c r="EM161" i="53" s="1"/>
  <c r="EN161" i="53" s="1"/>
  <c r="EO161" i="53" s="1"/>
  <c r="EP161" i="53" s="1"/>
  <c r="EQ161" i="53" s="1"/>
  <c r="ER161" i="53" s="1"/>
  <c r="ES161" i="53" s="1"/>
  <c r="ET161" i="53" s="1"/>
  <c r="EU161" i="53" s="1"/>
  <c r="EV161" i="53" s="1"/>
  <c r="EW161" i="53" s="1"/>
  <c r="EX161" i="53" s="1"/>
  <c r="EY161" i="53" s="1"/>
  <c r="EZ161" i="53" s="1"/>
  <c r="FA161" i="53" s="1"/>
  <c r="FB161" i="53" s="1"/>
  <c r="FC161" i="53" s="1"/>
  <c r="FD161" i="53" s="1"/>
  <c r="FE161" i="53" s="1"/>
  <c r="FF161" i="53" s="1"/>
  <c r="FG161" i="53" s="1"/>
  <c r="BG125" i="53"/>
  <c r="BH125" i="53" s="1"/>
  <c r="BI125" i="53" s="1"/>
  <c r="BJ125" i="53" s="1"/>
  <c r="BK125" i="53" s="1"/>
  <c r="BL125" i="53" s="1"/>
  <c r="BM125" i="53" s="1"/>
  <c r="BN125" i="53" s="1"/>
  <c r="BO125" i="53" s="1"/>
  <c r="BP125" i="53" s="1"/>
  <c r="BQ125" i="53" s="1"/>
  <c r="BR125" i="53" s="1"/>
  <c r="BS125" i="53" s="1"/>
  <c r="BT125" i="53" s="1"/>
  <c r="BU125" i="53" s="1"/>
  <c r="BV125" i="53" s="1"/>
  <c r="BW125" i="53" s="1"/>
  <c r="BX125" i="53" s="1"/>
  <c r="BY125" i="53" s="1"/>
  <c r="BZ125" i="53" s="1"/>
  <c r="CA125" i="53" s="1"/>
  <c r="CB125" i="53" s="1"/>
  <c r="CC125" i="53" s="1"/>
  <c r="CD125" i="53" s="1"/>
  <c r="CE125" i="53" s="1"/>
  <c r="CF125" i="53" s="1"/>
  <c r="CG125" i="53" s="1"/>
  <c r="CH125" i="53" s="1"/>
  <c r="CI125" i="53" s="1"/>
  <c r="CJ125" i="53" s="1"/>
  <c r="CK125" i="53" s="1"/>
  <c r="CL125" i="53" s="1"/>
  <c r="CM125" i="53" s="1"/>
  <c r="CN125" i="53" s="1"/>
  <c r="CO125" i="53" s="1"/>
  <c r="CP125" i="53" s="1"/>
  <c r="CQ125" i="53" s="1"/>
  <c r="CR125" i="53" s="1"/>
  <c r="CS125" i="53" s="1"/>
  <c r="CT125" i="53" s="1"/>
  <c r="CU125" i="53" s="1"/>
  <c r="CV125" i="53" s="1"/>
  <c r="CW125" i="53" s="1"/>
  <c r="CX125" i="53" s="1"/>
  <c r="CY125" i="53" s="1"/>
  <c r="CZ125" i="53" s="1"/>
  <c r="DA125" i="53" s="1"/>
  <c r="DB125" i="53" s="1"/>
  <c r="DC125" i="53" s="1"/>
  <c r="DD125" i="53" s="1"/>
  <c r="DE125" i="53" s="1"/>
  <c r="DF125" i="53" s="1"/>
  <c r="DG125" i="53" s="1"/>
  <c r="DH125" i="53" s="1"/>
  <c r="DI125" i="53" s="1"/>
  <c r="DJ125" i="53" s="1"/>
  <c r="DK125" i="53" s="1"/>
  <c r="DL125" i="53" s="1"/>
  <c r="DM125" i="53" s="1"/>
  <c r="DN125" i="53" s="1"/>
  <c r="DO125" i="53" s="1"/>
  <c r="DP125" i="53" s="1"/>
  <c r="DQ125" i="53" s="1"/>
  <c r="DR125" i="53" s="1"/>
  <c r="DS125" i="53" s="1"/>
  <c r="DT125" i="53" s="1"/>
  <c r="DU125" i="53" s="1"/>
  <c r="DV125" i="53" s="1"/>
  <c r="DW125" i="53" s="1"/>
  <c r="DX125" i="53" s="1"/>
  <c r="DY125" i="53" s="1"/>
  <c r="DZ125" i="53" s="1"/>
  <c r="EA125" i="53" s="1"/>
  <c r="EB125" i="53" s="1"/>
  <c r="EC125" i="53" s="1"/>
  <c r="ED125" i="53" s="1"/>
  <c r="EE125" i="53" s="1"/>
  <c r="EF125" i="53" s="1"/>
  <c r="EG125" i="53" s="1"/>
  <c r="EH125" i="53" s="1"/>
  <c r="EI125" i="53" s="1"/>
  <c r="EJ125" i="53" s="1"/>
  <c r="EK125" i="53" s="1"/>
  <c r="EL125" i="53" s="1"/>
  <c r="EM125" i="53" s="1"/>
  <c r="EN125" i="53" s="1"/>
  <c r="EO125" i="53" s="1"/>
  <c r="EP125" i="53" s="1"/>
  <c r="EQ125" i="53" s="1"/>
  <c r="ER125" i="53" s="1"/>
  <c r="ES125" i="53" s="1"/>
  <c r="ET125" i="53" s="1"/>
  <c r="EU125" i="53" s="1"/>
  <c r="EV125" i="53" s="1"/>
  <c r="EW125" i="53" s="1"/>
  <c r="EX125" i="53" s="1"/>
  <c r="EY125" i="53" s="1"/>
  <c r="EZ125" i="53" s="1"/>
  <c r="FA125" i="53" s="1"/>
  <c r="FB125" i="53" s="1"/>
  <c r="FC125" i="53" s="1"/>
  <c r="FD125" i="53" s="1"/>
  <c r="FE125" i="53" s="1"/>
  <c r="FF125" i="53" s="1"/>
  <c r="FG125" i="53" s="1"/>
  <c r="F240" i="53"/>
  <c r="F239" i="53"/>
  <c r="FG168" i="53"/>
  <c r="FH164" i="53" s="1"/>
  <c r="FG166" i="53"/>
  <c r="FF169" i="53"/>
  <c r="FE171" i="53"/>
  <c r="FE202" i="53"/>
  <c r="FE204" i="53"/>
  <c r="FF200" i="53" s="1"/>
  <c r="FD216" i="53"/>
  <c r="FD205" i="53"/>
  <c r="FC217" i="53"/>
  <c r="FC207" i="53"/>
  <c r="FB219" i="53"/>
  <c r="D262" i="53"/>
  <c r="D252" i="53"/>
  <c r="DG219" i="52"/>
  <c r="BK219" i="52"/>
  <c r="BK220" i="52" s="1"/>
  <c r="BL220" i="52" s="1"/>
  <c r="BM220" i="52" s="1"/>
  <c r="BN220" i="52" s="1"/>
  <c r="BO220" i="52" s="1"/>
  <c r="BP220" i="52" s="1"/>
  <c r="BQ220" i="52" s="1"/>
  <c r="BR220" i="52" s="1"/>
  <c r="BS220" i="52" s="1"/>
  <c r="BT220" i="52" s="1"/>
  <c r="BU220" i="52" s="1"/>
  <c r="BV220" i="52" s="1"/>
  <c r="BW220" i="52" s="1"/>
  <c r="BX220" i="52" s="1"/>
  <c r="BY220" i="52" s="1"/>
  <c r="BZ220" i="52" s="1"/>
  <c r="CA220" i="52" s="1"/>
  <c r="CB220" i="52" s="1"/>
  <c r="CC220" i="52" s="1"/>
  <c r="CD220" i="52" s="1"/>
  <c r="CE220" i="52" s="1"/>
  <c r="CF220" i="52" s="1"/>
  <c r="CG220" i="52" s="1"/>
  <c r="CH220" i="52" s="1"/>
  <c r="CI220" i="52" s="1"/>
  <c r="CJ220" i="52" s="1"/>
  <c r="CK220" i="52" s="1"/>
  <c r="CL220" i="52" s="1"/>
  <c r="CM220" i="52" s="1"/>
  <c r="CN220" i="52" s="1"/>
  <c r="CO220" i="52" s="1"/>
  <c r="CP220" i="52" s="1"/>
  <c r="CQ220" i="52" s="1"/>
  <c r="CR220" i="52" s="1"/>
  <c r="CS220" i="52" s="1"/>
  <c r="CT220" i="52" s="1"/>
  <c r="CU220" i="52" s="1"/>
  <c r="CV220" i="52" s="1"/>
  <c r="CW220" i="52" s="1"/>
  <c r="CX220" i="52" s="1"/>
  <c r="CY220" i="52" s="1"/>
  <c r="CZ220" i="52" s="1"/>
  <c r="DA220" i="52" s="1"/>
  <c r="DB220" i="52" s="1"/>
  <c r="DC220" i="52" s="1"/>
  <c r="DD220" i="52" s="1"/>
  <c r="DE220" i="52" s="1"/>
  <c r="DF220" i="52" s="1"/>
  <c r="BK218" i="52"/>
  <c r="BL218" i="52" s="1"/>
  <c r="BM218" i="52" s="1"/>
  <c r="BN218" i="52" s="1"/>
  <c r="BO218" i="52" s="1"/>
  <c r="BP218" i="52" s="1"/>
  <c r="BQ218" i="52" s="1"/>
  <c r="BR218" i="52" s="1"/>
  <c r="BS218" i="52" s="1"/>
  <c r="BT218" i="52" s="1"/>
  <c r="BU218" i="52" s="1"/>
  <c r="BV218" i="52" s="1"/>
  <c r="BW218" i="52" s="1"/>
  <c r="BX218" i="52" s="1"/>
  <c r="BY218" i="52" s="1"/>
  <c r="BZ218" i="52" s="1"/>
  <c r="CA218" i="52" s="1"/>
  <c r="CB218" i="52" s="1"/>
  <c r="CC218" i="52" s="1"/>
  <c r="CD218" i="52" s="1"/>
  <c r="CE218" i="52" s="1"/>
  <c r="CF218" i="52" s="1"/>
  <c r="CG218" i="52" s="1"/>
  <c r="CH218" i="52" s="1"/>
  <c r="CI218" i="52" s="1"/>
  <c r="CJ218" i="52" s="1"/>
  <c r="CK218" i="52" s="1"/>
  <c r="CL218" i="52" s="1"/>
  <c r="CM218" i="52" s="1"/>
  <c r="CN218" i="52" s="1"/>
  <c r="CO218" i="52" s="1"/>
  <c r="CP218" i="52" s="1"/>
  <c r="CQ218" i="52" s="1"/>
  <c r="CR218" i="52" s="1"/>
  <c r="CS218" i="52" s="1"/>
  <c r="CT218" i="52" s="1"/>
  <c r="CU218" i="52" s="1"/>
  <c r="CV218" i="52" s="1"/>
  <c r="CW218" i="52" s="1"/>
  <c r="CX218" i="52" s="1"/>
  <c r="CY218" i="52" s="1"/>
  <c r="CZ218" i="52" s="1"/>
  <c r="DA218" i="52" s="1"/>
  <c r="DB218" i="52" s="1"/>
  <c r="DC218" i="52" s="1"/>
  <c r="DD218" i="52" s="1"/>
  <c r="DE218" i="52" s="1"/>
  <c r="DF218" i="52" s="1"/>
  <c r="DG218" i="52" s="1"/>
  <c r="DH218" i="52" s="1"/>
  <c r="DI218" i="52" s="1"/>
  <c r="DJ218" i="52" s="1"/>
  <c r="DK218" i="52" s="1"/>
  <c r="DL218" i="52" s="1"/>
  <c r="DM218" i="52" s="1"/>
  <c r="DN218" i="52" s="1"/>
  <c r="DO218" i="52" s="1"/>
  <c r="DP218" i="52" s="1"/>
  <c r="DQ218" i="52" s="1"/>
  <c r="DR218" i="52" s="1"/>
  <c r="DS218" i="52" s="1"/>
  <c r="DT218" i="52" s="1"/>
  <c r="DU218" i="52" s="1"/>
  <c r="DV218" i="52" s="1"/>
  <c r="DW218" i="52" s="1"/>
  <c r="DX218" i="52" s="1"/>
  <c r="DY218" i="52" s="1"/>
  <c r="DZ218" i="52" s="1"/>
  <c r="EA218" i="52" s="1"/>
  <c r="EB218" i="52" s="1"/>
  <c r="EC218" i="52" s="1"/>
  <c r="ED218" i="52" s="1"/>
  <c r="EE218" i="52" s="1"/>
  <c r="EF218" i="52" s="1"/>
  <c r="EG218" i="52" s="1"/>
  <c r="EH218" i="52" s="1"/>
  <c r="EI218" i="52" s="1"/>
  <c r="EJ218" i="52" s="1"/>
  <c r="EK218" i="52" s="1"/>
  <c r="EL218" i="52" s="1"/>
  <c r="EM218" i="52" s="1"/>
  <c r="EN218" i="52" s="1"/>
  <c r="EO218" i="52" s="1"/>
  <c r="EP218" i="52" s="1"/>
  <c r="EQ218" i="52" s="1"/>
  <c r="ER218" i="52" s="1"/>
  <c r="ES218" i="52" s="1"/>
  <c r="ET218" i="52" s="1"/>
  <c r="EU218" i="52" s="1"/>
  <c r="EV218" i="52" s="1"/>
  <c r="EW218" i="52" s="1"/>
  <c r="EX218" i="52" s="1"/>
  <c r="EY218" i="52" s="1"/>
  <c r="EZ218" i="52" s="1"/>
  <c r="FA218" i="52" s="1"/>
  <c r="FB218" i="52" s="1"/>
  <c r="FC218" i="52" s="1"/>
  <c r="E235" i="52"/>
  <c r="E251" i="52"/>
  <c r="FH169" i="52"/>
  <c r="H160" i="52"/>
  <c r="E237" i="52" s="1"/>
  <c r="FH161" i="52"/>
  <c r="E243" i="52" s="1"/>
  <c r="E240" i="52"/>
  <c r="E239" i="52"/>
  <c r="FH132" i="52"/>
  <c r="FH130" i="52"/>
  <c r="FG133" i="52"/>
  <c r="FF135" i="52"/>
  <c r="FF204" i="52"/>
  <c r="FG200" i="52" s="1"/>
  <c r="FF202" i="52"/>
  <c r="FE216" i="52"/>
  <c r="FE205" i="52"/>
  <c r="FD217" i="52"/>
  <c r="FD207" i="52"/>
  <c r="FH125" i="52"/>
  <c r="D243" i="52" s="1"/>
  <c r="H124" i="52"/>
  <c r="D237" i="52" s="1"/>
  <c r="FH214" i="52"/>
  <c r="D239" i="52"/>
  <c r="D240" i="52"/>
  <c r="D251" i="52"/>
  <c r="D235" i="52"/>
  <c r="G251" i="52"/>
  <c r="G235" i="52"/>
  <c r="FD206" i="52"/>
  <c r="M188" i="43"/>
  <c r="M189" i="43"/>
  <c r="M190" i="43" s="1"/>
  <c r="N78" i="43"/>
  <c r="N89" i="43"/>
  <c r="O42" i="43"/>
  <c r="N182" i="43"/>
  <c r="N54" i="43"/>
  <c r="N108" i="43"/>
  <c r="N106" i="43" s="1"/>
  <c r="DG220" i="52" l="1"/>
  <c r="DH220" i="52" s="1"/>
  <c r="DI220" i="52" s="1"/>
  <c r="DJ220" i="52" s="1"/>
  <c r="DK220" i="52" s="1"/>
  <c r="DL220" i="52" s="1"/>
  <c r="DM220" i="52" s="1"/>
  <c r="DN220" i="52" s="1"/>
  <c r="DO220" i="52" s="1"/>
  <c r="DP220" i="52" s="1"/>
  <c r="DQ220" i="52" s="1"/>
  <c r="DR220" i="52" s="1"/>
  <c r="DS220" i="52" s="1"/>
  <c r="DT220" i="52" s="1"/>
  <c r="DU220" i="52" s="1"/>
  <c r="DV220" i="52" s="1"/>
  <c r="DW220" i="52" s="1"/>
  <c r="DX220" i="52" s="1"/>
  <c r="DY220" i="52" s="1"/>
  <c r="DZ220" i="52" s="1"/>
  <c r="EA220" i="52" s="1"/>
  <c r="EB220" i="52" s="1"/>
  <c r="EC220" i="52" s="1"/>
  <c r="ED220" i="52" s="1"/>
  <c r="EE220" i="52" s="1"/>
  <c r="EF220" i="52" s="1"/>
  <c r="EG220" i="52" s="1"/>
  <c r="EH220" i="52" s="1"/>
  <c r="EI220" i="52" s="1"/>
  <c r="EJ220" i="52" s="1"/>
  <c r="EK220" i="52" s="1"/>
  <c r="EL220" i="52" s="1"/>
  <c r="EM220" i="52" s="1"/>
  <c r="EN220" i="52" s="1"/>
  <c r="EO220" i="52" s="1"/>
  <c r="EP220" i="52" s="1"/>
  <c r="EQ220" i="52" s="1"/>
  <c r="ER220" i="52" s="1"/>
  <c r="ES220" i="52" s="1"/>
  <c r="ET220" i="52" s="1"/>
  <c r="EU220" i="52" s="1"/>
  <c r="EV220" i="52" s="1"/>
  <c r="EW220" i="52" s="1"/>
  <c r="EX220" i="52" s="1"/>
  <c r="EY220" i="52" s="1"/>
  <c r="EZ220" i="52" s="1"/>
  <c r="FA220" i="52" s="1"/>
  <c r="FB220" i="52" s="1"/>
  <c r="FC220" i="52" s="1"/>
  <c r="F241" i="52"/>
  <c r="F244" i="52" s="1"/>
  <c r="F242" i="52"/>
  <c r="FF170" i="53"/>
  <c r="D251" i="53"/>
  <c r="D235" i="53"/>
  <c r="G251" i="53"/>
  <c r="G235" i="53"/>
  <c r="FH125" i="53"/>
  <c r="D243" i="53" s="1"/>
  <c r="FH133" i="53"/>
  <c r="D240" i="53"/>
  <c r="H124" i="53"/>
  <c r="D237" i="53" s="1"/>
  <c r="D238" i="53" s="1"/>
  <c r="D239" i="53"/>
  <c r="FH214" i="53"/>
  <c r="F242" i="53"/>
  <c r="F241" i="53"/>
  <c r="F244" i="53" s="1"/>
  <c r="F238" i="53"/>
  <c r="X228" i="53" a="1"/>
  <c r="H214" i="53"/>
  <c r="G237" i="53" s="1"/>
  <c r="G238" i="53" s="1"/>
  <c r="P228" i="53" a="1"/>
  <c r="V228" i="53" a="1"/>
  <c r="I228" i="53" a="1"/>
  <c r="U228" i="53" a="1"/>
  <c r="O228" i="53" a="1"/>
  <c r="N228" i="53" a="1"/>
  <c r="AA228" i="53" a="1"/>
  <c r="Y228" i="53" a="1"/>
  <c r="M228" i="53" a="1"/>
  <c r="G240" i="53"/>
  <c r="G239" i="53"/>
  <c r="W228" i="53" a="1"/>
  <c r="Q228" i="53" a="1"/>
  <c r="S228" i="53" a="1"/>
  <c r="AB228" i="53" a="1"/>
  <c r="J228" i="53" a="1"/>
  <c r="R228" i="53" a="1"/>
  <c r="T228" i="53" a="1"/>
  <c r="Z228" i="53" a="1"/>
  <c r="CN220" i="53"/>
  <c r="CO220" i="53" s="1"/>
  <c r="CP220" i="53" s="1"/>
  <c r="CQ220" i="53" s="1"/>
  <c r="CR220" i="53" s="1"/>
  <c r="CS220" i="53" s="1"/>
  <c r="CT220" i="53" s="1"/>
  <c r="CU220" i="53" s="1"/>
  <c r="CV220" i="53" s="1"/>
  <c r="CW220" i="53" s="1"/>
  <c r="CX220" i="53" s="1"/>
  <c r="CY220" i="53" s="1"/>
  <c r="CZ220" i="53" s="1"/>
  <c r="DA220" i="53" s="1"/>
  <c r="DB220" i="53" s="1"/>
  <c r="DC220" i="53" s="1"/>
  <c r="DD220" i="53" s="1"/>
  <c r="DE220" i="53" s="1"/>
  <c r="DF220" i="53" s="1"/>
  <c r="DG220" i="53" s="1"/>
  <c r="DH220" i="53" s="1"/>
  <c r="DI220" i="53" s="1"/>
  <c r="DJ220" i="53" s="1"/>
  <c r="DK220" i="53" s="1"/>
  <c r="DL220" i="53" s="1"/>
  <c r="DM220" i="53" s="1"/>
  <c r="DN220" i="53" s="1"/>
  <c r="DO220" i="53" s="1"/>
  <c r="DP220" i="53" s="1"/>
  <c r="DQ220" i="53" s="1"/>
  <c r="DR220" i="53" s="1"/>
  <c r="DS220" i="53" s="1"/>
  <c r="DT220" i="53" s="1"/>
  <c r="DU220" i="53" s="1"/>
  <c r="DV220" i="53" s="1"/>
  <c r="DW220" i="53" s="1"/>
  <c r="DX220" i="53" s="1"/>
  <c r="DY220" i="53" s="1"/>
  <c r="DZ220" i="53" s="1"/>
  <c r="EA220" i="53" s="1"/>
  <c r="EB220" i="53" s="1"/>
  <c r="EC220" i="53" s="1"/>
  <c r="ED220" i="53" s="1"/>
  <c r="EE220" i="53" s="1"/>
  <c r="EF220" i="53" s="1"/>
  <c r="EG220" i="53" s="1"/>
  <c r="EH220" i="53" s="1"/>
  <c r="EI220" i="53" s="1"/>
  <c r="EJ220" i="53" s="1"/>
  <c r="EK220" i="53" s="1"/>
  <c r="EL220" i="53" s="1"/>
  <c r="EM220" i="53" s="1"/>
  <c r="EN220" i="53" s="1"/>
  <c r="EO220" i="53" s="1"/>
  <c r="EP220" i="53" s="1"/>
  <c r="EQ220" i="53" s="1"/>
  <c r="ER220" i="53" s="1"/>
  <c r="ES220" i="53" s="1"/>
  <c r="ET220" i="53" s="1"/>
  <c r="EU220" i="53" s="1"/>
  <c r="EV220" i="53" s="1"/>
  <c r="EW220" i="53" s="1"/>
  <c r="EX220" i="53" s="1"/>
  <c r="EY220" i="53" s="1"/>
  <c r="EZ220" i="53" s="1"/>
  <c r="FA220" i="53" s="1"/>
  <c r="FB220" i="53" s="1"/>
  <c r="BG215" i="53"/>
  <c r="FH161" i="53"/>
  <c r="E243" i="53" s="1"/>
  <c r="E241" i="53"/>
  <c r="E244" i="53" s="1"/>
  <c r="E242" i="53"/>
  <c r="FH168" i="53"/>
  <c r="FH166" i="53"/>
  <c r="FG169" i="53"/>
  <c r="FF171" i="53"/>
  <c r="FE216" i="53"/>
  <c r="FE205" i="53"/>
  <c r="FF204" i="53"/>
  <c r="FG200" i="53" s="1"/>
  <c r="FF202" i="53"/>
  <c r="FD217" i="53"/>
  <c r="FD206" i="53"/>
  <c r="FD207" i="53"/>
  <c r="FC218" i="53"/>
  <c r="FC219" i="53"/>
  <c r="FD218" i="52"/>
  <c r="FH171" i="52"/>
  <c r="E259" i="52" s="1"/>
  <c r="H169" i="52"/>
  <c r="E253" i="52" s="1"/>
  <c r="FH170" i="52"/>
  <c r="E255" i="52"/>
  <c r="E256" i="52"/>
  <c r="E238" i="52"/>
  <c r="E242" i="52"/>
  <c r="E241" i="52"/>
  <c r="E244" i="52" s="1"/>
  <c r="FH133" i="52"/>
  <c r="H130" i="52"/>
  <c r="FG134" i="52"/>
  <c r="FG135" i="52"/>
  <c r="FG204" i="52"/>
  <c r="FH200" i="52" s="1"/>
  <c r="FG202" i="52"/>
  <c r="FF216" i="52"/>
  <c r="FF205" i="52"/>
  <c r="FE217" i="52"/>
  <c r="FE207" i="52"/>
  <c r="D242" i="52"/>
  <c r="D241" i="52"/>
  <c r="D244" i="52" s="1"/>
  <c r="D238" i="52"/>
  <c r="Q228" i="52" a="1"/>
  <c r="V228" i="52" a="1"/>
  <c r="R228" i="52" a="1"/>
  <c r="P228" i="52" a="1"/>
  <c r="W228" i="52" a="1"/>
  <c r="T228" i="52" a="1"/>
  <c r="U228" i="52" a="1"/>
  <c r="H214" i="52"/>
  <c r="G237" i="52" s="1"/>
  <c r="AB228" i="52" a="1"/>
  <c r="Z228" i="52" a="1"/>
  <c r="S228" i="52" a="1"/>
  <c r="X228" i="52" a="1"/>
  <c r="L228" i="52" a="1"/>
  <c r="M228" i="52" a="1"/>
  <c r="I228" i="52" a="1"/>
  <c r="J228" i="52" a="1"/>
  <c r="O228" i="52" a="1"/>
  <c r="Y228" i="52" a="1"/>
  <c r="N228" i="52" a="1"/>
  <c r="AA228" i="52" a="1"/>
  <c r="FH215" i="52"/>
  <c r="K228" i="52" a="1"/>
  <c r="G240" i="52"/>
  <c r="G239" i="52"/>
  <c r="FE206" i="52"/>
  <c r="FF206" i="52" s="1"/>
  <c r="FD219" i="52"/>
  <c r="O50" i="43"/>
  <c r="O52" i="43" s="1"/>
  <c r="N184" i="43"/>
  <c r="N185" i="43" s="1"/>
  <c r="N187" i="43" s="1"/>
  <c r="N97" i="43"/>
  <c r="N103" i="43" s="1"/>
  <c r="N79" i="43"/>
  <c r="N91" i="43"/>
  <c r="N90" i="43"/>
  <c r="O45" i="43"/>
  <c r="O44" i="43"/>
  <c r="L228" i="53" l="1" a="1"/>
  <c r="K228" i="53" a="1"/>
  <c r="H228" i="53" s="1"/>
  <c r="FD220" i="52"/>
  <c r="FE206" i="53"/>
  <c r="FD218" i="53"/>
  <c r="D242" i="53"/>
  <c r="D241" i="53"/>
  <c r="D244" i="53" s="1"/>
  <c r="FH135" i="53"/>
  <c r="FH134" i="53"/>
  <c r="D255" i="53"/>
  <c r="D256" i="53"/>
  <c r="H133" i="53"/>
  <c r="D253" i="53" s="1"/>
  <c r="BH215" i="53"/>
  <c r="FC220" i="53"/>
  <c r="H166" i="53"/>
  <c r="FH169" i="53"/>
  <c r="FG170" i="53"/>
  <c r="FH170" i="53" s="1"/>
  <c r="FG171" i="53"/>
  <c r="FE217" i="53"/>
  <c r="FE207" i="53"/>
  <c r="FG204" i="53"/>
  <c r="FH200" i="53" s="1"/>
  <c r="FG202" i="53"/>
  <c r="FF216" i="53"/>
  <c r="FF205" i="53"/>
  <c r="FD219" i="53"/>
  <c r="O225" i="52" a="1"/>
  <c r="X225" i="52" a="1"/>
  <c r="W225" i="52" a="1"/>
  <c r="R225" i="52" a="1"/>
  <c r="V225" i="52" a="1"/>
  <c r="T225" i="52" a="1"/>
  <c r="N225" i="52" a="1"/>
  <c r="J225" i="52" a="1"/>
  <c r="Z225" i="52" a="1"/>
  <c r="I225" i="52" a="1"/>
  <c r="U225" i="52" a="1"/>
  <c r="S225" i="52" a="1"/>
  <c r="AB225" i="52" a="1"/>
  <c r="M225" i="52" a="1"/>
  <c r="Q225" i="52" a="1"/>
  <c r="AA225" i="52" a="1"/>
  <c r="L225" i="52" a="1"/>
  <c r="P225" i="52" a="1"/>
  <c r="K225" i="52" a="1"/>
  <c r="Y225" i="52" a="1"/>
  <c r="H171" i="52"/>
  <c r="E254" i="52"/>
  <c r="E257" i="52"/>
  <c r="E258" i="52"/>
  <c r="FH135" i="52"/>
  <c r="H133" i="52"/>
  <c r="D253" i="52" s="1"/>
  <c r="D255" i="52"/>
  <c r="D256" i="52"/>
  <c r="D252" i="52"/>
  <c r="D262" i="52"/>
  <c r="FH204" i="52"/>
  <c r="D268" i="52" s="1"/>
  <c r="FH202" i="52"/>
  <c r="FG216" i="52"/>
  <c r="FG205" i="52"/>
  <c r="FF217" i="52"/>
  <c r="FF207" i="52"/>
  <c r="FE218" i="52"/>
  <c r="FF218" i="52" s="1"/>
  <c r="FE219" i="52"/>
  <c r="G238" i="52"/>
  <c r="G241" i="52"/>
  <c r="G244" i="52" s="1"/>
  <c r="G242" i="52"/>
  <c r="H228" i="52"/>
  <c r="FH134" i="52"/>
  <c r="N92" i="43"/>
  <c r="N189" i="43"/>
  <c r="N190" i="43" s="1"/>
  <c r="N188" i="43"/>
  <c r="N93" i="43"/>
  <c r="N94" i="43"/>
  <c r="N112" i="43"/>
  <c r="N122" i="43"/>
  <c r="N123" i="43"/>
  <c r="O46" i="43"/>
  <c r="O73" i="43"/>
  <c r="Y224" i="52" l="1" a="1"/>
  <c r="D259" i="52"/>
  <c r="J22" i="54" a="1"/>
  <c r="K22" i="54" a="1"/>
  <c r="L22" i="54" a="1"/>
  <c r="M22" i="54" a="1"/>
  <c r="N22" i="54" a="1"/>
  <c r="O22" i="54" a="1"/>
  <c r="P22" i="54" a="1"/>
  <c r="Q22" i="54" a="1"/>
  <c r="R22" i="54" a="1"/>
  <c r="S22" i="54" a="1"/>
  <c r="T22" i="54" a="1"/>
  <c r="U22" i="54" a="1"/>
  <c r="V22" i="54" a="1"/>
  <c r="W22" i="54" a="1"/>
  <c r="X22" i="54" a="1"/>
  <c r="Y22" i="54" a="1"/>
  <c r="Z22" i="54" a="1"/>
  <c r="AA22" i="54" a="1"/>
  <c r="AB22" i="54" a="1"/>
  <c r="AC22" i="54" a="1"/>
  <c r="R224" i="52" a="1"/>
  <c r="I224" i="52" a="1"/>
  <c r="T224" i="52" a="1"/>
  <c r="K224" i="52" a="1"/>
  <c r="O224" i="52" a="1"/>
  <c r="AB224" i="52" a="1"/>
  <c r="L224" i="52" a="1"/>
  <c r="V224" i="52" a="1"/>
  <c r="S224" i="52" a="1"/>
  <c r="U224" i="52" a="1"/>
  <c r="N224" i="52" a="1"/>
  <c r="Z224" i="52" a="1"/>
  <c r="M224" i="52" a="1"/>
  <c r="P224" i="52" a="1"/>
  <c r="FD220" i="53"/>
  <c r="BI215" i="53"/>
  <c r="BJ215" i="53" s="1"/>
  <c r="BK215" i="53" s="1"/>
  <c r="BL215" i="53" s="1"/>
  <c r="BM215" i="53" s="1"/>
  <c r="BN215" i="53" s="1"/>
  <c r="BO215" i="53" s="1"/>
  <c r="BP215" i="53" s="1"/>
  <c r="BQ215" i="53" s="1"/>
  <c r="BR215" i="53" s="1"/>
  <c r="BS215" i="53" s="1"/>
  <c r="BT215" i="53" s="1"/>
  <c r="BU215" i="53" s="1"/>
  <c r="BV215" i="53" s="1"/>
  <c r="BW215" i="53" s="1"/>
  <c r="BX215" i="53" s="1"/>
  <c r="BY215" i="53" s="1"/>
  <c r="BZ215" i="53" s="1"/>
  <c r="CA215" i="53" s="1"/>
  <c r="CB215" i="53" s="1"/>
  <c r="CC215" i="53" s="1"/>
  <c r="CD215" i="53" s="1"/>
  <c r="CE215" i="53" s="1"/>
  <c r="CF215" i="53" s="1"/>
  <c r="CG215" i="53" s="1"/>
  <c r="CH215" i="53" s="1"/>
  <c r="CI215" i="53" s="1"/>
  <c r="CJ215" i="53" s="1"/>
  <c r="CK215" i="53" s="1"/>
  <c r="CL215" i="53" s="1"/>
  <c r="CM215" i="53" s="1"/>
  <c r="CN215" i="53" s="1"/>
  <c r="CO215" i="53" s="1"/>
  <c r="CP215" i="53" s="1"/>
  <c r="CQ215" i="53" s="1"/>
  <c r="CR215" i="53" s="1"/>
  <c r="CS215" i="53" s="1"/>
  <c r="CT215" i="53" s="1"/>
  <c r="CU215" i="53" s="1"/>
  <c r="CV215" i="53" s="1"/>
  <c r="CW215" i="53" s="1"/>
  <c r="CX215" i="53" s="1"/>
  <c r="CY215" i="53" s="1"/>
  <c r="CZ215" i="53" s="1"/>
  <c r="DA215" i="53" s="1"/>
  <c r="DB215" i="53" s="1"/>
  <c r="DC215" i="53" s="1"/>
  <c r="DD215" i="53" s="1"/>
  <c r="DE215" i="53" s="1"/>
  <c r="DF215" i="53" s="1"/>
  <c r="DG215" i="53" s="1"/>
  <c r="DH215" i="53" s="1"/>
  <c r="DI215" i="53" s="1"/>
  <c r="DJ215" i="53" s="1"/>
  <c r="DK215" i="53" s="1"/>
  <c r="DL215" i="53" s="1"/>
  <c r="DM215" i="53" s="1"/>
  <c r="DN215" i="53" s="1"/>
  <c r="DO215" i="53" s="1"/>
  <c r="DP215" i="53" s="1"/>
  <c r="DQ215" i="53" s="1"/>
  <c r="DR215" i="53" s="1"/>
  <c r="DS215" i="53" s="1"/>
  <c r="DT215" i="53" s="1"/>
  <c r="DU215" i="53" s="1"/>
  <c r="DV215" i="53" s="1"/>
  <c r="DW215" i="53" s="1"/>
  <c r="DX215" i="53" s="1"/>
  <c r="DY215" i="53" s="1"/>
  <c r="DZ215" i="53" s="1"/>
  <c r="EA215" i="53" s="1"/>
  <c r="EB215" i="53" s="1"/>
  <c r="EC215" i="53" s="1"/>
  <c r="ED215" i="53" s="1"/>
  <c r="EE215" i="53" s="1"/>
  <c r="EF215" i="53" s="1"/>
  <c r="EG215" i="53" s="1"/>
  <c r="EH215" i="53" s="1"/>
  <c r="EI215" i="53" s="1"/>
  <c r="EJ215" i="53" s="1"/>
  <c r="EK215" i="53" s="1"/>
  <c r="EL215" i="53" s="1"/>
  <c r="EM215" i="53" s="1"/>
  <c r="EN215" i="53" s="1"/>
  <c r="EO215" i="53" s="1"/>
  <c r="EP215" i="53" s="1"/>
  <c r="EQ215" i="53" s="1"/>
  <c r="ER215" i="53" s="1"/>
  <c r="ES215" i="53" s="1"/>
  <c r="ET215" i="53" s="1"/>
  <c r="EU215" i="53" s="1"/>
  <c r="EV215" i="53" s="1"/>
  <c r="EW215" i="53" s="1"/>
  <c r="EX215" i="53" s="1"/>
  <c r="EY215" i="53" s="1"/>
  <c r="EZ215" i="53" s="1"/>
  <c r="FA215" i="53" s="1"/>
  <c r="FB215" i="53" s="1"/>
  <c r="FC215" i="53" s="1"/>
  <c r="FD215" i="53" s="1"/>
  <c r="FE215" i="53" s="1"/>
  <c r="FF215" i="53" s="1"/>
  <c r="FG215" i="53" s="1"/>
  <c r="FH215" i="53" s="1"/>
  <c r="H135" i="53"/>
  <c r="O224" i="53" a="1"/>
  <c r="AA224" i="53" a="1"/>
  <c r="Z224" i="53" a="1"/>
  <c r="U224" i="53" a="1"/>
  <c r="Y224" i="53" a="1"/>
  <c r="J224" i="53" a="1"/>
  <c r="K224" i="53" a="1"/>
  <c r="V224" i="53" a="1"/>
  <c r="R224" i="53" a="1"/>
  <c r="S224" i="53" a="1"/>
  <c r="W224" i="53" a="1"/>
  <c r="AB224" i="53" a="1"/>
  <c r="I224" i="53" a="1"/>
  <c r="N224" i="53" a="1"/>
  <c r="P224" i="53" a="1"/>
  <c r="M224" i="53" a="1"/>
  <c r="T224" i="53" a="1"/>
  <c r="Q224" i="53" a="1"/>
  <c r="L224" i="53" a="1"/>
  <c r="X224" i="53" a="1"/>
  <c r="D258" i="53"/>
  <c r="D257" i="53"/>
  <c r="D254" i="53"/>
  <c r="E262" i="53"/>
  <c r="E252" i="53"/>
  <c r="H169" i="53"/>
  <c r="E253" i="53" s="1"/>
  <c r="FH171" i="53"/>
  <c r="E256" i="53"/>
  <c r="E255" i="53"/>
  <c r="E258" i="53"/>
  <c r="E257" i="53"/>
  <c r="K225" i="53" a="1"/>
  <c r="O225" i="53" a="1"/>
  <c r="J225" i="53" a="1"/>
  <c r="Y225" i="53" a="1"/>
  <c r="N225" i="53" a="1"/>
  <c r="AA225" i="53" a="1"/>
  <c r="W225" i="53" a="1"/>
  <c r="FE218" i="53"/>
  <c r="FE219" i="53"/>
  <c r="FH204" i="53"/>
  <c r="D268" i="53" s="1"/>
  <c r="FH202" i="53"/>
  <c r="H202" i="53" s="1"/>
  <c r="FG216" i="53"/>
  <c r="FG205" i="53"/>
  <c r="FF217" i="53"/>
  <c r="FF206" i="53"/>
  <c r="FF207" i="53"/>
  <c r="H225" i="52"/>
  <c r="H135" i="52"/>
  <c r="AA224" i="52" a="1"/>
  <c r="J224" i="52" a="1"/>
  <c r="W224" i="52" a="1"/>
  <c r="D254" i="52"/>
  <c r="H202" i="52"/>
  <c r="FH216" i="52"/>
  <c r="H216" i="52" s="1"/>
  <c r="FH205" i="52"/>
  <c r="FG206" i="52"/>
  <c r="FH206" i="52" s="1"/>
  <c r="H205" i="52"/>
  <c r="F253" i="52" s="1"/>
  <c r="FG217" i="52"/>
  <c r="FG207" i="52"/>
  <c r="FF219" i="52"/>
  <c r="FE220" i="52"/>
  <c r="D257" i="52"/>
  <c r="D258" i="52"/>
  <c r="E260" i="52"/>
  <c r="X224" i="52" a="1"/>
  <c r="Q224" i="52" a="1"/>
  <c r="N115" i="43"/>
  <c r="O114" i="43" s="1"/>
  <c r="N118" i="43"/>
  <c r="N113" i="43"/>
  <c r="N120" i="43"/>
  <c r="N121" i="43" s="1"/>
  <c r="O47" i="43"/>
  <c r="O53" i="43"/>
  <c r="O75" i="43"/>
  <c r="O100" i="43"/>
  <c r="U225" i="53" l="1" a="1"/>
  <c r="L225" i="53" a="1"/>
  <c r="R225" i="53" a="1"/>
  <c r="T225" i="53" a="1"/>
  <c r="M225" i="53" a="1"/>
  <c r="V225" i="53" a="1"/>
  <c r="I225" i="53" a="1"/>
  <c r="J78" i="54"/>
  <c r="G78" i="54"/>
  <c r="K78" i="54" s="1"/>
  <c r="D22" i="54" s="1"/>
  <c r="M78" i="54"/>
  <c r="C22" i="54"/>
  <c r="C78" i="54" s="1"/>
  <c r="L78" i="54"/>
  <c r="I22" i="54" a="1"/>
  <c r="F78" i="54" s="1"/>
  <c r="J53" i="54"/>
  <c r="K53" i="54" s="1"/>
  <c r="L53" i="54" s="1"/>
  <c r="M53" i="54" s="1"/>
  <c r="N53" i="54" s="1"/>
  <c r="O53" i="54" s="1"/>
  <c r="P53" i="54" s="1"/>
  <c r="Q53" i="54" s="1"/>
  <c r="R53" i="54" s="1"/>
  <c r="S53" i="54" s="1"/>
  <c r="T53" i="54" s="1"/>
  <c r="U53" i="54" s="1"/>
  <c r="V53" i="54" s="1"/>
  <c r="W53" i="54" s="1"/>
  <c r="X53" i="54" s="1"/>
  <c r="Y53" i="54" s="1"/>
  <c r="Z53" i="54" s="1"/>
  <c r="AA53" i="54" s="1"/>
  <c r="AB53" i="54" s="1"/>
  <c r="AC53" i="54" s="1"/>
  <c r="H78" i="54" s="1"/>
  <c r="N78" i="54"/>
  <c r="J20" i="54" a="1"/>
  <c r="K20" i="54" a="1"/>
  <c r="L20" i="54" a="1"/>
  <c r="M20" i="54" a="1"/>
  <c r="N20" i="54" a="1"/>
  <c r="O20" i="54" a="1"/>
  <c r="P20" i="54" a="1"/>
  <c r="Q20" i="54" a="1"/>
  <c r="R20" i="54" a="1"/>
  <c r="S20" i="54" a="1"/>
  <c r="T20" i="54" a="1"/>
  <c r="U20" i="54" a="1"/>
  <c r="V20" i="54" a="1"/>
  <c r="W20" i="54" a="1"/>
  <c r="X20" i="54" a="1"/>
  <c r="Y20" i="54" a="1"/>
  <c r="Z20" i="54" a="1"/>
  <c r="AA20" i="54" a="1"/>
  <c r="AB20" i="54" a="1"/>
  <c r="AC20" i="54" a="1"/>
  <c r="S19" i="54" a="1"/>
  <c r="AC19" i="54" a="1"/>
  <c r="J19" i="54" a="1"/>
  <c r="K19" i="54" a="1"/>
  <c r="L19" i="54" a="1"/>
  <c r="AB19" i="54" a="1"/>
  <c r="AA19" i="54" a="1"/>
  <c r="Z19" i="54" a="1"/>
  <c r="M19" i="54" a="1"/>
  <c r="Y19" i="54" a="1"/>
  <c r="N19" i="54" a="1"/>
  <c r="O19" i="54" a="1"/>
  <c r="X19" i="54" a="1"/>
  <c r="P19" i="54" a="1"/>
  <c r="W19" i="54" a="1"/>
  <c r="Q19" i="54" a="1"/>
  <c r="V19" i="54" a="1"/>
  <c r="R19" i="54" a="1"/>
  <c r="U19" i="54" a="1"/>
  <c r="T19" i="54" a="1"/>
  <c r="Q225" i="53" a="1"/>
  <c r="Z225" i="53" a="1"/>
  <c r="D260" i="52"/>
  <c r="H224" i="52"/>
  <c r="FE220" i="53"/>
  <c r="G242" i="53"/>
  <c r="G241" i="53"/>
  <c r="G244" i="53" s="1"/>
  <c r="H224" i="53"/>
  <c r="D260" i="53"/>
  <c r="FG206" i="53"/>
  <c r="E260" i="53"/>
  <c r="E254" i="53"/>
  <c r="P225" i="53" a="1"/>
  <c r="X225" i="53" a="1"/>
  <c r="AB225" i="53" a="1"/>
  <c r="S225" i="53" a="1"/>
  <c r="H171" i="53"/>
  <c r="FH216" i="53"/>
  <c r="H216" i="53" s="1"/>
  <c r="FH205" i="53"/>
  <c r="H205" i="53" s="1"/>
  <c r="F253" i="53" s="1"/>
  <c r="F252" i="53"/>
  <c r="F262" i="53"/>
  <c r="FG217" i="53"/>
  <c r="FG207" i="53"/>
  <c r="FF218" i="53"/>
  <c r="FF219" i="53"/>
  <c r="F252" i="52"/>
  <c r="F262" i="52"/>
  <c r="G262" i="52"/>
  <c r="G252" i="52"/>
  <c r="FH217" i="52"/>
  <c r="F256" i="52"/>
  <c r="F255" i="52"/>
  <c r="FH207" i="52"/>
  <c r="F258" i="52"/>
  <c r="F257" i="52"/>
  <c r="F254" i="52"/>
  <c r="X229" i="52" a="1"/>
  <c r="I229" i="52" a="1"/>
  <c r="T229" i="52" a="1"/>
  <c r="Y229" i="52" a="1"/>
  <c r="Q229" i="52" a="1"/>
  <c r="FG218" i="52"/>
  <c r="J226" i="52" a="1"/>
  <c r="AB226" i="52" a="1"/>
  <c r="Y226" i="52" a="1"/>
  <c r="U226" i="52" a="1"/>
  <c r="N226" i="52" a="1"/>
  <c r="X226" i="52" a="1"/>
  <c r="FG219" i="52"/>
  <c r="L226" i="52" a="1"/>
  <c r="H207" i="52"/>
  <c r="FF220" i="52"/>
  <c r="FG220" i="52" s="1"/>
  <c r="P42" i="43"/>
  <c r="O182" i="43"/>
  <c r="O89" i="43"/>
  <c r="O78" i="43"/>
  <c r="O54" i="43"/>
  <c r="O108" i="43"/>
  <c r="O106" i="43" s="1"/>
  <c r="FH218" i="52" l="1"/>
  <c r="P229" i="52" a="1"/>
  <c r="Z229" i="52" a="1"/>
  <c r="S229" i="52" a="1"/>
  <c r="I226" i="52" a="1"/>
  <c r="T226" i="52" a="1"/>
  <c r="K21" i="54" a="1"/>
  <c r="K31" i="54" s="1"/>
  <c r="FF220" i="53"/>
  <c r="N76" i="54"/>
  <c r="I78" i="54"/>
  <c r="E22" i="54"/>
  <c r="G76" i="54"/>
  <c r="K76" i="54" s="1"/>
  <c r="D20" i="54" s="1"/>
  <c r="J76" i="54"/>
  <c r="L76" i="54"/>
  <c r="M76" i="54"/>
  <c r="C20" i="54"/>
  <c r="C76" i="54" s="1"/>
  <c r="I20" i="54" a="1"/>
  <c r="F76" i="54" s="1"/>
  <c r="J51" i="54"/>
  <c r="K51" i="54" s="1"/>
  <c r="L51" i="54" s="1"/>
  <c r="M51" i="54" s="1"/>
  <c r="N51" i="54" s="1"/>
  <c r="O51" i="54" s="1"/>
  <c r="P51" i="54" s="1"/>
  <c r="Q51" i="54" s="1"/>
  <c r="R51" i="54" s="1"/>
  <c r="S51" i="54" s="1"/>
  <c r="T51" i="54" s="1"/>
  <c r="U51" i="54" s="1"/>
  <c r="V51" i="54" s="1"/>
  <c r="W51" i="54" s="1"/>
  <c r="X51" i="54" s="1"/>
  <c r="Y51" i="54" s="1"/>
  <c r="Z51" i="54" s="1"/>
  <c r="AA51" i="54" s="1"/>
  <c r="AB51" i="54" s="1"/>
  <c r="AC51" i="54" s="1"/>
  <c r="H76" i="54" s="1"/>
  <c r="N75" i="54"/>
  <c r="C19" i="54"/>
  <c r="C75" i="54" s="1"/>
  <c r="L75" i="54"/>
  <c r="G75" i="54"/>
  <c r="K75" i="54" s="1"/>
  <c r="D19" i="54" s="1"/>
  <c r="M75" i="54"/>
  <c r="J75" i="54"/>
  <c r="I19" i="54" a="1"/>
  <c r="F75" i="54" s="1"/>
  <c r="J50" i="54"/>
  <c r="K50" i="54" s="1"/>
  <c r="L50" i="54" s="1"/>
  <c r="M50" i="54" s="1"/>
  <c r="N50" i="54" s="1"/>
  <c r="O50" i="54" s="1"/>
  <c r="P50" i="54" s="1"/>
  <c r="Q50" i="54" s="1"/>
  <c r="R50" i="54" s="1"/>
  <c r="S50" i="54" s="1"/>
  <c r="T50" i="54" s="1"/>
  <c r="U50" i="54" s="1"/>
  <c r="V50" i="54" s="1"/>
  <c r="W50" i="54" s="1"/>
  <c r="X50" i="54" s="1"/>
  <c r="Y50" i="54" s="1"/>
  <c r="Z50" i="54" s="1"/>
  <c r="AA50" i="54" s="1"/>
  <c r="AB50" i="54" s="1"/>
  <c r="AC50" i="54" s="1"/>
  <c r="H75" i="54" s="1"/>
  <c r="S21" i="54" a="1"/>
  <c r="T21" i="54" a="1"/>
  <c r="R21" i="54" a="1"/>
  <c r="U21" i="54" a="1"/>
  <c r="V21" i="54" a="1"/>
  <c r="Q21" i="54" a="1"/>
  <c r="W21" i="54" a="1"/>
  <c r="P21" i="54" a="1"/>
  <c r="X21" i="54" a="1"/>
  <c r="N21" i="54" a="1"/>
  <c r="Z21" i="54" a="1"/>
  <c r="L21" i="54" a="1"/>
  <c r="O21" i="54" a="1"/>
  <c r="Y21" i="54" a="1"/>
  <c r="M21" i="54" a="1"/>
  <c r="AA21" i="54" a="1"/>
  <c r="AB21" i="54" a="1"/>
  <c r="J21" i="54" a="1"/>
  <c r="AC21" i="54" a="1"/>
  <c r="K229" i="52" a="1"/>
  <c r="N229" i="52" a="1"/>
  <c r="M229" i="52" a="1"/>
  <c r="FG218" i="53"/>
  <c r="H225" i="53"/>
  <c r="G262" i="53"/>
  <c r="G252" i="53"/>
  <c r="FH217" i="53"/>
  <c r="FH206" i="53"/>
  <c r="FH207" i="53"/>
  <c r="F256" i="53"/>
  <c r="F255" i="53"/>
  <c r="F254" i="53"/>
  <c r="V229" i="53" a="1"/>
  <c r="Z229" i="53" a="1"/>
  <c r="AA229" i="53" a="1"/>
  <c r="N229" i="53" a="1"/>
  <c r="X229" i="53" a="1"/>
  <c r="Y229" i="53" a="1"/>
  <c r="K229" i="53" a="1"/>
  <c r="Y226" i="53" a="1"/>
  <c r="V226" i="53" a="1"/>
  <c r="Q226" i="53" a="1"/>
  <c r="P226" i="53" a="1"/>
  <c r="FG219" i="53"/>
  <c r="FG220" i="53" s="1"/>
  <c r="Z226" i="53" a="1"/>
  <c r="L226" i="53" a="1"/>
  <c r="AA226" i="53" a="1"/>
  <c r="J226" i="53" a="1"/>
  <c r="W226" i="53" a="1"/>
  <c r="X226" i="53" a="1"/>
  <c r="U226" i="53" a="1"/>
  <c r="K226" i="53" a="1"/>
  <c r="O226" i="53" a="1"/>
  <c r="M226" i="52" a="1"/>
  <c r="O226" i="52" a="1"/>
  <c r="K226" i="52" a="1"/>
  <c r="V226" i="52" a="1"/>
  <c r="F260" i="52"/>
  <c r="AA226" i="52" a="1"/>
  <c r="Z226" i="52" a="1"/>
  <c r="R226" i="52" a="1"/>
  <c r="P226" i="52" a="1"/>
  <c r="V229" i="52" a="1"/>
  <c r="AA229" i="52" a="1"/>
  <c r="W229" i="52" a="1"/>
  <c r="L229" i="52" a="1"/>
  <c r="R229" i="52" a="1"/>
  <c r="U229" i="52" a="1"/>
  <c r="O229" i="52" a="1"/>
  <c r="H217" i="52"/>
  <c r="G253" i="52" s="1"/>
  <c r="J229" i="52" a="1"/>
  <c r="AB229" i="52" a="1"/>
  <c r="G255" i="52"/>
  <c r="G256" i="52"/>
  <c r="W226" i="52" a="1"/>
  <c r="S226" i="52" a="1"/>
  <c r="Q226" i="52" a="1"/>
  <c r="FH219" i="52"/>
  <c r="G258" i="52"/>
  <c r="G257" i="52"/>
  <c r="I227" i="52"/>
  <c r="T227" i="52"/>
  <c r="AB227" i="52"/>
  <c r="Y227" i="52"/>
  <c r="U227" i="52"/>
  <c r="N227" i="52"/>
  <c r="L227" i="52"/>
  <c r="J227" i="52"/>
  <c r="X227" i="52"/>
  <c r="P45" i="43"/>
  <c r="P44" i="43"/>
  <c r="O90" i="43"/>
  <c r="O91" i="43"/>
  <c r="O79" i="43"/>
  <c r="O97" i="43"/>
  <c r="O103" i="43" s="1"/>
  <c r="O184" i="43"/>
  <c r="O185" i="43" s="1"/>
  <c r="O187" i="43" s="1"/>
  <c r="P50" i="43"/>
  <c r="P229" i="53" l="1" a="1"/>
  <c r="Q229" i="53" a="1"/>
  <c r="L229" i="53" a="1"/>
  <c r="O24" i="54" a="1"/>
  <c r="Q24" i="54" a="1"/>
  <c r="T24" i="54" a="1"/>
  <c r="V24" i="54" a="1"/>
  <c r="P24" i="54" a="1"/>
  <c r="R24" i="54" a="1"/>
  <c r="U24" i="54" a="1"/>
  <c r="S24" i="54" a="1"/>
  <c r="I76" i="54"/>
  <c r="E20" i="54"/>
  <c r="W24" i="54" a="1"/>
  <c r="X24" i="54" a="1"/>
  <c r="Y24" i="54" a="1"/>
  <c r="Z24" i="54" a="1"/>
  <c r="AA24" i="54" a="1"/>
  <c r="AB24" i="54" a="1"/>
  <c r="AC24" i="54" a="1"/>
  <c r="L24" i="54" a="1"/>
  <c r="M24" i="54" a="1"/>
  <c r="K24" i="54" a="1"/>
  <c r="J24" i="54" a="1"/>
  <c r="N24" i="54" a="1"/>
  <c r="E19" i="54"/>
  <c r="I75" i="54"/>
  <c r="S31" i="54"/>
  <c r="T31" i="54"/>
  <c r="R31" i="54"/>
  <c r="U31" i="54"/>
  <c r="V31" i="54"/>
  <c r="Q31" i="54"/>
  <c r="W31" i="54"/>
  <c r="P31" i="54"/>
  <c r="X31" i="54"/>
  <c r="N31" i="54"/>
  <c r="Z31" i="54"/>
  <c r="L31" i="54"/>
  <c r="O31" i="54"/>
  <c r="Y31" i="54"/>
  <c r="M31" i="54"/>
  <c r="AA31" i="54"/>
  <c r="AB31" i="54"/>
  <c r="J31" i="54"/>
  <c r="J52" i="54"/>
  <c r="K52" i="54" s="1"/>
  <c r="L52" i="54" s="1"/>
  <c r="M52" i="54" s="1"/>
  <c r="N52" i="54" s="1"/>
  <c r="O52" i="54" s="1"/>
  <c r="P52" i="54" s="1"/>
  <c r="Q52" i="54" s="1"/>
  <c r="R52" i="54" s="1"/>
  <c r="S52" i="54" s="1"/>
  <c r="T52" i="54" s="1"/>
  <c r="U52" i="54" s="1"/>
  <c r="V52" i="54" s="1"/>
  <c r="W52" i="54" s="1"/>
  <c r="X52" i="54" s="1"/>
  <c r="Y52" i="54" s="1"/>
  <c r="Z52" i="54" s="1"/>
  <c r="AA52" i="54" s="1"/>
  <c r="AB52" i="54" s="1"/>
  <c r="AC52" i="54" s="1"/>
  <c r="H77" i="54" s="1"/>
  <c r="I21" i="54" a="1"/>
  <c r="F77" i="54" s="1"/>
  <c r="M77" i="54"/>
  <c r="C21" i="54"/>
  <c r="C77" i="54" s="1"/>
  <c r="G77" i="54"/>
  <c r="K77" i="54" s="1"/>
  <c r="D21" i="54" s="1"/>
  <c r="L77" i="54"/>
  <c r="J77" i="54"/>
  <c r="N77" i="54"/>
  <c r="AC31" i="54"/>
  <c r="M227" i="52"/>
  <c r="FH218" i="53"/>
  <c r="R229" i="53" a="1"/>
  <c r="U229" i="53" a="1"/>
  <c r="M229" i="53" a="1"/>
  <c r="T229" i="53" a="1"/>
  <c r="AB229" i="53" a="1"/>
  <c r="W229" i="53" a="1"/>
  <c r="J229" i="53" a="1"/>
  <c r="I229" i="53" a="1"/>
  <c r="O229" i="53" a="1"/>
  <c r="S229" i="53" a="1"/>
  <c r="H217" i="53"/>
  <c r="G253" i="53" s="1"/>
  <c r="G256" i="53"/>
  <c r="G255" i="53"/>
  <c r="F258" i="53"/>
  <c r="F257" i="53"/>
  <c r="N226" i="53" a="1"/>
  <c r="FH219" i="53"/>
  <c r="I226" i="53" a="1"/>
  <c r="AB226" i="53" a="1"/>
  <c r="M226" i="53" a="1"/>
  <c r="R226" i="53" a="1"/>
  <c r="T226" i="53" a="1"/>
  <c r="S226" i="53" a="1"/>
  <c r="H207" i="53"/>
  <c r="Y227" i="53"/>
  <c r="V227" i="53"/>
  <c r="Q227" i="53"/>
  <c r="Z227" i="53"/>
  <c r="L227" i="53"/>
  <c r="AA227" i="53"/>
  <c r="J227" i="53"/>
  <c r="W227" i="53"/>
  <c r="U227" i="53"/>
  <c r="K227" i="53"/>
  <c r="O227" i="53"/>
  <c r="P227" i="53"/>
  <c r="X227" i="53"/>
  <c r="O227" i="52"/>
  <c r="K227" i="52"/>
  <c r="V227" i="52"/>
  <c r="H226" i="52"/>
  <c r="AA227" i="52"/>
  <c r="Z227" i="52"/>
  <c r="R227" i="52"/>
  <c r="P227" i="52"/>
  <c r="G260" i="52"/>
  <c r="G254" i="52"/>
  <c r="W227" i="52"/>
  <c r="S227" i="52"/>
  <c r="Q227" i="52"/>
  <c r="H219" i="52"/>
  <c r="FH220" i="52"/>
  <c r="H229" i="52"/>
  <c r="P73" i="43"/>
  <c r="P46" i="43"/>
  <c r="O112" i="43"/>
  <c r="O122" i="43"/>
  <c r="O123" i="43"/>
  <c r="O188" i="43"/>
  <c r="O189" i="43"/>
  <c r="O190" i="43" s="1"/>
  <c r="P52" i="43"/>
  <c r="O92" i="43"/>
  <c r="O94" i="43"/>
  <c r="O93" i="43"/>
  <c r="J55" i="54" l="1"/>
  <c r="K55" i="54" s="1"/>
  <c r="L55" i="54" s="1"/>
  <c r="M55" i="54" s="1"/>
  <c r="N55" i="54" s="1"/>
  <c r="O55" i="54" s="1"/>
  <c r="P55" i="54" s="1"/>
  <c r="Q55" i="54" s="1"/>
  <c r="R55" i="54" s="1"/>
  <c r="S55" i="54" s="1"/>
  <c r="T55" i="54" s="1"/>
  <c r="U55" i="54" s="1"/>
  <c r="V55" i="54" s="1"/>
  <c r="W55" i="54" s="1"/>
  <c r="X55" i="54" s="1"/>
  <c r="Y55" i="54" s="1"/>
  <c r="Z55" i="54" s="1"/>
  <c r="AA55" i="54" s="1"/>
  <c r="AB55" i="54" s="1"/>
  <c r="AC55" i="54" s="1"/>
  <c r="H80" i="54" s="1"/>
  <c r="I24" i="54" a="1"/>
  <c r="F80" i="54" s="1"/>
  <c r="L80" i="54"/>
  <c r="C24" i="54"/>
  <c r="C80" i="54" s="1"/>
  <c r="J80" i="54"/>
  <c r="M80" i="54"/>
  <c r="G80" i="54"/>
  <c r="K80" i="54" s="1"/>
  <c r="D24" i="54" s="1"/>
  <c r="N84" i="54"/>
  <c r="N80" i="54"/>
  <c r="C31" i="54"/>
  <c r="C84" i="54" s="1"/>
  <c r="J84" i="54"/>
  <c r="L84" i="54"/>
  <c r="G84" i="54"/>
  <c r="K84" i="54" s="1"/>
  <c r="D31" i="54" s="1"/>
  <c r="M84" i="54"/>
  <c r="I31" i="54" a="1"/>
  <c r="F84" i="54" s="1"/>
  <c r="J59" i="54"/>
  <c r="K59" i="54" s="1"/>
  <c r="L59" i="54" s="1"/>
  <c r="M59" i="54" s="1"/>
  <c r="N59" i="54" s="1"/>
  <c r="O59" i="54" s="1"/>
  <c r="P59" i="54" s="1"/>
  <c r="Q59" i="54" s="1"/>
  <c r="R59" i="54" s="1"/>
  <c r="S59" i="54" s="1"/>
  <c r="T59" i="54" s="1"/>
  <c r="U59" i="54" s="1"/>
  <c r="V59" i="54" s="1"/>
  <c r="W59" i="54" s="1"/>
  <c r="X59" i="54" s="1"/>
  <c r="Y59" i="54" s="1"/>
  <c r="Z59" i="54" s="1"/>
  <c r="AA59" i="54" s="1"/>
  <c r="AB59" i="54" s="1"/>
  <c r="AC59" i="54" s="1"/>
  <c r="H84" i="54" s="1"/>
  <c r="E21" i="54"/>
  <c r="I77" i="54"/>
  <c r="J23" i="54" a="1"/>
  <c r="K23" i="54" a="1"/>
  <c r="L23" i="54" a="1"/>
  <c r="M23" i="54" a="1"/>
  <c r="N23" i="54" a="1"/>
  <c r="O23" i="54" a="1"/>
  <c r="P23" i="54" a="1"/>
  <c r="Q23" i="54" a="1"/>
  <c r="R23" i="54" a="1"/>
  <c r="S23" i="54" a="1"/>
  <c r="T23" i="54" a="1"/>
  <c r="U23" i="54" a="1"/>
  <c r="V23" i="54" a="1"/>
  <c r="W23" i="54" a="1"/>
  <c r="X23" i="54" a="1"/>
  <c r="Y23" i="54" a="1"/>
  <c r="Z23" i="54" a="1"/>
  <c r="AA23" i="54" a="1"/>
  <c r="AB23" i="54" a="1"/>
  <c r="AC23" i="54" a="1"/>
  <c r="G258" i="53"/>
  <c r="G257" i="53"/>
  <c r="G260" i="53" s="1"/>
  <c r="G254" i="53"/>
  <c r="F260" i="53"/>
  <c r="N227" i="53"/>
  <c r="FH220" i="53"/>
  <c r="H219" i="53"/>
  <c r="H226" i="53"/>
  <c r="I227" i="53"/>
  <c r="AB227" i="53"/>
  <c r="M227" i="53"/>
  <c r="R227" i="53"/>
  <c r="T227" i="53"/>
  <c r="S227" i="53"/>
  <c r="H229" i="53"/>
  <c r="H227" i="52"/>
  <c r="D270" i="52" s="1"/>
  <c r="P75" i="43"/>
  <c r="P100" i="43"/>
  <c r="P47" i="43"/>
  <c r="P53" i="43"/>
  <c r="O115" i="43"/>
  <c r="P114" i="43" s="1"/>
  <c r="O113" i="43"/>
  <c r="O118" i="43"/>
  <c r="O120" i="43"/>
  <c r="O121" i="43" s="1"/>
  <c r="I80" i="54" l="1"/>
  <c r="E24" i="54"/>
  <c r="E31" i="54"/>
  <c r="I84" i="54"/>
  <c r="J41" i="54"/>
  <c r="G79" i="54"/>
  <c r="K79" i="54" s="1"/>
  <c r="D23" i="54" s="1"/>
  <c r="C23" i="54"/>
  <c r="C79" i="54" s="1"/>
  <c r="L79" i="54"/>
  <c r="M79" i="54"/>
  <c r="N79" i="54"/>
  <c r="J79" i="54"/>
  <c r="I23" i="54" a="1"/>
  <c r="F79" i="54" s="1"/>
  <c r="J32" i="54"/>
  <c r="J54" i="54"/>
  <c r="K54" i="54" s="1"/>
  <c r="L54" i="54" s="1"/>
  <c r="M54" i="54" s="1"/>
  <c r="N54" i="54" s="1"/>
  <c r="O54" i="54" s="1"/>
  <c r="P54" i="54" s="1"/>
  <c r="Q54" i="54" s="1"/>
  <c r="R54" i="54" s="1"/>
  <c r="S54" i="54" s="1"/>
  <c r="T54" i="54" s="1"/>
  <c r="U54" i="54" s="1"/>
  <c r="V54" i="54" s="1"/>
  <c r="W54" i="54" s="1"/>
  <c r="X54" i="54" s="1"/>
  <c r="Y54" i="54" s="1"/>
  <c r="Z54" i="54" s="1"/>
  <c r="AA54" i="54" s="1"/>
  <c r="AB54" i="54" s="1"/>
  <c r="AC54" i="54" s="1"/>
  <c r="H79" i="54" s="1"/>
  <c r="K41" i="54"/>
  <c r="K32" i="54"/>
  <c r="L41" i="54"/>
  <c r="L32" i="54"/>
  <c r="M41" i="54"/>
  <c r="M32" i="54"/>
  <c r="N41" i="54"/>
  <c r="N32" i="54"/>
  <c r="O41" i="54"/>
  <c r="O32" i="54"/>
  <c r="P41" i="54"/>
  <c r="P32" i="54"/>
  <c r="Q41" i="54"/>
  <c r="Q32" i="54"/>
  <c r="R41" i="54"/>
  <c r="R32" i="54"/>
  <c r="S41" i="54"/>
  <c r="S32" i="54"/>
  <c r="T41" i="54"/>
  <c r="T32" i="54"/>
  <c r="U41" i="54"/>
  <c r="U32" i="54"/>
  <c r="V41" i="54"/>
  <c r="V32" i="54"/>
  <c r="W41" i="54"/>
  <c r="W32" i="54"/>
  <c r="X41" i="54"/>
  <c r="X32" i="54"/>
  <c r="Y41" i="54"/>
  <c r="Y32" i="54"/>
  <c r="Z41" i="54"/>
  <c r="Z32" i="54"/>
  <c r="AA41" i="54"/>
  <c r="AA32" i="54"/>
  <c r="AB41" i="54"/>
  <c r="AB32" i="54"/>
  <c r="AC41" i="54"/>
  <c r="AC32" i="54"/>
  <c r="H227" i="53"/>
  <c r="D270" i="53" s="1"/>
  <c r="P89" i="43"/>
  <c r="P78" i="43"/>
  <c r="Q42" i="43"/>
  <c r="P182" i="43"/>
  <c r="P54" i="43"/>
  <c r="P108" i="43"/>
  <c r="P106" i="43" s="1"/>
  <c r="J66" i="54" l="1"/>
  <c r="I41" i="54" a="1"/>
  <c r="F91" i="54" s="1"/>
  <c r="G91" i="54"/>
  <c r="K91" i="54" s="1"/>
  <c r="D41" i="54" s="1"/>
  <c r="N91" i="54"/>
  <c r="L91" i="54"/>
  <c r="C41" i="54"/>
  <c r="C91" i="54" s="1"/>
  <c r="M91" i="54"/>
  <c r="J91" i="54"/>
  <c r="J85" i="54"/>
  <c r="M85" i="54"/>
  <c r="L85" i="54"/>
  <c r="G85" i="54"/>
  <c r="K85" i="54" s="1"/>
  <c r="D32" i="54" s="1"/>
  <c r="C32" i="54"/>
  <c r="C85" i="54" s="1"/>
  <c r="I32" i="54" a="1"/>
  <c r="F85" i="54" s="1"/>
  <c r="J60" i="54"/>
  <c r="K60" i="54" s="1"/>
  <c r="L60" i="54" s="1"/>
  <c r="M60" i="54" s="1"/>
  <c r="N60" i="54" s="1"/>
  <c r="O60" i="54" s="1"/>
  <c r="P60" i="54" s="1"/>
  <c r="Q60" i="54" s="1"/>
  <c r="R60" i="54" s="1"/>
  <c r="S60" i="54" s="1"/>
  <c r="T60" i="54" s="1"/>
  <c r="U60" i="54" s="1"/>
  <c r="V60" i="54" s="1"/>
  <c r="W60" i="54" s="1"/>
  <c r="X60" i="54" s="1"/>
  <c r="Y60" i="54" s="1"/>
  <c r="Z60" i="54" s="1"/>
  <c r="AA60" i="54" s="1"/>
  <c r="AB60" i="54" s="1"/>
  <c r="AC60" i="54" s="1"/>
  <c r="H85" i="54" s="1"/>
  <c r="E23" i="54"/>
  <c r="I79" i="54"/>
  <c r="N85" i="54"/>
  <c r="Q50" i="43"/>
  <c r="Q52" i="43" s="1"/>
  <c r="P184" i="43"/>
  <c r="P185" i="43" s="1"/>
  <c r="P187" i="43" s="1"/>
  <c r="P91" i="43"/>
  <c r="P90" i="43"/>
  <c r="P79" i="43"/>
  <c r="P97" i="43"/>
  <c r="P103" i="43" s="1"/>
  <c r="Q45" i="43"/>
  <c r="Q44" i="43"/>
  <c r="K66" i="54" l="1"/>
  <c r="I85" i="54"/>
  <c r="E32" i="54"/>
  <c r="P188" i="43"/>
  <c r="P189" i="43"/>
  <c r="P190" i="43" s="1"/>
  <c r="P122" i="43"/>
  <c r="P112" i="43"/>
  <c r="P123" i="43"/>
  <c r="Q46" i="43"/>
  <c r="Q73" i="43"/>
  <c r="P92" i="43"/>
  <c r="P94" i="43"/>
  <c r="P93" i="43"/>
  <c r="L66" i="54" l="1"/>
  <c r="P118" i="43"/>
  <c r="P113" i="43"/>
  <c r="P115" i="43"/>
  <c r="Q114" i="43" s="1"/>
  <c r="P120" i="43"/>
  <c r="P121" i="43" s="1"/>
  <c r="Q47" i="43"/>
  <c r="Q53" i="43"/>
  <c r="Q75" i="43"/>
  <c r="Q100" i="43"/>
  <c r="M66" i="54" l="1"/>
  <c r="Q182" i="43"/>
  <c r="R42" i="43"/>
  <c r="Q89" i="43"/>
  <c r="Q78" i="43"/>
  <c r="Q54" i="43"/>
  <c r="Q108" i="43"/>
  <c r="Q106" i="43" s="1"/>
  <c r="N66" i="54" l="1"/>
  <c r="O66" i="54" s="1"/>
  <c r="P66" i="54" s="1"/>
  <c r="Q66" i="54" s="1"/>
  <c r="R66" i="54" s="1"/>
  <c r="S66" i="54" s="1"/>
  <c r="T66" i="54" s="1"/>
  <c r="R45" i="43"/>
  <c r="R44" i="43"/>
  <c r="Q90" i="43"/>
  <c r="Q91" i="43"/>
  <c r="Q79" i="43"/>
  <c r="Q97" i="43"/>
  <c r="Q103" i="43" s="1"/>
  <c r="R50" i="43"/>
  <c r="Q184" i="43"/>
  <c r="Q185" i="43" s="1"/>
  <c r="Q187" i="43" s="1"/>
  <c r="U66" i="54" l="1"/>
  <c r="V66" i="54" s="1"/>
  <c r="R73" i="43"/>
  <c r="R46" i="43"/>
  <c r="Q112" i="43"/>
  <c r="Q122" i="43"/>
  <c r="Q123" i="43"/>
  <c r="R52" i="43"/>
  <c r="Q188" i="43"/>
  <c r="Q189" i="43"/>
  <c r="Q190" i="43" s="1"/>
  <c r="Q92" i="43"/>
  <c r="Q93" i="43"/>
  <c r="Q94" i="43"/>
  <c r="W66" i="54" l="1"/>
  <c r="R75" i="43"/>
  <c r="R100" i="43"/>
  <c r="R47" i="43"/>
  <c r="R53" i="43"/>
  <c r="Q115" i="43"/>
  <c r="R114" i="43" s="1"/>
  <c r="Q113" i="43"/>
  <c r="Q118" i="43"/>
  <c r="Q120" i="43"/>
  <c r="Q121" i="43" s="1"/>
  <c r="X66" i="54" l="1"/>
  <c r="R78" i="43"/>
  <c r="R89" i="43"/>
  <c r="S42" i="43"/>
  <c r="R182" i="43"/>
  <c r="R54" i="43"/>
  <c r="R108" i="43"/>
  <c r="R106" i="43" s="1"/>
  <c r="Y66" i="54" l="1"/>
  <c r="R97" i="43"/>
  <c r="R103" i="43" s="1"/>
  <c r="R79" i="43"/>
  <c r="R90" i="43"/>
  <c r="R91" i="43"/>
  <c r="S45" i="43"/>
  <c r="S44" i="43"/>
  <c r="R184" i="43"/>
  <c r="R185" i="43" s="1"/>
  <c r="R187" i="43" s="1"/>
  <c r="S50" i="43"/>
  <c r="Z66" i="54" l="1"/>
  <c r="R122" i="43"/>
  <c r="R112" i="43"/>
  <c r="R123" i="43"/>
  <c r="S46" i="43"/>
  <c r="S73" i="43"/>
  <c r="R189" i="43"/>
  <c r="R190" i="43" s="1"/>
  <c r="R188" i="43"/>
  <c r="S52" i="43"/>
  <c r="R92" i="43"/>
  <c r="R93" i="43"/>
  <c r="R94" i="43"/>
  <c r="AA66" i="54" l="1"/>
  <c r="R115" i="43"/>
  <c r="S114" i="43" s="1"/>
  <c r="R118" i="43"/>
  <c r="R113" i="43"/>
  <c r="R120" i="43"/>
  <c r="R121" i="43" s="1"/>
  <c r="S47" i="43"/>
  <c r="S53" i="43"/>
  <c r="S75" i="43"/>
  <c r="S100" i="43"/>
  <c r="AB66" i="54" l="1"/>
  <c r="AC66" i="54" s="1"/>
  <c r="H91" i="54" s="1"/>
  <c r="S182" i="43"/>
  <c r="T42" i="43"/>
  <c r="S78" i="43"/>
  <c r="S89" i="43"/>
  <c r="S54" i="43"/>
  <c r="S108" i="43"/>
  <c r="S106" i="43" s="1"/>
  <c r="E41" i="54" l="1"/>
  <c r="I91" i="54"/>
  <c r="S184" i="43"/>
  <c r="S185" i="43" s="1"/>
  <c r="S187" i="43" s="1"/>
  <c r="T50" i="43"/>
  <c r="T52" i="43" s="1"/>
  <c r="T45" i="43"/>
  <c r="T44" i="43"/>
  <c r="S79" i="43"/>
  <c r="S97" i="43"/>
  <c r="S103" i="43" s="1"/>
  <c r="S90" i="43"/>
  <c r="S91" i="43"/>
  <c r="S188" i="43" l="1"/>
  <c r="S189" i="43"/>
  <c r="S190" i="43" s="1"/>
  <c r="S92" i="43"/>
  <c r="S93" i="43"/>
  <c r="S94" i="43"/>
  <c r="T73" i="43"/>
  <c r="T46" i="43"/>
  <c r="S112" i="43"/>
  <c r="S122" i="43"/>
  <c r="S123" i="43"/>
  <c r="T75" i="43" l="1"/>
  <c r="T100" i="43"/>
  <c r="T47" i="43"/>
  <c r="T53" i="43"/>
  <c r="S115" i="43"/>
  <c r="T114" i="43" s="1"/>
  <c r="S118" i="43"/>
  <c r="S113" i="43"/>
  <c r="S120" i="43"/>
  <c r="S121" i="43" s="1"/>
  <c r="T78" i="43" l="1"/>
  <c r="T89" i="43"/>
  <c r="U42" i="43"/>
  <c r="T182" i="43"/>
  <c r="T54" i="43"/>
  <c r="T108" i="43"/>
  <c r="T106" i="43" s="1"/>
  <c r="T97" i="43" l="1"/>
  <c r="T103" i="43" s="1"/>
  <c r="T79" i="43"/>
  <c r="T91" i="43"/>
  <c r="T90" i="43"/>
  <c r="U45" i="43"/>
  <c r="U44" i="43"/>
  <c r="U50" i="43"/>
  <c r="T184" i="43"/>
  <c r="T185" i="43" s="1"/>
  <c r="T187" i="43" s="1"/>
  <c r="T92" i="43" l="1"/>
  <c r="T112" i="43"/>
  <c r="T122" i="43"/>
  <c r="T123" i="43"/>
  <c r="U46" i="43"/>
  <c r="U73" i="43"/>
  <c r="U52" i="43"/>
  <c r="T188" i="43"/>
  <c r="T189" i="43"/>
  <c r="T190" i="43" s="1"/>
  <c r="T94" i="43"/>
  <c r="T93" i="43"/>
  <c r="T115" i="43" l="1"/>
  <c r="U114" i="43" s="1"/>
  <c r="T113" i="43"/>
  <c r="T118" i="43"/>
  <c r="T120" i="43"/>
  <c r="T121" i="43" s="1"/>
  <c r="U47" i="43"/>
  <c r="U53" i="43"/>
  <c r="U75" i="43"/>
  <c r="U100" i="43"/>
  <c r="U182" i="43" l="1"/>
  <c r="V42" i="43"/>
  <c r="U78" i="43"/>
  <c r="U89" i="43"/>
  <c r="U54" i="43"/>
  <c r="U108" i="43"/>
  <c r="U106" i="43" s="1"/>
  <c r="V50" i="43" l="1"/>
  <c r="V52" i="43" s="1"/>
  <c r="U184" i="43"/>
  <c r="U185" i="43" s="1"/>
  <c r="U187" i="43" s="1"/>
  <c r="V45" i="43"/>
  <c r="V44" i="43"/>
  <c r="U79" i="43"/>
  <c r="U97" i="43"/>
  <c r="U103" i="43" s="1"/>
  <c r="U91" i="43"/>
  <c r="U90" i="43"/>
  <c r="U92" i="43" l="1"/>
  <c r="U189" i="43"/>
  <c r="U190" i="43" s="1"/>
  <c r="U188" i="43"/>
  <c r="V46" i="43"/>
  <c r="V73" i="43"/>
  <c r="U112" i="43"/>
  <c r="U122" i="43"/>
  <c r="U123" i="43"/>
  <c r="U93" i="43"/>
  <c r="U94" i="43"/>
  <c r="V47" i="43" l="1"/>
  <c r="V53" i="43"/>
  <c r="V75" i="43"/>
  <c r="V100" i="43"/>
  <c r="U115" i="43"/>
  <c r="V114" i="43" s="1"/>
  <c r="U118" i="43"/>
  <c r="U113" i="43"/>
  <c r="U120" i="43"/>
  <c r="U121" i="43" s="1"/>
  <c r="V182" i="43" l="1"/>
  <c r="W42" i="43"/>
  <c r="V78" i="43"/>
  <c r="V89" i="43"/>
  <c r="V54" i="43"/>
  <c r="V108" i="43"/>
  <c r="W45" i="43" l="1"/>
  <c r="W44" i="43"/>
  <c r="V79" i="43"/>
  <c r="V97" i="43"/>
  <c r="V103" i="43" s="1"/>
  <c r="V90" i="43"/>
  <c r="V91" i="43"/>
  <c r="W50" i="43"/>
  <c r="V184" i="43"/>
  <c r="V185" i="43" s="1"/>
  <c r="V187" i="43" s="1"/>
  <c r="V123" i="43"/>
  <c r="V106" i="43"/>
  <c r="W46" i="43" l="1"/>
  <c r="W73" i="43"/>
  <c r="V122" i="43"/>
  <c r="V112" i="43"/>
  <c r="W52" i="43"/>
  <c r="V188" i="43"/>
  <c r="V189" i="43"/>
  <c r="V190" i="43" s="1"/>
  <c r="V92" i="43"/>
  <c r="V94" i="43"/>
  <c r="V93" i="43"/>
  <c r="W47" i="43" l="1"/>
  <c r="W53" i="43"/>
  <c r="W75" i="43"/>
  <c r="W100" i="43"/>
  <c r="V118" i="43"/>
  <c r="V113" i="43"/>
  <c r="V115" i="43"/>
  <c r="W114" i="43" s="1"/>
  <c r="V120" i="43"/>
  <c r="V121" i="43" s="1"/>
  <c r="W182" i="43" l="1"/>
  <c r="X42" i="43"/>
  <c r="W78" i="43"/>
  <c r="W89" i="43"/>
  <c r="W54" i="43"/>
  <c r="W108" i="43"/>
  <c r="X45" i="43" l="1"/>
  <c r="X44" i="43"/>
  <c r="W79" i="43"/>
  <c r="W97" i="43"/>
  <c r="W103" i="43" s="1"/>
  <c r="W90" i="43"/>
  <c r="W91" i="43"/>
  <c r="W184" i="43"/>
  <c r="W185" i="43" s="1"/>
  <c r="W187" i="43" s="1"/>
  <c r="X50" i="43"/>
  <c r="W123" i="43"/>
  <c r="W106" i="43"/>
  <c r="X46" i="43" l="1"/>
  <c r="X73" i="43"/>
  <c r="W112" i="43"/>
  <c r="W122" i="43"/>
  <c r="W189" i="43"/>
  <c r="W190" i="43" s="1"/>
  <c r="W188" i="43"/>
  <c r="X52" i="43"/>
  <c r="W92" i="43"/>
  <c r="W93" i="43"/>
  <c r="W94" i="43"/>
  <c r="X47" i="43" l="1"/>
  <c r="X53" i="43"/>
  <c r="X75" i="43"/>
  <c r="X100" i="43"/>
  <c r="W118" i="43"/>
  <c r="W113" i="43"/>
  <c r="W115" i="43"/>
  <c r="X114" i="43" s="1"/>
  <c r="W120" i="43"/>
  <c r="W121" i="43" s="1"/>
  <c r="X182" i="43" l="1"/>
  <c r="Y42" i="43"/>
  <c r="X89" i="43"/>
  <c r="X78" i="43"/>
  <c r="X54" i="43"/>
  <c r="X108" i="43"/>
  <c r="Y45" i="43" l="1"/>
  <c r="Y44" i="43"/>
  <c r="X90" i="43"/>
  <c r="X91" i="43"/>
  <c r="X79" i="43"/>
  <c r="X97" i="43"/>
  <c r="X103" i="43" s="1"/>
  <c r="X184" i="43"/>
  <c r="X185" i="43" s="1"/>
  <c r="X187" i="43" s="1"/>
  <c r="Y50" i="43"/>
  <c r="X123" i="43"/>
  <c r="X106" i="43"/>
  <c r="X92" i="43" l="1"/>
  <c r="X93" i="43"/>
  <c r="X94" i="43"/>
  <c r="Y46" i="43"/>
  <c r="Y73" i="43"/>
  <c r="X112" i="43"/>
  <c r="X122" i="43"/>
  <c r="X189" i="43"/>
  <c r="X190" i="43" s="1"/>
  <c r="X188" i="43"/>
  <c r="Y52" i="43"/>
  <c r="Y47" i="43" l="1"/>
  <c r="Y53" i="43"/>
  <c r="Y75" i="43"/>
  <c r="Y100" i="43"/>
  <c r="X113" i="43"/>
  <c r="X118" i="43"/>
  <c r="X115" i="43"/>
  <c r="Y114" i="43" s="1"/>
  <c r="X120" i="43"/>
  <c r="X121" i="43" s="1"/>
  <c r="Z42" i="43" l="1"/>
  <c r="Y182" i="43"/>
  <c r="Y89" i="43"/>
  <c r="Y78" i="43"/>
  <c r="Y54" i="43"/>
  <c r="Y108" i="43"/>
  <c r="Z45" i="43" l="1"/>
  <c r="Z44" i="43"/>
  <c r="Y90" i="43"/>
  <c r="Y91" i="43"/>
  <c r="Y79" i="43"/>
  <c r="Y97" i="43"/>
  <c r="Y103" i="43" s="1"/>
  <c r="Z50" i="43"/>
  <c r="Y184" i="43"/>
  <c r="Y185" i="43" s="1"/>
  <c r="Y187" i="43" s="1"/>
  <c r="Y123" i="43"/>
  <c r="Y106" i="43"/>
  <c r="Y92" i="43" l="1"/>
  <c r="Z46" i="43"/>
  <c r="Z73" i="43"/>
  <c r="Y112" i="43"/>
  <c r="Y122" i="43"/>
  <c r="Z52" i="43"/>
  <c r="Y189" i="43"/>
  <c r="Y190" i="43" s="1"/>
  <c r="Y188" i="43"/>
  <c r="Y93" i="43"/>
  <c r="Y94" i="43"/>
  <c r="Z47" i="43" l="1"/>
  <c r="Z53" i="43"/>
  <c r="Z75" i="43"/>
  <c r="Z100" i="43"/>
  <c r="Y115" i="43"/>
  <c r="Z114" i="43" s="1"/>
  <c r="Y113" i="43"/>
  <c r="Y118" i="43"/>
  <c r="Y120" i="43"/>
  <c r="Y121" i="43" s="1"/>
  <c r="Z54" i="43" l="1"/>
  <c r="Z184" i="43" s="1"/>
  <c r="Z108" i="43"/>
  <c r="Z182" i="43"/>
  <c r="E159" i="43"/>
  <c r="Z89" i="43"/>
  <c r="Z78" i="43"/>
  <c r="Z185" i="43" l="1"/>
  <c r="Z106" i="43"/>
  <c r="Z123" i="43"/>
  <c r="Z90" i="43"/>
  <c r="Z91" i="43"/>
  <c r="Z97" i="43"/>
  <c r="Z103" i="43" s="1"/>
  <c r="Z79" i="43"/>
  <c r="E161" i="43" l="1"/>
  <c r="E160" i="43"/>
  <c r="Z187" i="43"/>
  <c r="E215" i="43" s="1"/>
  <c r="E198" i="43"/>
  <c r="Z112" i="43"/>
  <c r="Z122" i="43"/>
  <c r="AA122" i="43" s="1"/>
  <c r="E155" i="43" s="1"/>
  <c r="Z92" i="43"/>
  <c r="Z94" i="43"/>
  <c r="Z93" i="43"/>
  <c r="L13" i="54" l="1" a="1"/>
  <c r="R13" i="54" a="1"/>
  <c r="Q13" i="54" a="1"/>
  <c r="S13" i="54" a="1"/>
  <c r="AC13" i="54" a="1"/>
  <c r="M13" i="54" a="1"/>
  <c r="J13" i="54" a="1"/>
  <c r="AB13" i="54" a="1"/>
  <c r="O13" i="54" a="1"/>
  <c r="W13" i="54" a="1"/>
  <c r="P13" i="54" a="1"/>
  <c r="X13" i="54" a="1"/>
  <c r="Z13" i="54" a="1"/>
  <c r="T13" i="54" a="1"/>
  <c r="AA13" i="54" a="1"/>
  <c r="K13" i="54" a="1"/>
  <c r="N13" i="54" a="1"/>
  <c r="V13" i="54" a="1"/>
  <c r="U13" i="54" a="1"/>
  <c r="Y13" i="54" a="1"/>
  <c r="Z188" i="43"/>
  <c r="E211" i="43"/>
  <c r="E200" i="43"/>
  <c r="E218" i="43"/>
  <c r="E214" i="43"/>
  <c r="E208" i="43"/>
  <c r="Z189" i="43"/>
  <c r="E205" i="43" s="1"/>
  <c r="Z115" i="43"/>
  <c r="Z118" i="43"/>
  <c r="E138" i="43" s="1"/>
  <c r="Z113" i="43"/>
  <c r="E137" i="43"/>
  <c r="E141" i="43"/>
  <c r="E134" i="43"/>
  <c r="E145" i="43"/>
  <c r="E142" i="43"/>
  <c r="Z120" i="43"/>
  <c r="AA112" i="43"/>
  <c r="AD13" i="54" s="1"/>
  <c r="O70" i="54" s="1"/>
  <c r="E156" i="43"/>
  <c r="J45" i="54" l="1"/>
  <c r="K45" i="54" s="1"/>
  <c r="L45" i="54" s="1"/>
  <c r="M45" i="54" s="1"/>
  <c r="N45" i="54" s="1"/>
  <c r="O45" i="54" s="1"/>
  <c r="P45" i="54" s="1"/>
  <c r="Q45" i="54" s="1"/>
  <c r="R45" i="54" s="1"/>
  <c r="S45" i="54" s="1"/>
  <c r="T45" i="54" s="1"/>
  <c r="U45" i="54" s="1"/>
  <c r="V45" i="54" s="1"/>
  <c r="W45" i="54" s="1"/>
  <c r="X45" i="54" s="1"/>
  <c r="Y45" i="54" s="1"/>
  <c r="Z45" i="54" s="1"/>
  <c r="AA45" i="54" s="1"/>
  <c r="AB45" i="54" s="1"/>
  <c r="AC45" i="54" s="1"/>
  <c r="N70" i="54"/>
  <c r="L37" i="54"/>
  <c r="R37" i="54"/>
  <c r="Q37" i="54"/>
  <c r="S37" i="54"/>
  <c r="AC37" i="54"/>
  <c r="M37" i="54"/>
  <c r="J37" i="54"/>
  <c r="AB37" i="54"/>
  <c r="O37" i="54"/>
  <c r="W37" i="54"/>
  <c r="P37" i="54"/>
  <c r="X37" i="54"/>
  <c r="Z37" i="54"/>
  <c r="T37" i="54"/>
  <c r="AA37" i="54"/>
  <c r="K37" i="54"/>
  <c r="N37" i="54"/>
  <c r="V37" i="54"/>
  <c r="U37" i="54"/>
  <c r="Y37" i="54"/>
  <c r="AD37" i="54"/>
  <c r="O87" i="54" s="1"/>
  <c r="I13" i="54" a="1"/>
  <c r="F70" i="54" s="1"/>
  <c r="G70" i="54"/>
  <c r="K70" i="54" s="1"/>
  <c r="D13" i="54" s="1"/>
  <c r="J70" i="54"/>
  <c r="L70" i="54"/>
  <c r="M70" i="54"/>
  <c r="C13" i="54"/>
  <c r="C70" i="54" s="1"/>
  <c r="E209" i="43"/>
  <c r="E210" i="43"/>
  <c r="E216" i="43"/>
  <c r="Z190" i="43"/>
  <c r="E202" i="43"/>
  <c r="E203" i="43"/>
  <c r="E136" i="43"/>
  <c r="E135" i="43"/>
  <c r="E144" i="43"/>
  <c r="E143" i="43"/>
  <c r="Z121" i="43"/>
  <c r="E129" i="43"/>
  <c r="E126" i="43"/>
  <c r="AA120" i="43"/>
  <c r="AA113" i="43"/>
  <c r="N87" i="54" l="1"/>
  <c r="J62" i="54"/>
  <c r="K62" i="54" s="1"/>
  <c r="L62" i="54" s="1"/>
  <c r="M62" i="54" s="1"/>
  <c r="N62" i="54" s="1"/>
  <c r="O62" i="54" s="1"/>
  <c r="P62" i="54" s="1"/>
  <c r="Q62" i="54" s="1"/>
  <c r="R62" i="54" s="1"/>
  <c r="S62" i="54" s="1"/>
  <c r="T62" i="54" s="1"/>
  <c r="U62" i="54" s="1"/>
  <c r="V62" i="54" s="1"/>
  <c r="W62" i="54" s="1"/>
  <c r="X62" i="54" s="1"/>
  <c r="Y62" i="54" s="1"/>
  <c r="Z62" i="54" s="1"/>
  <c r="AA62" i="54" s="1"/>
  <c r="AB62" i="54" s="1"/>
  <c r="AC62" i="54" s="1"/>
  <c r="H70" i="54"/>
  <c r="E13" i="54" s="1"/>
  <c r="I37" i="54" a="1"/>
  <c r="F87" i="54" s="1"/>
  <c r="C37" i="54"/>
  <c r="C87" i="54" s="1"/>
  <c r="G87" i="54"/>
  <c r="K87" i="54" s="1"/>
  <c r="D37" i="54" s="1"/>
  <c r="J87" i="54"/>
  <c r="L87" i="54"/>
  <c r="M87" i="54"/>
  <c r="E219" i="43"/>
  <c r="E217" i="43"/>
  <c r="E206" i="43"/>
  <c r="E131" i="43"/>
  <c r="E128" i="43"/>
  <c r="E130" i="43"/>
  <c r="E146" i="43"/>
  <c r="I70" i="54" l="1"/>
  <c r="H87" i="54"/>
  <c r="E37" i="54" s="1"/>
  <c r="I87" i="54" l="1"/>
  <c r="H19" i="45" l="1"/>
  <c r="E18" i="45"/>
  <c r="E19" i="45" l="1"/>
  <c r="H20" i="45"/>
  <c r="H35" i="45" s="1"/>
  <c r="H36" i="45" s="1"/>
  <c r="E20" i="45"/>
  <c r="C110" i="45" s="1"/>
  <c r="N16" i="54" l="1" a="1"/>
  <c r="K16" i="54" a="1"/>
  <c r="O16" i="54" a="1"/>
  <c r="J16" i="54" a="1"/>
  <c r="L16" i="54" a="1"/>
  <c r="M16" i="54" a="1"/>
  <c r="P16" i="54" a="1"/>
  <c r="Q16" i="54" a="1"/>
  <c r="R16" i="54" a="1"/>
  <c r="S16" i="54" a="1"/>
  <c r="T16" i="54" a="1"/>
  <c r="U16" i="54" a="1"/>
  <c r="V16" i="54" a="1"/>
  <c r="W16" i="54" a="1"/>
  <c r="X16" i="54" a="1"/>
  <c r="Y16" i="54" a="1"/>
  <c r="Z16" i="54" a="1"/>
  <c r="AA16" i="54" a="1"/>
  <c r="AB16" i="54" a="1"/>
  <c r="AC16" i="54" a="1"/>
  <c r="H37" i="45"/>
  <c r="I37" i="45" s="1"/>
  <c r="J37" i="45" s="1"/>
  <c r="K37" i="45" s="1"/>
  <c r="L37" i="45" s="1"/>
  <c r="M37" i="45" s="1"/>
  <c r="N37" i="45" s="1"/>
  <c r="O37" i="45" s="1"/>
  <c r="P37" i="45" s="1"/>
  <c r="Q37" i="45" s="1"/>
  <c r="R37" i="45" s="1"/>
  <c r="S37" i="45" s="1"/>
  <c r="T37" i="45" s="1"/>
  <c r="U37" i="45" s="1"/>
  <c r="V37" i="45" s="1"/>
  <c r="W37" i="45" s="1"/>
  <c r="X37" i="45" s="1"/>
  <c r="Y37" i="45" s="1"/>
  <c r="Z37" i="45" s="1"/>
  <c r="AA37" i="45" s="1"/>
  <c r="E63" i="45"/>
  <c r="E55" i="45"/>
  <c r="E62" i="45"/>
  <c r="H42" i="45"/>
  <c r="E58" i="45"/>
  <c r="E47" i="45"/>
  <c r="E66" i="45"/>
  <c r="E46" i="45"/>
  <c r="C98" i="45" s="1"/>
  <c r="H40" i="45"/>
  <c r="N39" i="54" l="1"/>
  <c r="K39" i="54"/>
  <c r="O39" i="54"/>
  <c r="G73" i="54"/>
  <c r="K73" i="54" s="1"/>
  <c r="D16" i="54" s="1"/>
  <c r="C16" i="54"/>
  <c r="C73" i="54" s="1"/>
  <c r="J73" i="54"/>
  <c r="M73" i="54"/>
  <c r="L73" i="54"/>
  <c r="J39" i="54"/>
  <c r="J48" i="54"/>
  <c r="K48" i="54" s="1"/>
  <c r="L48" i="54" s="1"/>
  <c r="M48" i="54" s="1"/>
  <c r="N48" i="54" s="1"/>
  <c r="O48" i="54" s="1"/>
  <c r="P48" i="54" s="1"/>
  <c r="Q48" i="54" s="1"/>
  <c r="R48" i="54" s="1"/>
  <c r="S48" i="54" s="1"/>
  <c r="T48" i="54" s="1"/>
  <c r="U48" i="54" s="1"/>
  <c r="V48" i="54" s="1"/>
  <c r="W48" i="54" s="1"/>
  <c r="X48" i="54" s="1"/>
  <c r="Y48" i="54" s="1"/>
  <c r="Z48" i="54" s="1"/>
  <c r="AA48" i="54" s="1"/>
  <c r="AB48" i="54" s="1"/>
  <c r="AC48" i="54" s="1"/>
  <c r="H73" i="54" s="1"/>
  <c r="I16" i="54" a="1"/>
  <c r="F73" i="54" s="1"/>
  <c r="L39" i="54"/>
  <c r="M39" i="54"/>
  <c r="P39" i="54"/>
  <c r="Q39" i="54"/>
  <c r="R39" i="54"/>
  <c r="S39" i="54"/>
  <c r="T39" i="54"/>
  <c r="U39" i="54"/>
  <c r="V39" i="54"/>
  <c r="W39" i="54"/>
  <c r="X39" i="54"/>
  <c r="Y39" i="54"/>
  <c r="Z39" i="54"/>
  <c r="AA39" i="54"/>
  <c r="AB39" i="54"/>
  <c r="AC39" i="54"/>
  <c r="N73" i="54"/>
  <c r="G126" i="45"/>
  <c r="E65" i="45"/>
  <c r="E64" i="45"/>
  <c r="H43" i="45"/>
  <c r="I43" i="45" s="1"/>
  <c r="J43" i="45" s="1"/>
  <c r="K43" i="45" s="1"/>
  <c r="L43" i="45" s="1"/>
  <c r="M43" i="45" s="1"/>
  <c r="N43" i="45" s="1"/>
  <c r="O43" i="45" s="1"/>
  <c r="P43" i="45" s="1"/>
  <c r="Q43" i="45" s="1"/>
  <c r="R43" i="45" s="1"/>
  <c r="S43" i="45" s="1"/>
  <c r="T43" i="45" s="1"/>
  <c r="U43" i="45" s="1"/>
  <c r="V43" i="45" s="1"/>
  <c r="W43" i="45" s="1"/>
  <c r="X43" i="45" s="1"/>
  <c r="Y43" i="45" s="1"/>
  <c r="Z43" i="45" s="1"/>
  <c r="E49" i="45"/>
  <c r="E52" i="45"/>
  <c r="E50" i="45"/>
  <c r="I40" i="45"/>
  <c r="N89" i="54" l="1"/>
  <c r="J89" i="54"/>
  <c r="G89" i="54"/>
  <c r="K89" i="54" s="1"/>
  <c r="D39" i="54" s="1"/>
  <c r="M89" i="54"/>
  <c r="L89" i="54"/>
  <c r="C39" i="54"/>
  <c r="C89" i="54" s="1"/>
  <c r="I39" i="54" a="1"/>
  <c r="F89" i="54" s="1"/>
  <c r="J64" i="54"/>
  <c r="K64" i="54" s="1"/>
  <c r="L64" i="54" s="1"/>
  <c r="M64" i="54" s="1"/>
  <c r="N64" i="54" s="1"/>
  <c r="O64" i="54" s="1"/>
  <c r="P64" i="54" s="1"/>
  <c r="Q64" i="54" s="1"/>
  <c r="R64" i="54" s="1"/>
  <c r="S64" i="54" s="1"/>
  <c r="T64" i="54" s="1"/>
  <c r="U64" i="54" s="1"/>
  <c r="V64" i="54" s="1"/>
  <c r="W64" i="54" s="1"/>
  <c r="X64" i="54" s="1"/>
  <c r="Y64" i="54" s="1"/>
  <c r="Z64" i="54" s="1"/>
  <c r="AA64" i="54" s="1"/>
  <c r="AB64" i="54" s="1"/>
  <c r="AC64" i="54" s="1"/>
  <c r="H89" i="54" s="1"/>
  <c r="I73" i="54"/>
  <c r="E16" i="54"/>
  <c r="G129" i="45"/>
  <c r="G127" i="45"/>
  <c r="J40" i="45"/>
  <c r="I89" i="54" l="1"/>
  <c r="E39" i="54"/>
  <c r="K40" i="45"/>
  <c r="L40" i="45" l="1"/>
  <c r="M40" i="45" s="1"/>
  <c r="N40" i="45" s="1"/>
  <c r="O40" i="45" s="1"/>
  <c r="P40" i="45" s="1"/>
  <c r="Q40" i="45" s="1"/>
  <c r="R40" i="45" s="1"/>
  <c r="S40" i="45" s="1"/>
  <c r="T40" i="45" s="1"/>
  <c r="U40" i="45" s="1"/>
  <c r="V40" i="45" s="1"/>
  <c r="W40" i="45" s="1"/>
  <c r="X40" i="45" s="1"/>
  <c r="Y40" i="45" s="1"/>
  <c r="Z40" i="45" s="1"/>
  <c r="E56" i="45"/>
  <c r="G128" i="45" s="1"/>
  <c r="E57" i="45"/>
  <c r="E67" i="45"/>
  <c r="C99" i="45" l="1"/>
  <c r="G77" i="46" l="1"/>
  <c r="H77" i="46"/>
  <c r="I77" i="46"/>
  <c r="J76" i="46"/>
  <c r="K76" i="46"/>
  <c r="L76" i="46"/>
  <c r="M76" i="46"/>
  <c r="N76" i="46"/>
  <c r="O76" i="46"/>
  <c r="P76" i="46"/>
  <c r="Q76" i="46"/>
  <c r="R76" i="46"/>
  <c r="S76" i="46"/>
  <c r="T76" i="46"/>
  <c r="U76" i="46"/>
  <c r="Q84" i="46"/>
  <c r="V76" i="46"/>
  <c r="W76" i="46"/>
  <c r="X76" i="46"/>
  <c r="Y76" i="46"/>
  <c r="Z76" i="46"/>
  <c r="J85" i="46"/>
  <c r="P82" i="46"/>
  <c r="K82" i="46"/>
  <c r="K77" i="46"/>
  <c r="K83" i="46"/>
  <c r="M81" i="46"/>
  <c r="S79" i="46"/>
  <c r="S85" i="46"/>
  <c r="M78" i="46"/>
  <c r="X82" i="46"/>
  <c r="X83" i="46"/>
  <c r="N81" i="46"/>
  <c r="S83" i="46"/>
  <c r="H82" i="46"/>
  <c r="J80" i="46"/>
  <c r="Y83" i="46"/>
  <c r="Y85" i="46"/>
  <c r="R85" i="46"/>
  <c r="K80" i="46"/>
  <c r="Y79" i="46"/>
  <c r="H78" i="46"/>
  <c r="U82" i="46"/>
  <c r="Q83" i="46"/>
  <c r="T82" i="46"/>
  <c r="T84" i="46"/>
  <c r="T93" i="46" s="1"/>
  <c r="M83" i="46"/>
  <c r="M82" i="46"/>
  <c r="M84" i="46"/>
  <c r="S82" i="46"/>
  <c r="X78" i="46"/>
  <c r="V82" i="46"/>
  <c r="S78" i="46"/>
  <c r="R77" i="46"/>
  <c r="N85" i="46"/>
  <c r="X84" i="46"/>
  <c r="L81" i="46"/>
  <c r="T85" i="46"/>
  <c r="L79" i="46"/>
  <c r="X80" i="46"/>
  <c r="J79" i="46"/>
  <c r="R82" i="46"/>
  <c r="X85" i="46"/>
  <c r="T81" i="46"/>
  <c r="N77" i="46"/>
  <c r="Y84" i="46"/>
  <c r="N84" i="46"/>
  <c r="W79" i="46"/>
  <c r="W82" i="46"/>
  <c r="M80" i="46"/>
  <c r="K85" i="46"/>
  <c r="X81" i="46"/>
  <c r="K84" i="46"/>
  <c r="X77" i="46"/>
  <c r="S80" i="46"/>
  <c r="L82" i="46"/>
  <c r="I82" i="46"/>
  <c r="T80" i="46"/>
  <c r="T83" i="46"/>
  <c r="Y82" i="46"/>
  <c r="L78" i="46"/>
  <c r="Y81" i="46"/>
  <c r="U81" i="46"/>
  <c r="N80" i="46"/>
  <c r="W85" i="46"/>
  <c r="W77" i="46"/>
  <c r="K78" i="46"/>
  <c r="S81" i="46"/>
  <c r="X79" i="46"/>
  <c r="Z82" i="46"/>
  <c r="L84" i="46"/>
  <c r="L85" i="46"/>
  <c r="L83" i="46"/>
  <c r="G82" i="46"/>
  <c r="L77" i="46"/>
  <c r="L80" i="46"/>
  <c r="Q82" i="46"/>
  <c r="Q85" i="46"/>
  <c r="Q79" i="46"/>
  <c r="Y80" i="46"/>
  <c r="H85" i="46"/>
  <c r="H84" i="46"/>
  <c r="H81" i="46"/>
  <c r="Q81" i="46"/>
  <c r="Q80" i="46"/>
  <c r="H80" i="46"/>
  <c r="Q78" i="46"/>
  <c r="I85" i="46"/>
  <c r="I81" i="46"/>
  <c r="I79" i="46"/>
  <c r="I83" i="46"/>
  <c r="Q77" i="46"/>
  <c r="Y77" i="46"/>
  <c r="K81" i="46"/>
  <c r="U78" i="46"/>
  <c r="J82" i="46"/>
  <c r="J84" i="46"/>
  <c r="P78" i="46"/>
  <c r="P83" i="46"/>
  <c r="P77" i="46"/>
  <c r="P85" i="46"/>
  <c r="P80" i="46"/>
  <c r="P84" i="46"/>
  <c r="G80" i="46"/>
  <c r="P81" i="46"/>
  <c r="P79" i="46"/>
  <c r="G84" i="46"/>
  <c r="J93" i="46"/>
  <c r="V80" i="46"/>
  <c r="V84" i="46"/>
  <c r="G81" i="46"/>
  <c r="V83" i="46"/>
  <c r="G85" i="46"/>
  <c r="G78" i="46"/>
  <c r="V77" i="46"/>
  <c r="G83" i="46"/>
  <c r="G79" i="46"/>
  <c r="J77" i="46"/>
  <c r="N83" i="46"/>
  <c r="T79" i="46"/>
  <c r="W84" i="46"/>
  <c r="T77" i="46"/>
  <c r="S77" i="46"/>
  <c r="Y78" i="46"/>
  <c r="K79" i="46"/>
  <c r="N78" i="46"/>
  <c r="W80" i="46"/>
  <c r="T78" i="46"/>
  <c r="W83" i="46"/>
  <c r="S84" i="46"/>
  <c r="W78" i="46"/>
  <c r="U83" i="46"/>
  <c r="W81" i="46"/>
  <c r="L93" i="46" l="1"/>
  <c r="G93" i="46"/>
  <c r="M93" i="46"/>
  <c r="Y93" i="46"/>
  <c r="L75" i="46"/>
  <c r="H93" i="46"/>
  <c r="P93" i="46"/>
  <c r="S93" i="46"/>
  <c r="G75" i="46"/>
  <c r="K93" i="46"/>
  <c r="X93" i="46"/>
  <c r="P75" i="46"/>
  <c r="P90" i="46" s="1"/>
  <c r="K75" i="46"/>
  <c r="V93" i="46"/>
  <c r="T75" i="46"/>
  <c r="T90" i="46" s="1"/>
  <c r="W93" i="46"/>
  <c r="H83" i="46"/>
  <c r="H79" i="46"/>
  <c r="H75" i="46" s="1"/>
  <c r="H90" i="46" s="1"/>
  <c r="I80" i="46"/>
  <c r="I78" i="46"/>
  <c r="I84" i="46"/>
  <c r="I93" i="46" s="1"/>
  <c r="J83" i="46"/>
  <c r="J81" i="46"/>
  <c r="J78" i="46"/>
  <c r="M79" i="46"/>
  <c r="M77" i="46"/>
  <c r="M85" i="46"/>
  <c r="N82" i="46"/>
  <c r="N93" i="46" s="1"/>
  <c r="N79" i="46"/>
  <c r="R80" i="46"/>
  <c r="R79" i="46"/>
  <c r="R84" i="46"/>
  <c r="R93" i="46" s="1"/>
  <c r="R81" i="46"/>
  <c r="R83" i="46"/>
  <c r="R78" i="46"/>
  <c r="U85" i="46"/>
  <c r="U79" i="46"/>
  <c r="U80" i="46"/>
  <c r="U77" i="46"/>
  <c r="U84" i="46"/>
  <c r="U93" i="46" s="1"/>
  <c r="Z81" i="46"/>
  <c r="Z83" i="46"/>
  <c r="Z79" i="46"/>
  <c r="Z78" i="46"/>
  <c r="Z84" i="46"/>
  <c r="Z93" i="46" s="1"/>
  <c r="Z80" i="46"/>
  <c r="Z85" i="46"/>
  <c r="Z77" i="46"/>
  <c r="V85" i="46"/>
  <c r="V78" i="46"/>
  <c r="V81" i="46"/>
  <c r="V79" i="46"/>
  <c r="O79" i="46"/>
  <c r="O82" i="46"/>
  <c r="O80" i="46"/>
  <c r="O84" i="46"/>
  <c r="O78" i="46"/>
  <c r="O81" i="46"/>
  <c r="O85" i="46"/>
  <c r="O83" i="46"/>
  <c r="O77" i="46"/>
  <c r="X75" i="46"/>
  <c r="X90" i="46" s="1"/>
  <c r="W75" i="46"/>
  <c r="W90" i="46" s="1"/>
  <c r="Q93" i="46"/>
  <c r="S75" i="46"/>
  <c r="S90" i="46" s="1"/>
  <c r="Q75" i="46"/>
  <c r="Q90" i="46" s="1"/>
  <c r="Y75" i="46"/>
  <c r="Y90" i="46" s="1"/>
  <c r="R75" i="46" l="1"/>
  <c r="Z75" i="46"/>
  <c r="L88" i="46"/>
  <c r="L89" i="46"/>
  <c r="J75" i="46"/>
  <c r="L94" i="46"/>
  <c r="L92" i="46" s="1"/>
  <c r="L72" i="46"/>
  <c r="L63" i="46"/>
  <c r="L64" i="46" s="1"/>
  <c r="L127" i="46" s="1"/>
  <c r="K111" i="46"/>
  <c r="K87" i="46"/>
  <c r="K89" i="46"/>
  <c r="K94" i="46"/>
  <c r="K92" i="46" s="1"/>
  <c r="K88" i="46"/>
  <c r="K72" i="46"/>
  <c r="K63" i="46"/>
  <c r="K64" i="46" s="1"/>
  <c r="K127" i="46" s="1"/>
  <c r="N75" i="46"/>
  <c r="L90" i="46"/>
  <c r="L87" i="46"/>
  <c r="L111" i="46"/>
  <c r="G90" i="46"/>
  <c r="G87" i="46"/>
  <c r="G89" i="46"/>
  <c r="G94" i="46"/>
  <c r="G92" i="46" s="1"/>
  <c r="G72" i="46"/>
  <c r="G88" i="46"/>
  <c r="G63" i="46"/>
  <c r="G64" i="46" s="1"/>
  <c r="G111" i="46"/>
  <c r="K90" i="46"/>
  <c r="E209" i="46"/>
  <c r="I209" i="46" s="1"/>
  <c r="P94" i="46"/>
  <c r="P92" i="46" s="1"/>
  <c r="P88" i="46"/>
  <c r="P89" i="46"/>
  <c r="P72" i="46"/>
  <c r="P87" i="46"/>
  <c r="P86" i="46" s="1"/>
  <c r="P91" i="46" s="1"/>
  <c r="P63" i="46"/>
  <c r="P64" i="46" s="1"/>
  <c r="P127" i="46" s="1"/>
  <c r="P111" i="46"/>
  <c r="T87" i="46"/>
  <c r="T88" i="46"/>
  <c r="T89" i="46"/>
  <c r="T111" i="46"/>
  <c r="T94" i="46"/>
  <c r="T92" i="46" s="1"/>
  <c r="T63" i="46"/>
  <c r="T64" i="46" s="1"/>
  <c r="T127" i="46" s="1"/>
  <c r="T72" i="46"/>
  <c r="X111" i="46"/>
  <c r="X87" i="46"/>
  <c r="X63" i="46"/>
  <c r="X64" i="46" s="1"/>
  <c r="X127" i="46" s="1"/>
  <c r="X72" i="46"/>
  <c r="X94" i="46"/>
  <c r="X92" i="46" s="1"/>
  <c r="X89" i="46"/>
  <c r="X88" i="46"/>
  <c r="W111" i="46"/>
  <c r="W63" i="46"/>
  <c r="W64" i="46" s="1"/>
  <c r="W127" i="46" s="1"/>
  <c r="W87" i="46"/>
  <c r="W89" i="46"/>
  <c r="W94" i="46"/>
  <c r="W92" i="46" s="1"/>
  <c r="W88" i="46"/>
  <c r="W72" i="46"/>
  <c r="S111" i="46"/>
  <c r="S87" i="46"/>
  <c r="S63" i="46"/>
  <c r="S64" i="46" s="1"/>
  <c r="S127" i="46" s="1"/>
  <c r="S94" i="46"/>
  <c r="S92" i="46" s="1"/>
  <c r="S88" i="46"/>
  <c r="S89" i="46"/>
  <c r="S72" i="46"/>
  <c r="Q111" i="46"/>
  <c r="Q94" i="46"/>
  <c r="Q92" i="46" s="1"/>
  <c r="Q72" i="46"/>
  <c r="Q63" i="46"/>
  <c r="Q64" i="46" s="1"/>
  <c r="Q127" i="46" s="1"/>
  <c r="Q89" i="46"/>
  <c r="Q88" i="46"/>
  <c r="Q87" i="46"/>
  <c r="Y111" i="46"/>
  <c r="Y87" i="46"/>
  <c r="Y63" i="46"/>
  <c r="Y64" i="46" s="1"/>
  <c r="Y127" i="46" s="1"/>
  <c r="Y72" i="46"/>
  <c r="Y88" i="46"/>
  <c r="Y89" i="46"/>
  <c r="Y94" i="46"/>
  <c r="Y92" i="46" s="1"/>
  <c r="I75" i="46"/>
  <c r="I90" i="46" s="1"/>
  <c r="M75" i="46"/>
  <c r="M90" i="46" s="1"/>
  <c r="U75" i="46"/>
  <c r="U90" i="46" s="1"/>
  <c r="V75" i="46"/>
  <c r="V90" i="46" s="1"/>
  <c r="O93" i="46"/>
  <c r="O75" i="46"/>
  <c r="O90" i="46" s="1"/>
  <c r="H88" i="46"/>
  <c r="H94" i="46"/>
  <c r="H92" i="46" s="1"/>
  <c r="H89" i="46"/>
  <c r="H72" i="46"/>
  <c r="H63" i="46"/>
  <c r="H64" i="46" s="1"/>
  <c r="H127" i="46" s="1"/>
  <c r="H87" i="46"/>
  <c r="H111" i="46"/>
  <c r="L86" i="46" l="1"/>
  <c r="L91" i="46" s="1"/>
  <c r="L99" i="46" s="1"/>
  <c r="L122" i="46" s="1"/>
  <c r="Q86" i="46"/>
  <c r="Q91" i="46" s="1"/>
  <c r="Q99" i="46" s="1"/>
  <c r="Q122" i="46" s="1"/>
  <c r="K86" i="46"/>
  <c r="K91" i="46" s="1"/>
  <c r="K99" i="46" s="1"/>
  <c r="R90" i="46"/>
  <c r="R89" i="46"/>
  <c r="R72" i="46"/>
  <c r="R88" i="46"/>
  <c r="R94" i="46"/>
  <c r="R92" i="46" s="1"/>
  <c r="R63" i="46"/>
  <c r="R64" i="46" s="1"/>
  <c r="R127" i="46" s="1"/>
  <c r="R111" i="46"/>
  <c r="R87" i="46"/>
  <c r="R86" i="46" s="1"/>
  <c r="R91" i="46" s="1"/>
  <c r="R99" i="46" s="1"/>
  <c r="Z90" i="46"/>
  <c r="Z94" i="46"/>
  <c r="Z92" i="46" s="1"/>
  <c r="Z89" i="46"/>
  <c r="Z87" i="46"/>
  <c r="Z72" i="46"/>
  <c r="Z63" i="46"/>
  <c r="Z64" i="46" s="1"/>
  <c r="Z127" i="46" s="1"/>
  <c r="Z88" i="46"/>
  <c r="Z111" i="46"/>
  <c r="H86" i="46"/>
  <c r="H91" i="46" s="1"/>
  <c r="H99" i="46" s="1"/>
  <c r="K114" i="46"/>
  <c r="K106" i="46" s="1"/>
  <c r="K113" i="46"/>
  <c r="K112" i="46"/>
  <c r="N87" i="46"/>
  <c r="N72" i="46"/>
  <c r="N111" i="46"/>
  <c r="N63" i="46"/>
  <c r="N64" i="46" s="1"/>
  <c r="N127" i="46" s="1"/>
  <c r="P99" i="46"/>
  <c r="P122" i="46" s="1"/>
  <c r="G86" i="46"/>
  <c r="G91" i="46" s="1"/>
  <c r="G99" i="46" s="1"/>
  <c r="T86" i="46"/>
  <c r="T91" i="46" s="1"/>
  <c r="T99" i="46" s="1"/>
  <c r="T122" i="46" s="1"/>
  <c r="J90" i="46"/>
  <c r="J111" i="46"/>
  <c r="J94" i="46"/>
  <c r="J92" i="46" s="1"/>
  <c r="J88" i="46"/>
  <c r="J87" i="46"/>
  <c r="J72" i="46"/>
  <c r="J89" i="46"/>
  <c r="J63" i="46"/>
  <c r="J64" i="46" s="1"/>
  <c r="J127" i="46" s="1"/>
  <c r="N90" i="46"/>
  <c r="N89" i="46"/>
  <c r="N94" i="46"/>
  <c r="N92" i="46" s="1"/>
  <c r="N88" i="46"/>
  <c r="L102" i="46"/>
  <c r="L104" i="46" s="1"/>
  <c r="L125" i="46"/>
  <c r="L100" i="46"/>
  <c r="L114" i="46"/>
  <c r="L106" i="46" s="1"/>
  <c r="L113" i="46"/>
  <c r="L112" i="46"/>
  <c r="G112" i="46"/>
  <c r="G113" i="46"/>
  <c r="G114" i="46"/>
  <c r="G106" i="46" s="1"/>
  <c r="P112" i="46"/>
  <c r="P113" i="46"/>
  <c r="P114" i="46"/>
  <c r="P106" i="46" s="1"/>
  <c r="T114" i="46"/>
  <c r="T106" i="46" s="1"/>
  <c r="T113" i="46"/>
  <c r="T112" i="46"/>
  <c r="S86" i="46"/>
  <c r="S91" i="46" s="1"/>
  <c r="S99" i="46" s="1"/>
  <c r="S122" i="46" s="1"/>
  <c r="G127" i="46"/>
  <c r="X113" i="46"/>
  <c r="X114" i="46"/>
  <c r="X106" i="46" s="1"/>
  <c r="X112" i="46"/>
  <c r="W113" i="46"/>
  <c r="W114" i="46"/>
  <c r="W106" i="46" s="1"/>
  <c r="W112" i="46"/>
  <c r="W105" i="46" s="1"/>
  <c r="W126" i="46" s="1"/>
  <c r="S113" i="46"/>
  <c r="S114" i="46"/>
  <c r="S106" i="46" s="1"/>
  <c r="S112" i="46"/>
  <c r="Q114" i="46"/>
  <c r="Q106" i="46" s="1"/>
  <c r="Q113" i="46"/>
  <c r="Q112" i="46"/>
  <c r="Y113" i="46"/>
  <c r="Y114" i="46"/>
  <c r="Y106" i="46" s="1"/>
  <c r="Y112" i="46"/>
  <c r="I111" i="46"/>
  <c r="I87" i="46"/>
  <c r="I72" i="46"/>
  <c r="I63" i="46"/>
  <c r="I89" i="46"/>
  <c r="I94" i="46"/>
  <c r="I92" i="46" s="1"/>
  <c r="I88" i="46"/>
  <c r="E75" i="46"/>
  <c r="M111" i="46"/>
  <c r="M87" i="46"/>
  <c r="M63" i="46"/>
  <c r="M64" i="46" s="1"/>
  <c r="M127" i="46" s="1"/>
  <c r="M88" i="46"/>
  <c r="M89" i="46"/>
  <c r="M94" i="46"/>
  <c r="M92" i="46" s="1"/>
  <c r="M72" i="46"/>
  <c r="U111" i="46"/>
  <c r="U72" i="46"/>
  <c r="U87" i="46"/>
  <c r="U63" i="46"/>
  <c r="U64" i="46" s="1"/>
  <c r="U127" i="46" s="1"/>
  <c r="U89" i="46"/>
  <c r="U88" i="46"/>
  <c r="U94" i="46"/>
  <c r="U92" i="46" s="1"/>
  <c r="V111" i="46"/>
  <c r="V72" i="46"/>
  <c r="V63" i="46"/>
  <c r="V64" i="46" s="1"/>
  <c r="V127" i="46" s="1"/>
  <c r="V87" i="46"/>
  <c r="V94" i="46"/>
  <c r="V92" i="46" s="1"/>
  <c r="V88" i="46"/>
  <c r="V89" i="46"/>
  <c r="O111" i="46"/>
  <c r="O63" i="46"/>
  <c r="O64" i="46" s="1"/>
  <c r="O127" i="46" s="1"/>
  <c r="O87" i="46"/>
  <c r="O94" i="46"/>
  <c r="O92" i="46" s="1"/>
  <c r="O89" i="46"/>
  <c r="O88" i="46"/>
  <c r="O72" i="46"/>
  <c r="H112" i="46"/>
  <c r="H113" i="46"/>
  <c r="H114" i="46"/>
  <c r="H106" i="46" s="1"/>
  <c r="X86" i="46"/>
  <c r="X91" i="46" s="1"/>
  <c r="X99" i="46" s="1"/>
  <c r="W86" i="46"/>
  <c r="W91" i="46" s="1"/>
  <c r="W99" i="46" s="1"/>
  <c r="Y86" i="46"/>
  <c r="Y91" i="46" s="1"/>
  <c r="Y99" i="46" s="1"/>
  <c r="N86" i="46" l="1"/>
  <c r="N91" i="46" s="1"/>
  <c r="N99" i="46" s="1"/>
  <c r="Z114" i="46"/>
  <c r="Z106" i="46" s="1"/>
  <c r="Z113" i="46"/>
  <c r="Z112" i="46"/>
  <c r="Z105" i="46" s="1"/>
  <c r="T105" i="46"/>
  <c r="T126" i="46" s="1"/>
  <c r="K105" i="46"/>
  <c r="K126" i="46" s="1"/>
  <c r="L105" i="46"/>
  <c r="Z86" i="46"/>
  <c r="Z91" i="46" s="1"/>
  <c r="Z99" i="46" s="1"/>
  <c r="R112" i="46"/>
  <c r="R113" i="46"/>
  <c r="R114" i="46"/>
  <c r="R106" i="46" s="1"/>
  <c r="X105" i="46"/>
  <c r="X126" i="46" s="1"/>
  <c r="N113" i="46"/>
  <c r="N112" i="46"/>
  <c r="N105" i="46" s="1"/>
  <c r="N114" i="46"/>
  <c r="N106" i="46" s="1"/>
  <c r="J86" i="46"/>
  <c r="J91" i="46" s="1"/>
  <c r="J99" i="46" s="1"/>
  <c r="E210" i="46"/>
  <c r="I210" i="46" s="1"/>
  <c r="K100" i="46"/>
  <c r="K102" i="46"/>
  <c r="K104" i="46" s="1"/>
  <c r="K125" i="46"/>
  <c r="K122" i="46"/>
  <c r="R100" i="46"/>
  <c r="R122" i="46"/>
  <c r="R125" i="46"/>
  <c r="R102" i="46"/>
  <c r="R104" i="46" s="1"/>
  <c r="P125" i="46"/>
  <c r="P102" i="46"/>
  <c r="P104" i="46" s="1"/>
  <c r="P100" i="46"/>
  <c r="H102" i="46"/>
  <c r="H104" i="46" s="1"/>
  <c r="H100" i="46"/>
  <c r="H125" i="46"/>
  <c r="G105" i="46"/>
  <c r="G126" i="46" s="1"/>
  <c r="P105" i="46"/>
  <c r="G102" i="46"/>
  <c r="G104" i="46" s="1"/>
  <c r="G125" i="46"/>
  <c r="G100" i="46"/>
  <c r="T102" i="46"/>
  <c r="T104" i="46" s="1"/>
  <c r="T125" i="46"/>
  <c r="T100" i="46"/>
  <c r="J112" i="46"/>
  <c r="J113" i="46"/>
  <c r="J114" i="46"/>
  <c r="J106" i="46" s="1"/>
  <c r="Q125" i="46"/>
  <c r="Q100" i="46"/>
  <c r="Q102" i="46"/>
  <c r="Q104" i="46" s="1"/>
  <c r="S125" i="46"/>
  <c r="S100" i="46"/>
  <c r="S102" i="46"/>
  <c r="S104" i="46" s="1"/>
  <c r="E211" i="46"/>
  <c r="I211" i="46" s="1"/>
  <c r="E212" i="46"/>
  <c r="I212" i="46" s="1"/>
  <c r="M86" i="46"/>
  <c r="M91" i="46" s="1"/>
  <c r="M99" i="46" s="1"/>
  <c r="M122" i="46" s="1"/>
  <c r="V86" i="46"/>
  <c r="V91" i="46" s="1"/>
  <c r="V99" i="46" s="1"/>
  <c r="V122" i="46" s="1"/>
  <c r="Y105" i="46"/>
  <c r="Y126" i="46" s="1"/>
  <c r="I114" i="46"/>
  <c r="I106" i="46" s="1"/>
  <c r="I113" i="46"/>
  <c r="I112" i="46"/>
  <c r="E63" i="46"/>
  <c r="I64" i="46"/>
  <c r="M114" i="46"/>
  <c r="M106" i="46" s="1"/>
  <c r="M113" i="46"/>
  <c r="M112" i="46"/>
  <c r="U114" i="46"/>
  <c r="U106" i="46" s="1"/>
  <c r="U113" i="46"/>
  <c r="U112" i="46"/>
  <c r="V112" i="46"/>
  <c r="V113" i="46"/>
  <c r="V114" i="46"/>
  <c r="V106" i="46" s="1"/>
  <c r="O114" i="46"/>
  <c r="O106" i="46" s="1"/>
  <c r="O113" i="46"/>
  <c r="O112" i="46"/>
  <c r="X125" i="46"/>
  <c r="X100" i="46"/>
  <c r="X102" i="46"/>
  <c r="X104" i="46" s="1"/>
  <c r="W102" i="46"/>
  <c r="W104" i="46" s="1"/>
  <c r="W107" i="46" s="1"/>
  <c r="W108" i="46" s="1"/>
  <c r="W125" i="46"/>
  <c r="W128" i="46" s="1"/>
  <c r="W100" i="46"/>
  <c r="Y100" i="46"/>
  <c r="Y102" i="46"/>
  <c r="Y104" i="46" s="1"/>
  <c r="Y125" i="46"/>
  <c r="S105" i="46"/>
  <c r="I86" i="46"/>
  <c r="I91" i="46" s="1"/>
  <c r="I99" i="46" s="1"/>
  <c r="U86" i="46"/>
  <c r="U91" i="46" s="1"/>
  <c r="U99" i="46" s="1"/>
  <c r="U122" i="46" s="1"/>
  <c r="O86" i="46"/>
  <c r="O91" i="46" s="1"/>
  <c r="O99" i="46" s="1"/>
  <c r="O122" i="46" s="1"/>
  <c r="H105" i="46"/>
  <c r="Q105" i="46"/>
  <c r="I105" i="46" l="1"/>
  <c r="I126" i="46" s="1"/>
  <c r="K107" i="46"/>
  <c r="K108" i="46" s="1"/>
  <c r="K128" i="46"/>
  <c r="T107" i="46"/>
  <c r="T108" i="46" s="1"/>
  <c r="N122" i="46"/>
  <c r="N125" i="46"/>
  <c r="N102" i="46"/>
  <c r="N104" i="46" s="1"/>
  <c r="N107" i="46" s="1"/>
  <c r="N108" i="46" s="1"/>
  <c r="N100" i="46"/>
  <c r="G107" i="46"/>
  <c r="G108" i="46" s="1"/>
  <c r="O105" i="46"/>
  <c r="O126" i="46" s="1"/>
  <c r="T128" i="46"/>
  <c r="R105" i="46"/>
  <c r="L107" i="46"/>
  <c r="L108" i="46" s="1"/>
  <c r="L126" i="46"/>
  <c r="L128" i="46" s="1"/>
  <c r="Z102" i="46"/>
  <c r="Z104" i="46" s="1"/>
  <c r="Z107" i="46" s="1"/>
  <c r="Z108" i="46" s="1"/>
  <c r="Z125" i="46"/>
  <c r="Z100" i="46"/>
  <c r="X128" i="46"/>
  <c r="X107" i="46"/>
  <c r="X108" i="46" s="1"/>
  <c r="G128" i="46"/>
  <c r="N126" i="46"/>
  <c r="J102" i="46"/>
  <c r="J104" i="46" s="1"/>
  <c r="J100" i="46"/>
  <c r="J125" i="46"/>
  <c r="J122" i="46"/>
  <c r="J105" i="46"/>
  <c r="M105" i="46"/>
  <c r="M126" i="46" s="1"/>
  <c r="U105" i="46"/>
  <c r="U126" i="46" s="1"/>
  <c r="P107" i="46"/>
  <c r="P108" i="46" s="1"/>
  <c r="P126" i="46"/>
  <c r="P128" i="46" s="1"/>
  <c r="Y107" i="46"/>
  <c r="Y108" i="46" s="1"/>
  <c r="Y128" i="46"/>
  <c r="W132" i="46"/>
  <c r="W176" i="46"/>
  <c r="M100" i="46"/>
  <c r="M102" i="46"/>
  <c r="M104" i="46" s="1"/>
  <c r="M125" i="46"/>
  <c r="V102" i="46"/>
  <c r="V104" i="46" s="1"/>
  <c r="V125" i="46"/>
  <c r="V100" i="46"/>
  <c r="E64" i="46"/>
  <c r="I127" i="46"/>
  <c r="S107" i="46"/>
  <c r="S108" i="46" s="1"/>
  <c r="S126" i="46"/>
  <c r="S128" i="46" s="1"/>
  <c r="I100" i="46"/>
  <c r="I125" i="46"/>
  <c r="I102" i="46"/>
  <c r="I104" i="46" s="1"/>
  <c r="U102" i="46"/>
  <c r="U104" i="46" s="1"/>
  <c r="U125" i="46"/>
  <c r="U100" i="46"/>
  <c r="Z126" i="46"/>
  <c r="O125" i="46"/>
  <c r="O102" i="46"/>
  <c r="O104" i="46" s="1"/>
  <c r="O100" i="46"/>
  <c r="H107" i="46"/>
  <c r="H108" i="46" s="1"/>
  <c r="H126" i="46"/>
  <c r="H128" i="46" s="1"/>
  <c r="Q107" i="46"/>
  <c r="Q108" i="46" s="1"/>
  <c r="Q126" i="46"/>
  <c r="Q128" i="46" s="1"/>
  <c r="V105" i="46"/>
  <c r="N128" i="46" l="1"/>
  <c r="I107" i="46"/>
  <c r="I108" i="46" s="1"/>
  <c r="K132" i="46"/>
  <c r="K138" i="46" s="1"/>
  <c r="K176" i="46"/>
  <c r="T132" i="46"/>
  <c r="T138" i="46" s="1"/>
  <c r="T176" i="46"/>
  <c r="O128" i="46"/>
  <c r="O107" i="46"/>
  <c r="O108" i="46" s="1"/>
  <c r="R107" i="46"/>
  <c r="R108" i="46" s="1"/>
  <c r="R126" i="46"/>
  <c r="R128" i="46" s="1"/>
  <c r="L132" i="46"/>
  <c r="L138" i="46" s="1"/>
  <c r="L176" i="46"/>
  <c r="X132" i="46"/>
  <c r="X176" i="46"/>
  <c r="Z128" i="46"/>
  <c r="X138" i="46"/>
  <c r="W138" i="46"/>
  <c r="G132" i="46"/>
  <c r="G174" i="46"/>
  <c r="G176" i="46"/>
  <c r="G177" i="46" s="1"/>
  <c r="M107" i="46"/>
  <c r="M108" i="46" s="1"/>
  <c r="M128" i="46"/>
  <c r="U107" i="46"/>
  <c r="U108" i="46" s="1"/>
  <c r="U128" i="46"/>
  <c r="J107" i="46"/>
  <c r="J108" i="46" s="1"/>
  <c r="J126" i="46"/>
  <c r="J128" i="46" s="1"/>
  <c r="P132" i="46"/>
  <c r="P176" i="46"/>
  <c r="Y176" i="46"/>
  <c r="Y132" i="46"/>
  <c r="I128" i="46"/>
  <c r="S132" i="46"/>
  <c r="S176" i="46"/>
  <c r="E170" i="46"/>
  <c r="E171" i="46"/>
  <c r="H132" i="46"/>
  <c r="H176" i="46"/>
  <c r="Q132" i="46"/>
  <c r="Q176" i="46"/>
  <c r="V107" i="46"/>
  <c r="V108" i="46" s="1"/>
  <c r="V126" i="46"/>
  <c r="V128" i="46" s="1"/>
  <c r="N176" i="46" l="1"/>
  <c r="N132" i="46"/>
  <c r="N138" i="46" s="1"/>
  <c r="O132" i="46"/>
  <c r="O138" i="46" s="1"/>
  <c r="O176" i="46"/>
  <c r="H174" i="46"/>
  <c r="I174" i="46" s="1"/>
  <c r="R176" i="46"/>
  <c r="R132" i="46"/>
  <c r="R138" i="46" s="1"/>
  <c r="Z176" i="46"/>
  <c r="Z132" i="46"/>
  <c r="AA128" i="46"/>
  <c r="P138" i="46"/>
  <c r="Y138" i="46"/>
  <c r="S138" i="46"/>
  <c r="Q138" i="46"/>
  <c r="G133" i="46"/>
  <c r="H133" i="46" s="1"/>
  <c r="G138" i="46"/>
  <c r="G139" i="46" s="1"/>
  <c r="G136" i="46"/>
  <c r="M132" i="46"/>
  <c r="M176" i="46"/>
  <c r="U132" i="46"/>
  <c r="U176" i="46"/>
  <c r="J132" i="46"/>
  <c r="J176" i="46"/>
  <c r="H177" i="46"/>
  <c r="E188" i="46"/>
  <c r="E194" i="46"/>
  <c r="E195" i="46"/>
  <c r="E198" i="46"/>
  <c r="I176" i="46"/>
  <c r="E191" i="46"/>
  <c r="E181" i="46"/>
  <c r="I132" i="46"/>
  <c r="H138" i="46"/>
  <c r="V132" i="46"/>
  <c r="V176" i="46"/>
  <c r="H136" i="46" l="1"/>
  <c r="I136" i="46" s="1"/>
  <c r="J136" i="46" s="1"/>
  <c r="K136" i="46" s="1"/>
  <c r="L136" i="46" s="1"/>
  <c r="M136" i="46" s="1"/>
  <c r="N136" i="46" s="1"/>
  <c r="O136" i="46" s="1"/>
  <c r="P136" i="46" s="1"/>
  <c r="Q136" i="46" s="1"/>
  <c r="R136" i="46" s="1"/>
  <c r="S136" i="46" s="1"/>
  <c r="T136" i="46" s="1"/>
  <c r="O17" i="54" a="1"/>
  <c r="K17" i="54" a="1"/>
  <c r="P17" i="54" a="1"/>
  <c r="Q17" i="54" a="1"/>
  <c r="R17" i="54" a="1"/>
  <c r="X17" i="54" a="1"/>
  <c r="T17" i="54" a="1"/>
  <c r="U17" i="54" a="1"/>
  <c r="AC17" i="54" a="1"/>
  <c r="Y17" i="54" a="1"/>
  <c r="Z17" i="54" a="1"/>
  <c r="AB17" i="54" a="1"/>
  <c r="L17" i="54" a="1"/>
  <c r="N17" i="54" a="1"/>
  <c r="V17" i="54" a="1"/>
  <c r="M17" i="54" a="1"/>
  <c r="S17" i="54" a="1"/>
  <c r="W17" i="54" a="1"/>
  <c r="AA17" i="54" a="1"/>
  <c r="J17" i="54" a="1"/>
  <c r="AA132" i="46"/>
  <c r="Z138" i="46"/>
  <c r="AA176" i="46"/>
  <c r="E183" i="46" s="1"/>
  <c r="E215" i="46" s="1"/>
  <c r="I215" i="46" s="1"/>
  <c r="E180" i="46"/>
  <c r="E214" i="46" s="1"/>
  <c r="I214" i="46" s="1"/>
  <c r="M138" i="46"/>
  <c r="U138" i="46"/>
  <c r="J138" i="46"/>
  <c r="V138" i="46"/>
  <c r="J174" i="46"/>
  <c r="H139" i="46"/>
  <c r="E197" i="46"/>
  <c r="E196" i="46"/>
  <c r="E184" i="46"/>
  <c r="E150" i="46"/>
  <c r="E143" i="46"/>
  <c r="E157" i="46"/>
  <c r="E156" i="46"/>
  <c r="I133" i="46"/>
  <c r="J133" i="46" s="1"/>
  <c r="K133" i="46" s="1"/>
  <c r="L133" i="46" s="1"/>
  <c r="M133" i="46" s="1"/>
  <c r="N133" i="46" s="1"/>
  <c r="O133" i="46" s="1"/>
  <c r="P133" i="46" s="1"/>
  <c r="Q133" i="46" s="1"/>
  <c r="R133" i="46" s="1"/>
  <c r="S133" i="46" s="1"/>
  <c r="T133" i="46" s="1"/>
  <c r="U133" i="46" s="1"/>
  <c r="V133" i="46" s="1"/>
  <c r="W133" i="46" s="1"/>
  <c r="X133" i="46" s="1"/>
  <c r="Y133" i="46" s="1"/>
  <c r="Z133" i="46" s="1"/>
  <c r="E160" i="46"/>
  <c r="E153" i="46"/>
  <c r="I138" i="46"/>
  <c r="I177" i="46"/>
  <c r="Y30" i="54" l="1"/>
  <c r="E185" i="46"/>
  <c r="E186" i="46"/>
  <c r="O33" i="54"/>
  <c r="O30" i="54"/>
  <c r="P33" i="54"/>
  <c r="P30" i="54"/>
  <c r="P38" i="54"/>
  <c r="O38" i="54"/>
  <c r="K30" i="54"/>
  <c r="K38" i="54"/>
  <c r="K33" i="54"/>
  <c r="Q38" i="54"/>
  <c r="Q30" i="54"/>
  <c r="Q33" i="54"/>
  <c r="N38" i="54"/>
  <c r="N33" i="54"/>
  <c r="N30" i="54"/>
  <c r="R33" i="54"/>
  <c r="R30" i="54"/>
  <c r="R38" i="54"/>
  <c r="X38" i="54"/>
  <c r="X33" i="54"/>
  <c r="X30" i="54"/>
  <c r="T33" i="54"/>
  <c r="T38" i="54"/>
  <c r="T30" i="54"/>
  <c r="U33" i="54"/>
  <c r="U30" i="54"/>
  <c r="U38" i="54"/>
  <c r="AC38" i="54"/>
  <c r="AC33" i="54"/>
  <c r="AC30" i="54"/>
  <c r="Y38" i="54"/>
  <c r="Y33" i="54"/>
  <c r="Z33" i="54"/>
  <c r="Z30" i="54"/>
  <c r="Z38" i="54"/>
  <c r="AB33" i="54"/>
  <c r="AB38" i="54"/>
  <c r="AB30" i="54"/>
  <c r="V30" i="54"/>
  <c r="V33" i="54"/>
  <c r="S30" i="54"/>
  <c r="S38" i="54"/>
  <c r="S33" i="54"/>
  <c r="L33" i="54"/>
  <c r="L38" i="54"/>
  <c r="L30" i="54"/>
  <c r="M38" i="54"/>
  <c r="M33" i="54"/>
  <c r="M30" i="54"/>
  <c r="V38" i="54"/>
  <c r="W38" i="54"/>
  <c r="W33" i="54"/>
  <c r="W30" i="54"/>
  <c r="J30" i="54"/>
  <c r="J38" i="54"/>
  <c r="J33" i="54"/>
  <c r="AA38" i="54"/>
  <c r="AA30" i="54"/>
  <c r="AA33" i="54"/>
  <c r="I17" i="54" a="1"/>
  <c r="F74" i="54" s="1"/>
  <c r="J49" i="54"/>
  <c r="K49" i="54" s="1"/>
  <c r="L49" i="54" s="1"/>
  <c r="G74" i="54"/>
  <c r="K74" i="54" s="1"/>
  <c r="D17" i="54" s="1"/>
  <c r="J74" i="54"/>
  <c r="L74" i="54"/>
  <c r="AD17" i="54"/>
  <c r="AA138" i="46"/>
  <c r="E142" i="46"/>
  <c r="E146" i="46"/>
  <c r="K174" i="46"/>
  <c r="U136" i="46"/>
  <c r="E159" i="46"/>
  <c r="E158" i="46"/>
  <c r="J177" i="46"/>
  <c r="I139" i="46"/>
  <c r="I30" i="54" l="1" a="1"/>
  <c r="F83" i="54" s="1"/>
  <c r="J58" i="54"/>
  <c r="J63" i="54"/>
  <c r="K63" i="54" s="1"/>
  <c r="L63" i="54" s="1"/>
  <c r="M63" i="54" s="1"/>
  <c r="N63" i="54" s="1"/>
  <c r="O63" i="54" s="1"/>
  <c r="P63" i="54" s="1"/>
  <c r="Q63" i="54" s="1"/>
  <c r="R63" i="54" s="1"/>
  <c r="S63" i="54" s="1"/>
  <c r="T63" i="54" s="1"/>
  <c r="U63" i="54" s="1"/>
  <c r="V63" i="54" s="1"/>
  <c r="W63" i="54" s="1"/>
  <c r="X63" i="54" s="1"/>
  <c r="Y63" i="54" s="1"/>
  <c r="Z63" i="54" s="1"/>
  <c r="AA63" i="54" s="1"/>
  <c r="I38" i="54" a="1"/>
  <c r="F88" i="54" s="1"/>
  <c r="J61" i="54"/>
  <c r="I33" i="54" a="1"/>
  <c r="F86" i="54" s="1"/>
  <c r="G88" i="54"/>
  <c r="K88" i="54" s="1"/>
  <c r="D38" i="54" s="1"/>
  <c r="J88" i="54"/>
  <c r="L88" i="54"/>
  <c r="L83" i="54"/>
  <c r="G83" i="54"/>
  <c r="K83" i="54" s="1"/>
  <c r="D30" i="54" s="1"/>
  <c r="J83" i="54"/>
  <c r="G86" i="54"/>
  <c r="K86" i="54" s="1"/>
  <c r="D33" i="54" s="1"/>
  <c r="L86" i="54"/>
  <c r="J86" i="54"/>
  <c r="O74" i="54"/>
  <c r="N74" i="54"/>
  <c r="AD38" i="54"/>
  <c r="AD30" i="54"/>
  <c r="AD33" i="54"/>
  <c r="M49" i="54"/>
  <c r="M74" i="54"/>
  <c r="C17" i="54"/>
  <c r="C74" i="54" s="1"/>
  <c r="E147" i="46"/>
  <c r="E145" i="46"/>
  <c r="E148" i="46"/>
  <c r="V136" i="46"/>
  <c r="L174" i="46"/>
  <c r="J139" i="46"/>
  <c r="K177" i="46"/>
  <c r="K58" i="54" l="1"/>
  <c r="K61" i="54"/>
  <c r="L61" i="54" s="1"/>
  <c r="M61" i="54" s="1"/>
  <c r="N61" i="54" s="1"/>
  <c r="O61" i="54" s="1"/>
  <c r="P61" i="54" s="1"/>
  <c r="Q61" i="54" s="1"/>
  <c r="R61" i="54" s="1"/>
  <c r="S61" i="54" s="1"/>
  <c r="T61" i="54" s="1"/>
  <c r="U61" i="54" s="1"/>
  <c r="V61" i="54" s="1"/>
  <c r="W61" i="54" s="1"/>
  <c r="X61" i="54" s="1"/>
  <c r="Y61" i="54" s="1"/>
  <c r="Z61" i="54" s="1"/>
  <c r="AA61" i="54" s="1"/>
  <c r="AB63" i="54"/>
  <c r="O88" i="54"/>
  <c r="N88" i="54"/>
  <c r="I42" i="54"/>
  <c r="O83" i="54"/>
  <c r="N83" i="54"/>
  <c r="O86" i="54"/>
  <c r="N86" i="54"/>
  <c r="N49" i="54"/>
  <c r="I34" i="54"/>
  <c r="M83" i="54"/>
  <c r="C30" i="54"/>
  <c r="C83" i="54" s="1"/>
  <c r="M86" i="54"/>
  <c r="C33" i="54"/>
  <c r="C86" i="54" s="1"/>
  <c r="C38" i="54"/>
  <c r="C88" i="54" s="1"/>
  <c r="M88" i="54"/>
  <c r="W136" i="46"/>
  <c r="M174" i="46"/>
  <c r="K139" i="46"/>
  <c r="L177" i="46"/>
  <c r="AC63" i="54" l="1"/>
  <c r="H88" i="54"/>
  <c r="L58" i="54"/>
  <c r="AB61" i="54"/>
  <c r="O49" i="54"/>
  <c r="P49" i="54" s="1"/>
  <c r="Q49" i="54" s="1"/>
  <c r="R49" i="54" s="1"/>
  <c r="X136" i="46"/>
  <c r="N174" i="46"/>
  <c r="O174" i="46" s="1"/>
  <c r="P174" i="46" s="1"/>
  <c r="Q174" i="46" s="1"/>
  <c r="R174" i="46" s="1"/>
  <c r="S174" i="46" s="1"/>
  <c r="T174" i="46" s="1"/>
  <c r="U174" i="46" s="1"/>
  <c r="V174" i="46" s="1"/>
  <c r="W174" i="46" s="1"/>
  <c r="L139" i="46"/>
  <c r="M177" i="46"/>
  <c r="E38" i="54" l="1"/>
  <c r="I88" i="54"/>
  <c r="AC61" i="54"/>
  <c r="H86" i="54" s="1"/>
  <c r="M58" i="54"/>
  <c r="S49" i="54"/>
  <c r="Y136" i="46"/>
  <c r="X174" i="46"/>
  <c r="M139" i="46"/>
  <c r="N177" i="46"/>
  <c r="O177" i="46" s="1"/>
  <c r="P177" i="46" s="1"/>
  <c r="Q177" i="46" s="1"/>
  <c r="R177" i="46" s="1"/>
  <c r="S177" i="46" s="1"/>
  <c r="T177" i="46" s="1"/>
  <c r="U177" i="46" s="1"/>
  <c r="V177" i="46" s="1"/>
  <c r="W177" i="46" s="1"/>
  <c r="X177" i="46" s="1"/>
  <c r="Y177" i="46" s="1"/>
  <c r="Z177" i="46" s="1"/>
  <c r="I86" i="54" l="1"/>
  <c r="E33" i="54"/>
  <c r="N58" i="54"/>
  <c r="T49" i="54"/>
  <c r="Z136" i="46"/>
  <c r="E154" i="46" s="1"/>
  <c r="Y174" i="46"/>
  <c r="N139" i="46"/>
  <c r="O58" i="54" l="1"/>
  <c r="U49" i="54"/>
  <c r="E151" i="46"/>
  <c r="E161" i="46" s="1"/>
  <c r="E152" i="46"/>
  <c r="O139" i="46"/>
  <c r="Z174" i="46"/>
  <c r="E192" i="46" s="1"/>
  <c r="P58" i="54" l="1"/>
  <c r="V49" i="54"/>
  <c r="P139" i="46"/>
  <c r="E189" i="46"/>
  <c r="E199" i="46" s="1"/>
  <c r="E190" i="46"/>
  <c r="Q58" i="54" l="1"/>
  <c r="W49" i="54"/>
  <c r="Q139" i="46"/>
  <c r="R58" i="54" l="1"/>
  <c r="X49" i="54"/>
  <c r="R139" i="46"/>
  <c r="S58" i="54" l="1"/>
  <c r="Y49" i="54"/>
  <c r="Z49" i="54" s="1"/>
  <c r="AA49" i="54" s="1"/>
  <c r="S139" i="46"/>
  <c r="T58" i="54" l="1"/>
  <c r="AB49" i="54"/>
  <c r="T139" i="46"/>
  <c r="U58" i="54" l="1"/>
  <c r="AC49" i="54"/>
  <c r="H74" i="54" s="1"/>
  <c r="U139" i="46"/>
  <c r="V58" i="54" l="1"/>
  <c r="E17" i="54"/>
  <c r="I74" i="54"/>
  <c r="V139" i="46"/>
  <c r="W58" i="54" l="1"/>
  <c r="X58" i="54" s="1"/>
  <c r="W139" i="46"/>
  <c r="X139" i="46" s="1"/>
  <c r="Y139" i="46" s="1"/>
  <c r="Z139" i="46" s="1"/>
  <c r="Y58" i="54" l="1"/>
  <c r="Z58" i="54" l="1"/>
  <c r="AA58" i="54" l="1"/>
  <c r="AB58" i="54" l="1"/>
  <c r="AC58" i="54" l="1"/>
  <c r="H83" i="54" s="1"/>
  <c r="E30" i="54" l="1"/>
  <c r="I83" i="5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tc={3FCC1F39-3AF9-BE46-82C2-3BA848717990}</author>
    <author>tc={1FC93F77-0368-FF45-B5A2-A80AB4A36830}</author>
    <author>tc={53E7ED60-8BA7-754E-8094-7F4E37972330}</author>
  </authors>
  <commentList>
    <comment ref="B284" authorId="0" shapeId="0" xr:uid="{3FCC1F39-3AF9-BE46-82C2-3BA84871799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Fluxo de Caixa FF&amp;E &amp; PMH (1).xlsx, 'Fluxo de Caixa' tab, R00 30/07 — uploaded 12/10/2026. Values converted to R$ thousand; percentage distributions kept as in the file. Excluded from the cash flow: PMH (OSE) and rows 15–17 (yellow).</t>
      </text>
    </comment>
    <comment ref="E339" authorId="1" shapeId="0" xr:uid="{1FC93F77-0368-FF45-B5A2-A80AB4A3683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Provided by the user: utilities R$ 8.5 MM in 12 installments from Jan/27.</t>
      </text>
    </comment>
    <comment ref="E340" authorId="2" shapeId="0" xr:uid="{53E7ED60-8BA7-754E-8094-7F4E3797233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Provided by the user: phase 1 roads R$ 7 MM. Schedule not provided — Claude assumption: 12 installments from Jan/27, same as the utilities (adjust F336/G336).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tc={53445C3A-11D1-6B45-8A53-2ACA5A92ED63}</author>
    <author>tc={F2618771-B367-C042-9F35-664B12A40642}</author>
    <author>tc={EB7BB386-7154-AC43-851B-13BA990BB622}</author>
    <author>tc={1F0B88E3-B540-9143-B86A-380EF3CC5B80}</author>
    <author>tc={4B21BB7E-0761-344C-89AD-8276C58CD3C9}</author>
    <author>tc={0FD4E7BC-1762-1F4D-BB4F-ED6A3E04FEC5}</author>
  </authors>
  <commentList>
    <comment ref="C78" authorId="0" shapeId="0" xr:uid="{53445C3A-11D1-6B45-8A53-2ACA5A92ED6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BP GRAMADO - CASAMENTOS.xlsx, uploaded 12/10/2026 — tabs RETORNO C / RETORNO R / RETORNO O (columns C, D, F and H, periods 1 to 5). Uploaded file.</t>
      </text>
    </comment>
    <comment ref="C102" authorId="1" shapeId="0" xr:uid="{F2618771-B367-C042-9F35-664B12A4064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Exame / Casar.com + Assessoria VIP (out/2024), https://exame.com/bussola/setor-de-casamentos-deve-movimentar-r-32-bilhoes-em-2025/ ; Abrafesta, https://abrafesta.com.br/mercado-casamentos-brasil-2025-oportunidades-empreendedores/</t>
      </text>
    </comment>
    <comment ref="C103" authorId="2" shapeId="0" xr:uid="{EB7BB386-7154-AC43-851B-13BA990BB62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ABRAFESTA, Projection of Civil Weddings in Brazil in 2025 (Dec/2025), https://abrafesta.com.br/abrafesta-projecao-mercado-casamentos-brasil-2026/</t>
      </text>
    </comment>
    <comment ref="C104" authorId="3" shapeId="0" xr:uid="{1F0B88E3-B540-9143-B86A-380EF3CC5B8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CNN Brasil (May/2022), https://www.cnnbrasil.com.br/viagemegastronomia/viagem/apos-dois-anos-de-pandemia-destination-wedding-esta-em-alta-entre-os-noivos-em-2022/</t>
      </text>
    </comment>
    <comment ref="C105" authorId="4" shapeId="0" xr:uid="{4B21BB7E-0761-344C-89AD-8276C58CD3C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Exame (2024), https://exame.com/casual/club-med-quer-exportar-destination-weddings/</t>
      </text>
    </comment>
    <comment ref="C106" authorId="5" shapeId="0" xr:uid="{0FD4E7BC-1762-1F4D-BB4F-ED6A3E04FE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ABRAFESTA (May/2026), https://abrafesta.com.br/tendencias-mercado-festas-premium-casamentos-ar-livre/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tc={C8D0F623-1519-DD4B-9423-8D6BB70C801A}</author>
    <author>tc={A291FFDF-73F4-8842-A56E-45D74DFCAF34}</author>
    <author>tc={3EEF1CE8-7507-5B46-9A09-364A416B2290}</author>
    <author>tc={AABD023B-5079-2748-B177-8E2CFBD44B87}</author>
    <author>tc={032E717F-4029-D240-B5AA-FF03663DE5EF}</author>
    <author>tc={23E5403E-C602-E04E-BC76-D7DAB6C87FFB}</author>
    <author>tc={E412BBFD-D3F8-E448-A852-ECEDA34DB60A}</author>
    <author>tc={4CB3E635-E877-C442-A5EA-E50267EAB96E}</author>
  </authors>
  <commentList>
    <comment ref="C15" authorId="0" shapeId="0" xr:uid="{C8D0F623-1519-DD4B-9423-8D6BB70C801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Mix and areas: revised site plan with 26 houses (image provided): 2-bed 3 × ≈157 m², 3-bed 14 × ≈210 m², 4-bed 9 × ≈262 m² (4 new); total ≈5,770 m² usable, 84 bedrooms.</t>
      </text>
    </comment>
    <comment ref="G15" authorId="1" shapeId="0" xr:uid="{A291FFDF-73F4-8842-A56E-45D74DFCAF3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price by unit type — smaller houses with a higher R$/m² (liquidity). Weighted average ≈ R$ 24.8 thousand/m², close to the R$ 25 thousand of the previous CAPEX block. Adjust.</t>
      </text>
    </comment>
    <comment ref="D22" authorId="2" shapeId="0" xr:uid="{3EEF1CE8-7507-5B46-9A09-364A416B229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Construction cost R$ 13,000/m² applied to the usable area (user definition), same value as the previous CAPEX block. Construction Oct/26, 24 months (as before: Oct/26–Sep/28).</t>
      </text>
    </comment>
    <comment ref="D23" authorId="3" shapeId="0" xr:uid="{AABD023B-5079-2748-B177-8E2CFBD44B8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infrastructure R$ 400/m² × 5,769 m² ≈ R$ 2.3 million (as in CAPEX) + common areas of the new project ≈ R$ 3.25 million (25×12 pool + deck ≈ R$ 1.0 million; tennis court ≈ R$ 0.3 million; concierge ≈ 150 m² × R$ 13 thousand ≈ R$ 1.95 million) = R$ 5.56 million.</t>
      </text>
    </comment>
    <comment ref="D28" authorId="4" shapeId="0" xr:uid="{032E717F-4029-D240-B5AA-FF03663DE5E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Sales: launch Mar/27 (as in the previous block), 40% in 6 months; the rest during construction; 15% of inventory sold within 6 months after keys.</t>
      </text>
    </comment>
    <comment ref="D35" authorId="5" shapeId="0" xr:uid="{23E5403E-C602-E04E-BC76-D7DAB6C87FF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 (high-end, faster collection): 30% down payment, 50% in monthly installments until keys and 20% at keys, no bank mortgage transfer. Developer loan set to zero (D59).</t>
      </text>
    </comment>
    <comment ref="D45" authorId="6" shapeId="0" xr:uid="{E412BBFD-D3F8-E448-A852-ECEDA34DB60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professional services (previously 2% of construction ≈ R$ 1.8 million) broken down into design R$ 1.0 million, legal R$ 0.2 million, approvals R$ 0.3 million and management 1% of construction; contingency R$ 2.25 million (≈3% of construction).</t>
      </text>
    </comment>
    <comment ref="D52" authorId="7" shapeId="0" xr:uid="{4CB3E635-E877-C442-A5EA-E50267EAB96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Previous block: marketing &amp; brokerage 6% → here 4% brokerage + 2% marketing/sales office (D51). RET 4% and Star Ópera development fee 4% kept.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tc={E44B9908-BCA2-7345-BEDC-94C934D582F0}</author>
  </authors>
  <commentList>
    <comment ref="G208" authorId="0" shapeId="0" xr:uid="{E44B9908-BCA2-7345-BEDC-94C934D582F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- FERG - PDF - 041726 - compactado.pdf, uploaded 2026-10-12 — p.6 (visitors), p.7 (gross revenue R$ 43.4M), p.8 (Capex R$ 103.8M), p.10 (EBITDA 20.0 → 30.3, margin ~53%), p.11 (IRR 21.9%, NPV 92,749 at 10%, payback 6 years). Uploaded file.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tc={8D7FBCCE-9084-594A-B051-CB63EDE301BE}</author>
    <author>tc={737534EC-A5B5-8B4D-81C4-8836C555B324}</author>
    <author>tc={0C44B4FE-1EE6-D74C-82FA-E62C5EFC0C88}</author>
    <author>tc={D4FBA61F-08ED-E147-800B-9AEDC4B31B32}</author>
    <author>tc={68C41EB9-5FEF-7D4B-8F52-388E1408E80F}</author>
    <author>tc={D3CCAEDF-2243-A241-BEB8-4F37C86F3A8D}</author>
    <author>tc={8716E45F-4AAB-B344-A632-B059136D5F10}</author>
    <author>tc={FB30AEEA-A08F-C74F-801E-1A7DA02F08D3}</author>
  </authors>
  <commentList>
    <comment ref="E9" authorId="0" shapeId="0" xr:uid="{8D7FBCCE-9084-594A-B051-CB63EDE301B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Gramado &amp; Canela Convention &amp; Visitors Bureau — PROMEGC 2025 (via Gramado Magazine), https://www.gramadomagazine.com.br/post/turismo-de-eventos-injeta-quase-r-1-bilh%C3%A3o-na-economia-de-gramado-e-canela-em-2025 — 681 monitored events, 575 in Gramado.</t>
      </text>
    </comment>
    <comment ref="E10" authorId="1" shapeId="0" xr:uid="{737534EC-A5B5-8B4D-81C4-8836C555B32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CVB / PROMEGC 2025 (via Gramado Magazine), https://www.gramadomagazine.com.br/post/turismo-de-eventos-injeta-quase-r-1-bilh%C3%A3o-na-economia-de-gramado-e-canela-em-2025</t>
      </text>
    </comment>
    <comment ref="E11" authorId="2" shapeId="0" xr:uid="{0C44B4FE-1EE6-D74C-82FA-E62C5EFC0C8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CNN Brasil, Gramado Tourism Observatory, https://www.cnnbrasil.com.br/viagemegastronomia/viagem/gramado-tem-alta-no-turismo-em-2025-e-se-aproxima-do-recorde-pre-enchentes/ — ~680 events and more than 272 thousand attendees in 2025.</t>
      </text>
    </comment>
    <comment ref="E13" authorId="3" shapeId="0" xr:uid="{D4FBA61F-08ED-E147-800B-9AEDC4B31B3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CVB / PROMEGC 2025 (via Gramado Magazine) — the corporate segment leads in volume (43%).</t>
      </text>
    </comment>
    <comment ref="E17" authorId="4" shapeId="0" xr:uid="{68C41EB9-5FEF-7D4B-8F52-388E1408E80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sized for congresses of 800–2,500 people (e.g. CBAEM 2025 with 2,500 attendees in Gramado). Local benchmark: Serra Park 28,000 m² (fairs), ExpoGramado 13,000 m² / 10,000 people; Arena Gramadense with 4 rooms of 280 m².</t>
      </text>
    </comment>
    <comment ref="E30" authorId="5" shapeId="0" xr:uid="{D3CCAEDF-2243-A241-BEB8-4F37C86F3A8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stabilized calendar of 116 events (≈20% of Gramado's 575 events in 2025). Rental and F&amp;B prices estimated for the Club Med standard; validate with operators (e.g. Rossi &amp; Zorzanello, GL events).</t>
      </text>
    </comment>
    <comment ref="E46" authorId="6" shapeId="0" xr:uid="{8716E45F-4AAB-B344-A632-B059136D5F1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staff of ~45 people + power, maintenance, sales and insurance for a 7,500 m² center. Adjust with an operator.</t>
      </text>
    </comment>
    <comment ref="E56" authorId="7" shapeId="0" xr:uid="{FB30AEEA-A08F-C74F-801E-1A7DA02F08D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Set by the user: R$ 7,000/m², construction only (no FF&amp;E).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tc={AF4B8E09-0A37-474E-A1A5-F0C6CBD85E80}</author>
    <author>tc={86810716-82D1-1D43-B080-E27D33BF9D75}</author>
    <author>tc={BC8D37EB-643C-FB45-8A06-2F4F63B3DA82}</author>
    <author>tc={CCBE5562-53E3-9640-A936-BB288B76C0D6}</author>
    <author>tc={3CC28777-36E8-594B-9CA7-B0555CCF45B8}</author>
    <author>tc={B0427DEA-91E4-7042-9F1A-CE049083D42C}</author>
    <author>tc={7CCF00DE-3A45-E744-B50D-B884C04657C2}</author>
    <author>tc={3F7B42B4-D97B-E648-B50D-E8A77C3E4143}</author>
    <author>tc={BF05A422-D3BF-C84B-8F63-59BF9EB2F73B}</author>
    <author>tc={B0333801-0253-AD4F-966C-D24BBFD3CDE2}</author>
  </authors>
  <commentList>
    <comment ref="D19" authorId="0" shapeId="0" xr:uid="{AF4B8E09-0A37-474E-A1A5-F0C6CBD85E8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≈257 apartments in the base scenario (max FAR 1.8/1.2, 4 floors), split into 3 phases of ~86 units (cap of 150 units per development). Source: Sirena Gramado Masterplan — real estate study v5, Sep/2026, https://sirenagramado.netlify.app/</t>
      </text>
    </comment>
    <comment ref="D21" authorId="1" shapeId="0" xr:uid="{86810716-82D1-1D43-B080-E27D33BF9D7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Average private area of 140 m² (mix 75–260 m²). Source: Sirena Gramado Masterplan — real estate study v5, Sep/2026, https://sirenagramado.netlify.app/</t>
      </text>
    </comment>
    <comment ref="D22" authorId="2" shapeId="0" xr:uid="{BC8D37EB-643C-FB45-8A06-2F4F63B3DA8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Reference price R$ 23,000/private m² (VGV ≈ R$ 828 MM). Source: Sirena Gramado Masterplan — real estate study v5, Sep/2026, https://sirenagramado.netlify.app/</t>
      </text>
    </comment>
    <comment ref="D24" authorId="3" shapeId="0" xr:uid="{CCBE5562-53E3-9640-A936-BB288B76C0D6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built area = 1.45 × private (165 m² countable per apartment on the site + circulation, leisure and basement).</t>
      </text>
    </comment>
    <comment ref="D28" authorId="4" shapeId="0" xr:uid="{3CC28777-36E8-594B-9CA7-B0555CCF45B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R$ 8,000/m² built (high-end vertical in Gramado). The site does not state a construction cost for the vertical.</t>
      </text>
    </comment>
    <comment ref="D30" authorId="5" shapeId="0" xr:uid="{B0427DEA-91E4-7042-9F1A-CE049083D42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R$ 5 MM per phase for common areas/landscaping. Wave pool and Surf Lodge excluded (option for the investor).</t>
      </text>
    </comment>
    <comment ref="D32" authorId="6" shapeId="0" xr:uid="{7CCF00DE-3A45-E744-B50D-B884C04657C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User: phase 1 starts sales and construction in 2028; each phase starts 2 years after the previous one (D13). Construction 6 months after launch (D31), 36 months (D29).</t>
      </text>
    </comment>
    <comment ref="D49" authorId="7" shapeId="0" xr:uid="{3F7B42B4-D97B-E648-B50D-E8A77C3E414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10% down payment + 30% monthly + 10% keys + 50% bank transfer; developer loan 60% of construction at 12% p.a. (as in Lots Phase 01).</t>
      </text>
    </comment>
    <comment ref="G66" authorId="8" shapeId="0" xr:uid="{BF05A422-D3BF-C84B-8F63-59BF9EB2F73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Surf Village: 34,180 m² of land in 6 blocks (12,305 m² in zone 10.2 + 21,875 m² in zone 10.4). The 37,310 m² area in the VGV table includes the Mini Mall lot (3,130 m²), which was not allocated here. Source: Sirena Gramado Masterplan v5, Sep/2026, https://sirenagramado.netlify.app/</t>
      </text>
    </comment>
    <comment ref="J80" authorId="9" shapeId="0" xr:uid="{B0333801-0253-AD4F-966C-D24BBFD3CDE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Site mix: 1 suite 35% (~90 units), 2 suites 40% (~103), 3 suites 20% (~51), penthouses 5% (~13). Source: Sirena Gramado Masterplan — real estate study v5, Sep/2026, https://sirenagramado.netlify.app/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tc={71CAAD48-F68B-C348-8414-6F80715D5F2D}</author>
    <author>tc={77C56895-521C-7243-9F7C-242B7E428BDB}</author>
    <author>tc={92BB87C9-6917-FD44-8F7A-A5441F561657}</author>
    <author>tc={F916795C-CE1E-8144-9B3B-28B9ED3C0FF1}</author>
    <author>tc={26A6D958-48ED-1C49-8944-06A33B5BEC25}</author>
    <author>tc={DEF76D8A-455A-074C-AEEA-D3F3DFA31F22}</author>
    <author>tc={7B25E8A0-1B89-224C-804A-423CF9F18F0D}</author>
    <author>tc={EA356D70-A165-9D49-8C32-5C80AED30812}</author>
    <author>tc={5511B2F7-363B-EA4D-A71D-34215C3A9BB5}</author>
    <author>tc={16F68B72-6896-AC4B-8EA9-B03E7C53AB33}</author>
  </authors>
  <commentList>
    <comment ref="D28" authorId="0" shapeId="0" xr:uid="{71CAAD48-F68B-C348-8414-6F80715D5F2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R$ 500/m² of community area (same infrastructure cost as the Lots Phase 01 business plan).</t>
      </text>
    </comment>
    <comment ref="G30" authorId="1" shapeId="0" xr:uid="{77C56895-521C-7243-9F7C-242B7E428BD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Reference cost R$ 9–11 MM per clubhouse (1,000 m² clubhouse, 2 tennis courts, beach tennis, 25×12 pool); R$ 10 MM adopted. Source: Sirena Gramado Masterplan — real estate study v5, Sep/2026, https://sirenagramado.netlify.app/</t>
      </text>
    </comment>
    <comment ref="D32" authorId="2" shapeId="0" xr:uid="{92BB87C9-6917-FD44-8F7A-A5441F56165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User: phase 1 starts sales and construction in 2028; each phase starts 2 years after the previous one (D13). Construction 6 months after launch (D31), 30 months (D29).</t>
      </text>
    </comment>
    <comment ref="D38" authorId="3" shapeId="0" xr:uid="{F916795C-CE1E-8144-9B3B-28B9ED3C0FF1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Sales pace, payment plan, indirect costs and financing same as the Lots Phase 01 business plan (40% at launch over 6 months, 20% after keys over 10 months; 15/15/5/65; admin fee 5% and marketing 3% of VGV; 60% of construction at 12% p.a.).</t>
      </text>
    </comment>
    <comment ref="G65" authorId="4" shapeId="0" xr:uid="{26A6D958-48ED-1C49-8944-06A33B5BEC2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Provided by the user: land R$ 113 MM for the total area (today's value), paid proportionally by each lot development to the landowner/initial developer.</t>
      </text>
    </comment>
    <comment ref="G66" authorId="5" shapeId="0" xr:uid="{DEF76D8A-455A-074C-AEEA-D3F3DFA31F2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Total masterplan area: 637,620 m² (11 gated communities + 3 open villages + Surf Village + senior living). The lot developments pay for their share of the area; Surf Village (37,310 m²) and senior living (14,350 m²) are not allocated here. Source: Sirena Gramado Masterplan v5, Sep/2026, https://sirenagramado.netlify.app/</t>
      </text>
    </comment>
    <comment ref="G68" authorId="6" shapeId="0" xr:uid="{7B25E8A0-1B89-224C-804A-423CF9F18F0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Provided by the user: street works R$ 30 MM, split by phase in proportion to each phase's streets.</t>
      </text>
    </comment>
    <comment ref="D69" authorId="7" shapeId="0" xr:uid="{EA356D70-A165-9D49-8C32-5C80AED3081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without the street length per phase, the default allocation uses the community area. Replace with the actual street % (the sum in G69 must be 100%).</t>
      </text>
    </comment>
    <comment ref="D70" authorId="8" shapeId="0" xr:uid="{5511B2F7-363B-EA4D-A71D-34215C3A9BB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land + street works paid in 12 installments from the launch of each phase; 3% ITBI as in the Lots Phase 01 business plan.</t>
      </text>
    </comment>
    <comment ref="C80" authorId="9" shapeId="0" xr:uid="{16F68B72-6896-AC4B-8EA9-B03E7C53AB3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Table 'VGV by community (base scenario)': lot mix, areas, R$/m² prices and phasing. Source: Sirena Gramado Masterplan — real estate study v5, Sep/2026, https://sirenagramado.netlify.app/</t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tc={87854DF3-AA31-0143-BE70-E3735D2A07D2}</author>
    <author>tc={A1C817DA-AF67-4E44-89FD-654EBACCD319}</author>
    <author>tc={D3C23100-02E4-D04A-A567-43EC569043FA}</author>
    <author>tc={B8CA94EB-27D1-C841-89DD-B48122F4361E}</author>
    <author>tc={B0368DF1-4C7E-CD48-B6E4-54D8858207AD}</author>
    <author>tc={28EDCCB9-5DB1-DE41-92A1-7B20B4689930}</author>
    <author>tc={4FFEC694-586B-6F48-B9F1-5174D7E57F52}</author>
    <author>tc={6676D955-A41D-6242-ADC0-EFCFFCA0C5FA}</author>
    <author>tc={5FACF4A0-53C9-D443-9D03-B5F510573ABA}</author>
    <author>tc={37E657E9-4817-E541-8780-9700560C821F}</author>
    <author>tc={D3C4A2CD-59F4-EF4E-A0F6-359B328107CC}</author>
    <author>tc={D1B802FF-9C78-3F4F-9341-34C8ECE15E3D}</author>
    <author>tc={E1B8A501-7F06-3E44-A8F9-3A5892CA0E4A}</author>
    <author>tc={AD7DC2CD-AD86-C14C-AA84-C4B1264706C5}</author>
    <author>tc={7B22BE7D-537E-2A46-9E64-3581ECFF013F}</author>
    <author>tc={0C66BF49-05D5-8848-8509-39D5A792CB02}</author>
    <author>tc={A4AA3682-869C-EB47-B860-88F15B8A26DB}</author>
    <author>tc={D376897F-1738-834D-A8B7-5EAB63A62648}</author>
    <author>tc={596E7B83-D1BB-E542-9CB9-3E77E9C2E745}</author>
    <author>tc={5C7B35B2-EDCC-064D-90CB-C9FC8C4C3ED3}</author>
    <author>tc={6A1B2D2C-64C0-DB4A-B516-96B313CD47B8}</author>
  </authors>
  <commentList>
    <comment ref="E4" authorId="0" shapeId="0" xr:uid="{87854DF3-AA31-0143-BE70-E3735D2A07D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Automatic selection of the highest-IRR structure (comparison in rows 162–169; note in row 171). Currently: 5 — shell sold to the operator, IRR 34.6% (lease 3.1%, own income -2.0%, condo-hotel -10.6%; land sale with no IRR, NPV +R$ 13.9 million).</t>
      </text>
    </comment>
    <comment ref="E9" authorId="1" shapeId="0" xr:uid="{A1C817DA-AF67-4E44-89FD-654EBACCD319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real estate study v5, Sep/2026 (Senior living section), https://sirenagramado.netlify.app/ — 90 units (range 80–100), ~100 beds</t>
      </text>
    </comment>
    <comment ref="E10" authorId="2" shapeId="0" xr:uid="{D3C23100-02E4-D04A-A567-43EC569043F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real estate study v5, Sep/2026 (Senior living section), https://sirenagramado.netlify.app/ — 60% independent, 25% semi-dependent, 15% dependent</t>
      </text>
    </comment>
    <comment ref="E13" authorId="3" shapeId="0" xr:uid="{B8CA94EB-27D1-C841-89DD-B48122F4361E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real estate study v5, Sep/2026 (Senior living section), https://sirenagramado.netlify.app/ — R$ 9–12 thousand/month (housing + 3 meals)</t>
      </text>
    </comment>
    <comment ref="E16" authorId="4" shapeId="0" xr:uid="{B0368DF1-4C7E-CD48-B6E4-54D8858207A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real estate study v5, Sep/2026 (Senior living section), https://sirenagramado.netlify.app/ — revenue of R$ 8–9 MM/year at 75% occupancy</t>
      </text>
    </comment>
    <comment ref="E26" authorId="5" shapeId="0" xr:uid="{28EDCCB9-5DB1-DE41-92A1-7B20B4689930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real estate study v5, Sep/2026 (Senior living section), https://sirenagramado.netlify.app/ — 45 m² standard studio (preferred by 79% of respondents) + 60 m² 1-bedroom</t>
      </text>
    </comment>
    <comment ref="E29" authorId="6" shapeId="0" xr:uid="{4FFEC694-586B-6F48-B9F1-5174D7E57F5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real estate study v5, Sep/2026 (Senior living section), https://sirenagramado.netlify.app/ — ≈ 8,000 m² built · 4 floors · 30% lot coverage = 4,300 m² of footprint</t>
      </text>
    </comment>
    <comment ref="E30" authorId="7" shapeId="0" xr:uid="{6676D955-A41D-6242-ADC0-EFCFFCA0C5F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Set by the user: R$ 8,000/m² (the site does not state a construction cost).</t>
      </text>
    </comment>
    <comment ref="E34" authorId="8" shapeId="0" xr:uid="{5FACF4A0-53C9-D443-9D03-B5F510573AB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real estate study v5, Sep/2026 (Senior living section), https://sirenagramado.netlify.app/ — Phase 2 · 2029–30: … Senior Living</t>
      </text>
    </comment>
    <comment ref="E37" authorId="9" shapeId="0" xr:uid="{37E657E9-4817-E541-8780-9700560C821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— real estate study v5, Sep/2026 (Senior living section), https://sirenagramado.netlify.app/ — Reference return in the condo-hotel model: 8% p.a.</t>
      </text>
    </comment>
    <comment ref="E136" authorId="10" shapeId="0" xr:uid="{D3C4A2CD-59F4-EF4E-A0F6-359B328107C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rent of 28% of revenue — the operator keeps an EBITDAR of 38% (1 − 60% costs − 2% FF&amp;E), coverage of ~1.36x, within the usual 1.2–1.5x range for senior housing leases.</t>
      </text>
    </comment>
    <comment ref="E179" authorId="11" shapeId="0" xr:uid="{D1B802FF-9C78-3F4F-9341-34C8ECE15E3D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v5, Sep/2026 (Senior living): isolated tip south of AI/03 (14,350 m²). https://sirenagramado.netlify.app/</t>
      </text>
    </comment>
    <comment ref="E180" authorId="12" shapeId="0" xr:uid="{E1B8A501-7F06-3E44-A8F9-3A5892CA0E4A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Claude assumption: R$ 1,500/m² of raw land — ~30% below the masterplan's finished lots (R$ 1,900–2,300/m², Alphaville Gramado R$ 2.17 thousand/m²), as it is a single parcel without community infrastructure. Adjust with an appraisal.</t>
      </text>
    </comment>
    <comment ref="E202" authorId="13" shapeId="0" xr:uid="{AD7DC2CD-AD86-C14C-AA84-C4B1264706C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Before: R$ 20 thousand/m² (user input). Now = minimum price for the target IRR in E213 (18%), rounded up to R$ 10.</t>
      </text>
    </comment>
    <comment ref="C236" authorId="14" shapeId="0" xr:uid="{7B22BE7D-537E-2A46-9E64-3581ECFF013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IBGE, 2022 Census — Population by age and sex (Elderly People), https://www.gov.br/participamaisbrasil/blob/baixar/36065 ; RS Socioeconomic Atlas, https://atlassocioeconomico.rs.gov.br/piramides-etarias-e-envelhecimento-da-populacao ; SciELO, https://www.scielo.br/j/cm/a/hz3W39vf3R3bfSq7rtWZSXf/?format=html&amp;lang=pt</t>
      </text>
    </comment>
    <comment ref="C237" authorId="15" shapeId="0" xr:uid="{0C66BF49-05D5-8848-8509-39D5A792CB02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Agência Brasil / IBGE 2022 Census, https://agenciabrasil.ebc.com.br/radioagencia-nacional/geral/audio/2024-05/rio-grande-do-sul-e-o-estado-com-mais-idosos-no-brasil</t>
      </text>
    </comment>
    <comment ref="C238" authorId="16" shapeId="0" xr:uid="{A4AA3682-869C-EB47-B860-88F15B8A26DB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Sienge, citing IBGE/FGV IBRE, https://sienge.com.br/blog/senior-living/</t>
      </text>
    </comment>
    <comment ref="C239" authorId="17" shapeId="0" xr:uid="{D376897F-1738-834D-A8B7-5EAB63A6264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Bloomberg Línea (Jun/2025), https://www.bloomberglinea.com.br/negocios/moradia-senior-living-cresce-no-brasil-e-expoe-desafios-de-atender-idosos/ ; ADEMI-RJ, https://ademi.org.br/moradia-senior-living-cresce-no-brasil-e-expoe-desafios-de-atender</t>
      </text>
    </comment>
    <comment ref="C240" authorId="18" shapeId="0" xr:uid="{596E7B83-D1BB-E542-9CB9-3E77E9C2E74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Sirena Gramado Masterplan v5, Sep/2026, https://sirenagramado.netlify.app/</t>
      </text>
    </comment>
    <comment ref="C273" authorId="19" shapeId="0" xr:uid="{5C7B35B2-EDCC-064D-90CB-C9FC8C4C3ED3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InvestNews (2026), https://investnews.com.br/negocios/brasil-envelhecendo-mercado-imobiliario/</t>
      </text>
    </comment>
    <comment ref="C274" authorId="20" shapeId="0" xr:uid="{6A1B2D2C-64C0-DB4A-B516-96B313CD47B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Source: Portas (Mar/2026), https://portas.com.br/noticias/analise-opiniao/senior-living-no-brasil-demanda-cresce-mas-mercado-ainda-busca-o-produto-ideal-para-a-geracao-60/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<sst xmlns="http://schemas.openxmlformats.org/spreadsheetml/2006/main" count="1944" uniqueCount="1070">
  <si>
    <t>n/a</t>
  </si>
  <si>
    <t>Values in R$ thousand</t>
  </si>
  <si>
    <t>COSTS</t>
  </si>
  <si>
    <t>GROSS REVENUE</t>
  </si>
  <si>
    <t>Actual Profit (Lucro Real)</t>
  </si>
  <si>
    <t>Presumed Profit (Lucro Presumido)</t>
  </si>
  <si>
    <t>SALES DEDUCTIONS</t>
  </si>
  <si>
    <t>NET REVENUE</t>
  </si>
  <si>
    <t>CONTRIBUTION MARGIN</t>
  </si>
  <si>
    <t>EBITDA</t>
  </si>
  <si>
    <t>EBITDA (% of net revenue)</t>
  </si>
  <si>
    <t>EBIT</t>
  </si>
  <si>
    <t>EBT</t>
  </si>
  <si>
    <t>IRPJ (corporate income tax)</t>
  </si>
  <si>
    <t>CSLL (social contribution)</t>
  </si>
  <si>
    <t>CASH FLOW</t>
  </si>
  <si>
    <t>NET INCOME</t>
  </si>
  <si>
    <t>(+) IRPJ</t>
  </si>
  <si>
    <t>(+) CSLL</t>
  </si>
  <si>
    <t>DRAWDOWN / AMORTIZATION</t>
  </si>
  <si>
    <t>Drawdown</t>
  </si>
  <si>
    <t>IRPJ / CSLL</t>
  </si>
  <si>
    <t>CASH FLOW FOR THE PERIOD</t>
  </si>
  <si>
    <t>DEBT</t>
  </si>
  <si>
    <t>Total</t>
  </si>
  <si>
    <t>IRPJ - 15%</t>
  </si>
  <si>
    <t>CSLL - 9%</t>
  </si>
  <si>
    <t>Interest</t>
  </si>
  <si>
    <t>Perp.</t>
  </si>
  <si>
    <t>CONSTRUCTION</t>
  </si>
  <si>
    <t>-</t>
  </si>
  <si>
    <t>GRAMADO PROJECT - CLUB MED</t>
  </si>
  <si>
    <t>Lots</t>
  </si>
  <si>
    <t>COSTS AND EXPENSES</t>
  </si>
  <si>
    <t>FINAL RESERVE BALANCE</t>
  </si>
  <si>
    <t>Phase</t>
  </si>
  <si>
    <t>Unit type</t>
  </si>
  <si>
    <t>Nominal SELIC rate (% p.a.)</t>
  </si>
  <si>
    <t>Total / Input</t>
  </si>
  <si>
    <t>ASSUMPTIONS</t>
  </si>
  <si>
    <t>Annual fixed rent (R$ thousand)</t>
  </si>
  <si>
    <t>Revenue advance (R$ thousand)</t>
  </si>
  <si>
    <t>Amount financed (R$ thousand)</t>
  </si>
  <si>
    <t>% of Capex leveraged</t>
  </si>
  <si>
    <t>Nominal interest rate (% p.a.)</t>
  </si>
  <si>
    <t>IPCA inflation (% p.a.)</t>
  </si>
  <si>
    <t>Initial reserve account contribution (R$ thousand)</t>
  </si>
  <si>
    <t>Bank fees - year 1 (R$ thousand)</t>
  </si>
  <si>
    <t>SG&amp;A + expenses (% of gross revenue)</t>
  </si>
  <si>
    <t>Other expenses (% of gross revenue)</t>
  </si>
  <si>
    <t>Depreciation period (years)</t>
  </si>
  <si>
    <t>Operations start year</t>
  </si>
  <si>
    <t>Debt amortization start year</t>
  </si>
  <si>
    <t>Debt amortization term (years)</t>
  </si>
  <si>
    <t>Tax regime</t>
  </si>
  <si>
    <t>NPV discount rate (% p.a.)</t>
  </si>
  <si>
    <t>Terminal cap rate (% p.a.)</t>
  </si>
  <si>
    <t>CLUB MED ANNUAL CAPEX</t>
  </si>
  <si>
    <t>Club Med land</t>
  </si>
  <si>
    <t>Star Ópera development fee</t>
  </si>
  <si>
    <t>TOTAL CLUB MED CAPEX</t>
  </si>
  <si>
    <t>Inflation (% p.a.)</t>
  </si>
  <si>
    <t>Real interest rate (% p.a.)</t>
  </si>
  <si>
    <t>Opening balance</t>
  </si>
  <si>
    <t>Inflow (drawdown)</t>
  </si>
  <si>
    <t>Principal amortization</t>
  </si>
  <si>
    <t>Interest payment</t>
  </si>
  <si>
    <t>CLOSING DEBT BALANCE</t>
  </si>
  <si>
    <t>Bank fees</t>
  </si>
  <si>
    <t>Bank fee growth (%)</t>
  </si>
  <si>
    <t>Reserve account - opening balance</t>
  </si>
  <si>
    <t>Grupo Sirena initial contribution</t>
  </si>
  <si>
    <t>Reserve yield (real SELIC)</t>
  </si>
  <si>
    <t>Interest paid from the reserve</t>
  </si>
  <si>
    <t>INCOME STATEMENT (P&amp;L)</t>
  </si>
  <si>
    <t>Fixed revenue, 18-year contract</t>
  </si>
  <si>
    <t>Variable revenue, 18-year contract (% occupancy)</t>
  </si>
  <si>
    <t>Occupancy rate (assumption)</t>
  </si>
  <si>
    <t>Cost of services rendered</t>
  </si>
  <si>
    <t>SG&amp;A + expenses</t>
  </si>
  <si>
    <t>Other expenses</t>
  </si>
  <si>
    <t>Depreciation &amp; amortization</t>
  </si>
  <si>
    <t>Financial expenses</t>
  </si>
  <si>
    <t>Financial income</t>
  </si>
  <si>
    <t>Net margin (% of net revenue)</t>
  </si>
  <si>
    <t>CALCULATION MEMO — IRPJ / CSLL</t>
  </si>
  <si>
    <t>Presumed base - 32%</t>
  </si>
  <si>
    <t>IRPJ - 10% surcharge</t>
  </si>
  <si>
    <t>IRPJ - total</t>
  </si>
  <si>
    <t>IRPJ + CSLL payable?</t>
  </si>
  <si>
    <t>Tax loss for the year</t>
  </si>
  <si>
    <t>Tax loss used</t>
  </si>
  <si>
    <t>Accumulated tax loss</t>
  </si>
  <si>
    <t>IRPJ - 25% payable</t>
  </si>
  <si>
    <t>CSLL - 9% payable</t>
  </si>
  <si>
    <t>Net income</t>
  </si>
  <si>
    <t>(+) Financial expenses</t>
  </si>
  <si>
    <t>(-) Financial income</t>
  </si>
  <si>
    <t>(+) Depreciation &amp; amortization</t>
  </si>
  <si>
    <t>Amortization + interest (net of amounts paid from the reserve)</t>
  </si>
  <si>
    <t>Reserve account contribution</t>
  </si>
  <si>
    <t>Cumulative cash flow</t>
  </si>
  <si>
    <t>Opening cash balance</t>
  </si>
  <si>
    <t>Closing cash balance</t>
  </si>
  <si>
    <t>NPV (R$ thousand)</t>
  </si>
  <si>
    <t>Development fee</t>
  </si>
  <si>
    <t>PIS - 0.65%</t>
  </si>
  <si>
    <t>COFINS - 3.00%</t>
  </si>
  <si>
    <t>CALCULATION MEMO — IRPJ / CSLL (PRESUMED PROFIT)</t>
  </si>
  <si>
    <t>(-) IRPJ / CSLL</t>
  </si>
  <si>
    <t>(-) Capex</t>
  </si>
  <si>
    <t>IRR (% p.a.)</t>
  </si>
  <si>
    <t>Star Ópera development fee (%)</t>
  </si>
  <si>
    <t>Weddings operating result</t>
  </si>
  <si>
    <t>Convenience mini mall between the civic squares (Zone 10.2) — income asset retained by the developer, outside the sales value (VGV). Assumptions: Sirena Gramado Masterplan v5 (Sep/2026)</t>
  </si>
  <si>
    <t>Input / Total</t>
  </si>
  <si>
    <t>ASSUMPTIONS — MINI MALL</t>
  </si>
  <si>
    <t>Land area (m²)</t>
  </si>
  <si>
    <t>Above-ground built area (m²)</t>
  </si>
  <si>
    <t>Basement / parking, ~40 spaces (m²)</t>
  </si>
  <si>
    <t>Total built area (m²)</t>
  </si>
  <si>
    <t>GLA - gross leasable area (m²)</t>
  </si>
  <si>
    <t>Average rent (R$/m²/month) — site range R$ 90–140</t>
  </si>
  <si>
    <t>Stabilized rental revenue (R$ thousand/year)</t>
  </si>
  <si>
    <t>Variable rent (% of fixed rent)</t>
  </si>
  <si>
    <t>Construction cost (R$/m² built) — range R$ 7,000–8,500</t>
  </si>
  <si>
    <t>Land cost (R$ thousand)</t>
  </si>
  <si>
    <t>Development fee (% of construction)</t>
  </si>
  <si>
    <t>Construction year</t>
  </si>
  <si>
    <t>MINI MALL ANNUAL CAPEX</t>
  </si>
  <si>
    <t>Land</t>
  </si>
  <si>
    <t>Construction (total built area × cost/m²)</t>
  </si>
  <si>
    <t>TOTAL MINI MALL CAPEX</t>
  </si>
  <si>
    <t>Lease-up (% of stabilized rent)</t>
  </si>
  <si>
    <t>Fixed rent</t>
  </si>
  <si>
    <t>Variable rent</t>
  </si>
  <si>
    <t>Key money — GLA of the smaller shops (m²) — shops 1 to 10</t>
  </si>
  <si>
    <t>Key money — months of rent charged</t>
  </si>
  <si>
    <t>Lease term of the smaller shops (years)</t>
  </si>
  <si>
    <t>Key money on renewal — % of GLA with a new tenant</t>
  </si>
  <si>
    <t>Key money (smaller shops, at opening and at each renewal)</t>
  </si>
  <si>
    <t>GRAMADO PROJECT - MINI MALL</t>
  </si>
  <si>
    <t>INVESTOR INDICATORS</t>
  </si>
  <si>
    <t>Cumulative cash flow (without perpetuity)</t>
  </si>
  <si>
    <t>Discount factor</t>
  </si>
  <si>
    <t>Discounted cash flow</t>
  </si>
  <si>
    <t>Cumulative discounted cash flow (without perpetuity)</t>
  </si>
  <si>
    <t>Unlevered cash flow (EBITDA + land + capex + taxes)</t>
  </si>
  <si>
    <t>DSCR — EBITDA / debt service</t>
  </si>
  <si>
    <t>Return</t>
  </si>
  <si>
    <t>IRR with perpetuity (% p.a.)</t>
  </si>
  <si>
    <t>IRR without perpetuity — cash flow through 2045 (% p.a.)</t>
  </si>
  <si>
    <t>Discount rate (% p.a.)</t>
  </si>
  <si>
    <t>NPV with perpetuity (R$ thousand)</t>
  </si>
  <si>
    <t>NPV without perpetuity (R$ thousand)</t>
  </si>
  <si>
    <t>PV of the perpetuity (R$ thousand)</t>
  </si>
  <si>
    <t>Profitability index (PV inflows / PV outflows)</t>
  </si>
  <si>
    <t>Capital and exposure</t>
  </si>
  <si>
    <t>Capital invested — sum of negative cash flows (R$ thousand)</t>
  </si>
  <si>
    <t>Peak cash exposure (R$ thousand)</t>
  </si>
  <si>
    <t>Year of peak exposure</t>
  </si>
  <si>
    <t>Years with negative cash flow</t>
  </si>
  <si>
    <t>Multiple and cash generated</t>
  </si>
  <si>
    <t>Cash returned — sum of positive cash flows through 2045 (R$ thousand)</t>
  </si>
  <si>
    <t>Cumulative cash result through 2045 (R$ thousand)</t>
  </si>
  <si>
    <t>Multiple on invested capital (MOIC) through 2045</t>
  </si>
  <si>
    <t>Multiple with perpetuity</t>
  </si>
  <si>
    <t>Average annual cash flow in positive years (R$ thousand)</t>
  </si>
  <si>
    <t>Average cash yield on peak exposure (% p.a.)</t>
  </si>
  <si>
    <t>Leverage (Club Med)</t>
  </si>
  <si>
    <t>Unlevered IRR with perpetuity (% p.a.)</t>
  </si>
  <si>
    <t>Unlevered NPV (R$ thousand)</t>
  </si>
  <si>
    <t>Total capex (R$ thousand)</t>
  </si>
  <si>
    <t>% of Capex financed</t>
  </si>
  <si>
    <t>Peak debt (R$ thousand)</t>
  </si>
  <si>
    <t>Minimum DSCR</t>
  </si>
  <si>
    <t>Average DSCR</t>
  </si>
  <si>
    <t>IRR with perpetuity</t>
  </si>
  <si>
    <t>IRR without perpetuity</t>
  </si>
  <si>
    <t>Profitability index</t>
  </si>
  <si>
    <t>MOIC through 2045</t>
  </si>
  <si>
    <t>Indicator</t>
  </si>
  <si>
    <t>Capital invested (R$ thousand)</t>
  </si>
  <si>
    <t>Average cash yield on peak exposure (% p.a.)</t>
  </si>
  <si>
    <t>Capex disbursement year</t>
  </si>
  <si>
    <t>SCENARIO — SALE OF CLUB MED IN YEAR 05</t>
  </si>
  <si>
    <t>Operating year in which the sale occurs</t>
  </si>
  <si>
    <t>Year of sale</t>
  </si>
  <si>
    <t>Exit cap rate (% p.a.)</t>
  </si>
  <si>
    <t>Transaction costs (% of sale value)</t>
  </si>
  <si>
    <t>IRPJ + CSLL on capital gain (%)</t>
  </si>
  <si>
    <t>Year of sale (flag)</t>
  </si>
  <si>
    <t>Book value of the asset (Capex − accumulated depreciation)</t>
  </si>
  <si>
    <t>(-) IRPJ + CSLL on capital gain</t>
  </si>
  <si>
    <t>(-) Repayment of outstanding debt</t>
  </si>
  <si>
    <t>(+) Release of the reserve account</t>
  </si>
  <si>
    <t>NET SALE PROCEEDS</t>
  </si>
  <si>
    <t>Operating cash flow until the sale</t>
  </si>
  <si>
    <t>CASH FLOW — SALE SCENARIO</t>
  </si>
  <si>
    <t>Cumulative discounted cash flow</t>
  </si>
  <si>
    <t>Sale</t>
  </si>
  <si>
    <t>Club Med sale value (R$ thousand)</t>
  </si>
  <si>
    <t>Sale value / total Capex</t>
  </si>
  <si>
    <t>Book capital gain (R$ thousand)</t>
  </si>
  <si>
    <t>Net sale proceeds (R$ thousand)</t>
  </si>
  <si>
    <t>IRR — sale scenario (% p.a.)</t>
  </si>
  <si>
    <t>NPV — sale scenario (R$ thousand)</t>
  </si>
  <si>
    <t>IRR difference vs. hold (p.p.)</t>
  </si>
  <si>
    <t>Cash returned (R$ thousand)</t>
  </si>
  <si>
    <t>Cumulative cash result (R$ thousand)</t>
  </si>
  <si>
    <t>MOIC</t>
  </si>
  <si>
    <t>Value of the total land area — base (R$ thousand)</t>
  </si>
  <si>
    <t>Base year of the land value</t>
  </si>
  <si>
    <t>% of land value included in the sale price (land)</t>
  </si>
  <si>
    <t>Land value adjusted by IPCA up to the year of sale (R$ thousand)</t>
  </si>
  <si>
    <t>(-) Transaction costs (on the total price)</t>
  </si>
  <si>
    <t>(+) Land included in the sale price (15% of the total area, adjusted)</t>
  </si>
  <si>
    <t xml:space="preserve">  of which: land included in the price (R$ thousand)</t>
  </si>
  <si>
    <t>Total rent in the year of sale — fixed + variable (cap rate base)</t>
  </si>
  <si>
    <t>Value of the operating property (total rent / exit cap rate)</t>
  </si>
  <si>
    <t>Total price / total rent for the year (x)</t>
  </si>
  <si>
    <t>Sale at the end of the sale year: operating cash flow for the year + sale price = operating property (total fixed + variable rent for the year / cap rate) + land (15% of the total land value of R$ 113 MM, adjusted by the IPCA in E14 since the base year), less transaction costs, 34% IRPJ/CSLL on the capital gain (net price − book value) and repayment of the outstanding debt. No cash flows after the sale.</t>
  </si>
  <si>
    <t>Assumptions, annual Capex, debt, P&amp;L and cash flow — Club Med only (excluding WDC Weddings, Villas and Mini Mall)</t>
  </si>
  <si>
    <t>GRAMADO PROJECT - WDC WEDDINGS</t>
  </si>
  <si>
    <t>WDC WEDDINGS ANNUAL CAPEX</t>
  </si>
  <si>
    <t>WDC Weddings construction + infrastructure</t>
  </si>
  <si>
    <t>TOTAL WDC WEDDINGS CAPEX</t>
  </si>
  <si>
    <t>WDC business plan scenario (Pessimistic / Realistic / Optimistic)</t>
  </si>
  <si>
    <t>Realistic</t>
  </si>
  <si>
    <t>Operations start year</t>
  </si>
  <si>
    <t>Result growth after period 5 (% p.a.)</t>
  </si>
  <si>
    <t>BASE — WDC GRAMADO BUSINESS PLAN (ORIGINAL MODEL, VALUES IN R$)</t>
  </si>
  <si>
    <t>Metric</t>
  </si>
  <si>
    <t>Scenario</t>
  </si>
  <si>
    <t>Period 1</t>
  </si>
  <si>
    <t>Period 2</t>
  </si>
  <si>
    <t>Period 3</t>
  </si>
  <si>
    <t>Period 4</t>
  </si>
  <si>
    <t>Period 5</t>
  </si>
  <si>
    <t>Events held (number)</t>
  </si>
  <si>
    <t>Pessimistic</t>
  </si>
  <si>
    <t>Optimistic</t>
  </si>
  <si>
    <t>Average ticket per event (R$)</t>
  </si>
  <si>
    <t>Other revenue — commissions on F&amp;B, decoration, entertainment, staff, concierge (R$)</t>
  </si>
  <si>
    <t>(-) Taxes, commissions, costs and expenses (R$)</t>
  </si>
  <si>
    <t>Distributable result — check (R$)</t>
  </si>
  <si>
    <t>Operating period (year 1, 2, 3...)</t>
  </si>
  <si>
    <t>Average ticket per event (R$ thousand)</t>
  </si>
  <si>
    <t>Event revenue (venue rental)</t>
  </si>
  <si>
    <t>Other revenue (commissions on F&amp;B, decoration, entertainment, staff, concierge)</t>
  </si>
  <si>
    <t>(-) Taxes, commissions, operating costs and expenses</t>
  </si>
  <si>
    <t>Margin (% of gross revenue)</t>
  </si>
  <si>
    <t>DISTRIBUTABLE RESULT (EBITDA)</t>
  </si>
  <si>
    <t>OPERATING RESULT — WDC WEDDINGS</t>
  </si>
  <si>
    <t>Ticket = venue rental per event (rental module, with a 12% discount, +8% p.a.). Other revenue = 6% commission on suppliers (F&amp;B, decoration, entertainment, staff, concierge). Costs = taxes at 19.5% of revenue + commissions 7.1% + operating expenses. Business plan period 1 = 1st year of operation (E15).</t>
  </si>
  <si>
    <t>WDC Weddings standalone account: Capex, operations (WDC Gramado business plan — pessimistic/realistic/optimistic scenarios) and cash flow. No leverage and no additional income tax (19.5% taxes already in the business plan costs).</t>
  </si>
  <si>
    <t>GRAMADO PROJECT - SKI GRAMADO (ALL-SEASON COMPLEX)</t>
  </si>
  <si>
    <t>Visitor growth (% p.a.) — ramp-up to capacity</t>
  </si>
  <si>
    <t>Operating days per year (for reference)</t>
  </si>
  <si>
    <t>Peak days at 100% occupancy × visitors/day (for reference)</t>
  </si>
  <si>
    <t>General ticket (R$ per visitor)</t>
  </si>
  <si>
    <t>Baseline core slope revenue — ticket, ski, tubing and lessons (R$ thousand)</t>
  </si>
  <si>
    <t>Baseline ancillary revenue — adventure and services (R$ thousand)</t>
  </si>
  <si>
    <t>Price adjustment (% p.a.)</t>
  </si>
  <si>
    <t>Construction start year</t>
  </si>
  <si>
    <t>% of Capex disbursed in the 1st construction year</t>
  </si>
  <si>
    <t>Operations start year (delivery)</t>
  </si>
  <si>
    <t>% of the 1st year in operation (opening during 2029)</t>
  </si>
  <si>
    <t>Total complex Capex (R$ thousand) — excluding the operator's share</t>
  </si>
  <si>
    <t>Opex — staff (R$ thousand/year)</t>
  </si>
  <si>
    <t>Opex — contracts (R$ thousand/year)</t>
  </si>
  <si>
    <t>Utilities — power, water and slope refrigeration (R$ thousand/year)</t>
  </si>
  <si>
    <t>Maintenance and insurance (R$ thousand/year)</t>
  </si>
  <si>
    <t>Fixed cost adjustment (% p.a.)</t>
  </si>
  <si>
    <t>F&amp;B and shop COGS (% of revenue from those items)</t>
  </si>
  <si>
    <t>Marketing and sales commissions (% of gross revenue)</t>
  </si>
  <si>
    <t>Acquirer / payment processing (% of gross revenue)</t>
  </si>
  <si>
    <t>Annual reinvestment (% of gross revenue)</t>
  </si>
  <si>
    <t>Nominal interest rate (% p.a.) — same as Club Med</t>
  </si>
  <si>
    <t>Amortization start year</t>
  </si>
  <si>
    <t>REVENUE MIX — WEIGHTS FROM THE PRESENTATION (p.7)</t>
  </si>
  <si>
    <t>Core — General ticket (calculated: visitors × ticket)</t>
  </si>
  <si>
    <t>Core — Ski</t>
  </si>
  <si>
    <t>Core — Tubing</t>
  </si>
  <si>
    <t>Core — Lessons</t>
  </si>
  <si>
    <t>Ancillary — Conveyor lifts</t>
  </si>
  <si>
    <t>Ancillary — Treetop course + Zipline</t>
  </si>
  <si>
    <t>Ancillary — F&amp;B</t>
  </si>
  <si>
    <t>Ancillary — Photos</t>
  </si>
  <si>
    <t>Ancillary — Souvenir shop</t>
  </si>
  <si>
    <t>Ancillary — Sponsors</t>
  </si>
  <si>
    <t>Sum of core weights excluding the General ticket</t>
  </si>
  <si>
    <t>Sum of ancillary weights</t>
  </si>
  <si>
    <t>Baseline core revenue excluding the General ticket (R$ thousand)</t>
  </si>
  <si>
    <t>ANNUAL CAPEX — SKI GRAMADO</t>
  </si>
  <si>
    <t>Construction disbursement factor</t>
  </si>
  <si>
    <t>Summit (deck R$ 14.2M — prorated in total Capex)</t>
  </si>
  <si>
    <t>Ski (deck R$ 39.4M)</t>
  </si>
  <si>
    <t>Base (deck R$ 22.2M)</t>
  </si>
  <si>
    <t>Global items (deck R$ 32.7M)</t>
  </si>
  <si>
    <t>DEVELOPMENT CAPEX</t>
  </si>
  <si>
    <t>Reinvestment (% of gross revenue)</t>
  </si>
  <si>
    <t>TOTAL CAPEX</t>
  </si>
  <si>
    <t>OPERATIONS</t>
  </si>
  <si>
    <t>Operating year</t>
  </si>
  <si>
    <t>% of the year in operation</t>
  </si>
  <si>
    <t>Visitors in the year</t>
  </si>
  <si>
    <t>Volume index vs. baseline</t>
  </si>
  <si>
    <t>Price index (adjustment)</t>
  </si>
  <si>
    <t>Revenue per visitor (R$)</t>
  </si>
  <si>
    <t>General ticket</t>
  </si>
  <si>
    <t>Ski</t>
  </si>
  <si>
    <t>Tubing</t>
  </si>
  <si>
    <t>Lessons</t>
  </si>
  <si>
    <t>Conveyor lifts</t>
  </si>
  <si>
    <t>Treetop course + Zipline</t>
  </si>
  <si>
    <t>A&amp;B</t>
  </si>
  <si>
    <t>Photos</t>
  </si>
  <si>
    <t>Souvenir shop</t>
  </si>
  <si>
    <t>Sponsors</t>
  </si>
  <si>
    <t>ISS - 5.00%</t>
  </si>
  <si>
    <t>Acquirer / payment processing</t>
  </si>
  <si>
    <t>OPERATING COSTS AND EXPENSES</t>
  </si>
  <si>
    <t>F&amp;B and shop COGS</t>
  </si>
  <si>
    <t>Marketing and sales commissions</t>
  </si>
  <si>
    <t>Staff (headcount structure from the deck)</t>
  </si>
  <si>
    <t>Contracts</t>
  </si>
  <si>
    <t>Utilities — power, water and refrigeration</t>
  </si>
  <si>
    <t>Maintenance and insurance</t>
  </si>
  <si>
    <t>Financial expenses (interest)</t>
  </si>
  <si>
    <t>Presumed base - 32% of gross revenue</t>
  </si>
  <si>
    <t>Drawdown (% of development Capex)</t>
  </si>
  <si>
    <t>Interest for the period</t>
  </si>
  <si>
    <t>DSCR — EBITDA / (interest + amortization)</t>
  </si>
  <si>
    <t>(-) Capex (development + reinvestment)</t>
  </si>
  <si>
    <t>UNLEVERED CASH FLOW</t>
  </si>
  <si>
    <t>(+) Debt drawdown</t>
  </si>
  <si>
    <t>(-) Interest paid</t>
  </si>
  <si>
    <t>(-) Amortization</t>
  </si>
  <si>
    <t>LEVERED CASH FLOW (EQUITY)</t>
  </si>
  <si>
    <t>Cumulative levered cash flow</t>
  </si>
  <si>
    <t>INVESTOR INDICATORS — LEVERED CASH FLOW (EQUITY)</t>
  </si>
  <si>
    <t>Debt</t>
  </si>
  <si>
    <t>% of development Capex financed</t>
  </si>
  <si>
    <t>INVESTOR INDICATORS — UNLEVERED CASH FLOW (PROJECT)</t>
  </si>
  <si>
    <t>CHECK AGAINST THE PRESENTATION (FERG, Apr/2026)</t>
  </si>
  <si>
    <t>Model</t>
  </si>
  <si>
    <t>Deck</t>
  </si>
  <si>
    <t>Difference</t>
  </si>
  <si>
    <t>Visitors — 1st full year</t>
  </si>
  <si>
    <t>Gross revenue — 1st full year (R$ thousand)</t>
  </si>
  <si>
    <t>EBITDA — 1st full year (R$ thousand)</t>
  </si>
  <si>
    <t>EBITDA — 10th operating year (R$ thousand)</t>
  </si>
  <si>
    <t>EBITDA margin on gross revenue — 10th year</t>
  </si>
  <si>
    <t>Project Capex (R$ thousand)</t>
  </si>
  <si>
    <t>Project IRR (unlevered, with perpetuity)</t>
  </si>
  <si>
    <t>Visitors in the 1st full year of operation (deck baseline)</t>
  </si>
  <si>
    <t>VARIABLE RENT TABLE — OCCUPANCY RATE × RENT (R$)</t>
  </si>
  <si>
    <t>Occupancy rate</t>
  </si>
  <si>
    <t>Fixed rent (R$)</t>
  </si>
  <si>
    <t>Variable rent (R$)</t>
  </si>
  <si>
    <t>Variable rent starts at 54% occupancy (R$ 500 thousand) and adds R$ 500 thousand per additional p.p. Used in row 56 (variable revenue) with the occupancy rate in row 57.</t>
  </si>
  <si>
    <t>Senior living residence with services (90 units, southern tip next to the AI/03 clinical complex). Condo-hotel model: Grupo Sirena develops and sells the units to investors with a rental pool; retains a management fee. Assumptions: Sirena Gramado Masterplan v5 (Sep/2026).</t>
  </si>
  <si>
    <t>ASSUMPTIONS — PRODUCT AND OPERATIONS</t>
  </si>
  <si>
    <t>Units (range 80–100)</t>
  </si>
  <si>
    <t>% of independent residents</t>
  </si>
  <si>
    <t>% of semi-dependent residents</t>
  </si>
  <si>
    <t>% of dependent residents</t>
  </si>
  <si>
    <t>Monthly fee — independent (R$ thousand/month)</t>
  </si>
  <si>
    <t>Monthly fee — semi-dependent (R$ thousand/month)</t>
  </si>
  <si>
    <t>Monthly fee — dependent (R$ thousand/month)</t>
  </si>
  <si>
    <t>Stabilized occupancy (%)</t>
  </si>
  <si>
    <t>Occupancy in the 1st operating year (%)</t>
  </si>
  <si>
    <t>Occupancy in the 2nd operating year (%)</t>
  </si>
  <si>
    <t>Monthly fee adjustment (% p.a.) — Club Med IPCA</t>
  </si>
  <si>
    <t>Operating costs — staff, food, utilities and maintenance (% of revenue)</t>
  </si>
  <si>
    <t>Specialized operator fee (% of revenue)</t>
  </si>
  <si>
    <t>Pool management fee retained by Grupo Sirena (% of revenue)</t>
  </si>
  <si>
    <t>FF&amp;E replacement reserve (% of revenue)</t>
  </si>
  <si>
    <t>ASSUMPTIONS — CONSTRUCTION AND UNIT SALES</t>
  </si>
  <si>
    <t>Private area — standard studio (m²)</t>
  </si>
  <si>
    <t>Private area — 1 bedroom (m²)</t>
  </si>
  <si>
    <t>% of studios in the mix</t>
  </si>
  <si>
    <t>Construction cost (R$/m² built)</t>
  </si>
  <si>
    <t>FF&amp;E and equipment per unit (R$ thousand)</t>
  </si>
  <si>
    <t>Design and approvals (% of construction)</t>
  </si>
  <si>
    <t>% of Capex in the 1st construction year</t>
  </si>
  <si>
    <t>Investor target yield (% p.a. on price)</t>
  </si>
  <si>
    <t>% of sales value received in the 1st construction year</t>
  </si>
  <si>
    <t>% of sales value received in the 2nd construction year</t>
  </si>
  <si>
    <t>RET — special tax regime (% of sales)</t>
  </si>
  <si>
    <t>Sales commission and marketing (% of sales)</t>
  </si>
  <si>
    <t>Taxes on the management fee — PIS/COFINS/ISS + presumed IRPJ/CSLL (%)</t>
  </si>
  <si>
    <t>Terminal cap rate of the management fee (% p.a.)</t>
  </si>
  <si>
    <t>PRODUCT AND SALE PRICE (CONDO-HOTEL)</t>
  </si>
  <si>
    <t>Average private area per unit (m²)</t>
  </si>
  <si>
    <t>Total private area (m²)</t>
  </si>
  <si>
    <t>Pool NOI margin (after costs, operator, management and FF&amp;E)</t>
  </si>
  <si>
    <t>Stabilized NOI distributable to investors (R$ thousand/year)</t>
  </si>
  <si>
    <t>Sales value (VGV) — pool price = NOI / target yield (R$ thousand)</t>
  </si>
  <si>
    <t>Average price per unit (R$ thousand)</t>
  </si>
  <si>
    <t>Price per private m² (R$)</t>
  </si>
  <si>
    <t>ANNUAL CAPEX — SENIOR LIVING</t>
  </si>
  <si>
    <t>Construction (built area × cost/m²)</t>
  </si>
  <si>
    <t>FF&amp;E and equipment</t>
  </si>
  <si>
    <t>Design and approvals</t>
  </si>
  <si>
    <t>UNIT SALES</t>
  </si>
  <si>
    <t>Sales receipts (VGV)</t>
  </si>
  <si>
    <t>(-) RET — special tax regime</t>
  </si>
  <si>
    <t>(-) Sales commission and marketing</t>
  </si>
  <si>
    <t>NET SALES REVENUE</t>
  </si>
  <si>
    <t>POOL OPERATIONS (INVESTORS) — FOR REFERENCE</t>
  </si>
  <si>
    <t>Occupancy (%)</t>
  </si>
  <si>
    <t>Occupied units (average)</t>
  </si>
  <si>
    <t>Average monthly fee (R$ thousand/month)</t>
  </si>
  <si>
    <t>POOL REVENUE</t>
  </si>
  <si>
    <t>(-) Operating costs</t>
  </si>
  <si>
    <t>(-) Operator fee</t>
  </si>
  <si>
    <t>(-) Grupo Sirena management fee</t>
  </si>
  <si>
    <t>(-) FF&amp;E reserve</t>
  </si>
  <si>
    <t>NOI DISTRIBUTED TO INVESTORS</t>
  </si>
  <si>
    <t>Investor yield on the price paid (% p.a.)</t>
  </si>
  <si>
    <t>CASH FLOW — GRUPO SIRENA</t>
  </si>
  <si>
    <t>Net sales revenue</t>
  </si>
  <si>
    <t>Pool management fee</t>
  </si>
  <si>
    <t>(-) Taxes on the management fee</t>
  </si>
  <si>
    <t>Stabilized pool revenue — opening-year prices (R$ thousand/year)</t>
  </si>
  <si>
    <t>Profile-weighted average monthly fee — 2026 prices (R$ thousand/month)</t>
  </si>
  <si>
    <t>Development feasibility (condo-hotel)</t>
  </si>
  <si>
    <t>Sales value / VGV (R$ thousand)</t>
  </si>
  <si>
    <t>Development margin — (net sales − Capex) / VGV</t>
  </si>
  <si>
    <t>Cost per private m² (R$)</t>
  </si>
  <si>
    <t>Break-even VGV — net sales = Capex (R$ thousand)</t>
  </si>
  <si>
    <t>Price per private m² at break-even (R$)</t>
  </si>
  <si>
    <t>Investor yield at the break-even price (% p.a.)</t>
  </si>
  <si>
    <t>Investor yield in the 1st stabilized year, model price (% p.a.)</t>
  </si>
  <si>
    <t>Conventions: 2026 cash flow at t=0; perpetuity only on the net management fee (cap rate E44). VGV = stabilized pool NOI at opening-year prices ÷ investor target yield (E37). Grupo Sirena land at no cost, as in the Mini Mall.</t>
  </si>
  <si>
    <t>ALTERNATIVE STRUCTURES — ASSUMPTIONS</t>
  </si>
  <si>
    <t>Rent paid by the operator (% of residence revenue)</t>
  </si>
  <si>
    <t>Implied operator EBITDAR coverage (x)</t>
  </si>
  <si>
    <t>Taxes on rent — PIS/COFINS 3.65% + presumed IRPJ/CSLL 32% × 34%</t>
  </si>
  <si>
    <t>Taxes on service revenue — PIS/COFINS + ISS 5% + presumed IRPJ/CSLL 32% × 34%</t>
  </si>
  <si>
    <t>STRUCTURE 1 — CONDO-HOTEL (UNIT SALES)</t>
  </si>
  <si>
    <t>Cash flow — condo-hotel</t>
  </si>
  <si>
    <t>Cumulative cash flow</t>
  </si>
  <si>
    <t>STRUCTURE 2 — OWN INCOME WITH THIRD-PARTY OPERATOR</t>
  </si>
  <si>
    <t>Residence revenue</t>
  </si>
  <si>
    <t>(-) Taxes (Presumed Profit)</t>
  </si>
  <si>
    <t>Cash flow — own income</t>
  </si>
  <si>
    <t>STRUCTURE 3 — BUILDING LEASED TO AN OPERATOR (BUILT-TO-SUIT)</t>
  </si>
  <si>
    <t>Rent received from the operator</t>
  </si>
  <si>
    <t>(-) Taxes on rent (Presumed Profit)</t>
  </si>
  <si>
    <t>Cash flow — lease</t>
  </si>
  <si>
    <t>COMPARISON OF STRUCTURES</t>
  </si>
  <si>
    <t>Condo-hotel</t>
  </si>
  <si>
    <t>Own income</t>
  </si>
  <si>
    <t>Lease</t>
  </si>
  <si>
    <t>MOIC with perpetuity</t>
  </si>
  <si>
    <t>Adopted structure</t>
  </si>
  <si>
    <t>CASH FLOW FOR THE PERIOD — ADOPTED STRUCTURE (E4)</t>
  </si>
  <si>
    <t>CASH FLOW — CONDO-HOTEL (STRUCTURE 1)</t>
  </si>
  <si>
    <t>STRUCTURE 4 — SALE OF THE LAND TO A SENIOR LIVING OPERATOR/DEVELOPER</t>
  </si>
  <si>
    <t>Land area — southern tip of AI/03 (m²)</t>
  </si>
  <si>
    <t>Land sale price (R$/m²)</t>
  </si>
  <si>
    <t>Land sale value (R$ thousand)</t>
  </si>
  <si>
    <t>Year of receipt — down payment (start of Phase 2)</t>
  </si>
  <si>
    <t>% received as down payment</t>
  </si>
  <si>
    <t>Taxes on the sale — Presumed Profit (PIS/COFINS 3.65% + IRPJ 8% × 25% + CSLL 12% × 9%)</t>
  </si>
  <si>
    <t>Selling costs — brokerage, legal and approvals (% of value)</t>
  </si>
  <si>
    <t>Residual land value for whoever builds and operates (ceiling of what a buyer would pay)</t>
  </si>
  <si>
    <t>Stabilized owner-operator NOI (revenue × (1 − costs − FF&amp;E)) (R$ thousand/year)</t>
  </si>
  <si>
    <t>Buyer cap rate (% p.a.) — return benchmark for the site</t>
  </si>
  <si>
    <t>Value of the completed development (R$ thousand)</t>
  </si>
  <si>
    <t>Margin required by the developer (% of Capex)</t>
  </si>
  <si>
    <t>Residual land value = completed value − Capex × (1 + margin) (R$ thousand)</t>
  </si>
  <si>
    <t>Residual value per m² of land (R$/m²)</t>
  </si>
  <si>
    <t>Land sale receipts</t>
  </si>
  <si>
    <t>(-) Taxes</t>
  </si>
  <si>
    <t>(-) Selling costs</t>
  </si>
  <si>
    <t>Cash flow — land sale</t>
  </si>
  <si>
    <t>Land sale</t>
  </si>
  <si>
    <t>STRUCTURE 5 — BUILD THE SHELL (WITHOUT FF&amp;E) AND SELL THE BUILDING TO THE OPERATOR</t>
  </si>
  <si>
    <t>Saleable private area (m²)</t>
  </si>
  <si>
    <t>Building sale value (R$ thousand)</t>
  </si>
  <si>
    <t>% received in the 1st construction year (down payment)</t>
  </si>
  <si>
    <t>% received in the 2nd construction year</t>
  </si>
  <si>
    <t>Selling costs — brokerage and legal (% of value)</t>
  </si>
  <si>
    <t>Shell Capex — construction + design + development fee, without FF&amp;E (R$ thousand)</t>
  </si>
  <si>
    <t>Shell cost per private m² (R$)</t>
  </si>
  <si>
    <t>Development margin — (net sale − Capex) / sale</t>
  </si>
  <si>
    <t>Break-even price (R$/private m²)</t>
  </si>
  <si>
    <t>Building sale receipts</t>
  </si>
  <si>
    <t>(-) RET</t>
  </si>
  <si>
    <t>(-) Shell Capex</t>
  </si>
  <si>
    <t>Cash flow — shell sold to the operator</t>
  </si>
  <si>
    <t>Shell to operator</t>
  </si>
  <si>
    <t>Structure adopted in the cash flow (1 condo-hotel · 2 own income · 3 lease · 4 land sale · 5 shell to operator) — highest IRR</t>
  </si>
  <si>
    <t>WHY THE SHELL SOLD TO THE OPERATOR IS THE BEST STRUCTURE (HIGHEST IRR)</t>
  </si>
  <si>
    <t>2. Land sale (NPV +R$ 13.9 million, no IRR since there is no outlay) creates more absolute value with no construction risk, but depends on a buyer paying R$ 1,500/m² — the calculated residual value is negative. Condo-hotel (-10.6%), own income (-2.0%) and lease (3.1%) do not pay back the R$ 65–76 million of Capex, because the residence revenue (R$ 10.6 million/year) is low for that investment.</t>
  </si>
  <si>
    <t>Automatic selection in E4 by the highest IRR among the 5 structures. The figures in this note are fixed text; the comparison table above updates on its own.</t>
  </si>
  <si>
    <t>Grupo Sirena target IRR (% p.a.)</t>
  </si>
  <si>
    <t>Minimum sale price for the target IRR (R$/private m²)</t>
  </si>
  <si>
    <t>Investor (operator) yield on the building price — stabilized NOI / price</t>
  </si>
  <si>
    <t>Investor's final yield on total investment (price + FF&amp;E)</t>
  </si>
  <si>
    <t>Check — IRR of the structure 5 cash flow at the adopted price</t>
  </si>
  <si>
    <t>Sale price to the operator (R$/private m²) — = minimum price for the target IRR (E214)</t>
  </si>
  <si>
    <t>Operator yield on (price + FF&amp;E) — see E216</t>
  </si>
  <si>
    <t>1. Shell to operator (IRR 18.1%, NPV +R$ 2.3 million): we build only construction + design + fee (R$ 68.5 million, R$ 15.4 thousand/private m², without FF&amp;E) and sell at the minimum price that secures an 18% IRR: R$ 18,470/private m² (R$ 82.3 million). 9.8% margin, 20% down payment + 30% during construction, peak exposure of R$ 30.2 million and cash back at delivery (2031).</t>
  </si>
  <si>
    <t>3. Investor's (operator's) final yield: 4.9% on the building price and 4.5% on price + FF&amp;E (stabilized NOI of ~R$ 4.0 million/year) — below the 8% benchmark. For the operator to reach 8%, NOI would need to be ~R$ 7.2 million/year (revenue ~78% higher). Validate the price with operators before committing to construction.</t>
  </si>
  <si>
    <t>GRAMADO PROJECT - CONVENTION CENTER (ALTERNATIVE TO SENIOR LIVING)</t>
  </si>
  <si>
    <t>EVENTS MARKET — GRAMADO / CANELA</t>
  </si>
  <si>
    <t>Monitored events in Gramado in 2025 (CVB / PROMEGC)</t>
  </si>
  <si>
    <t>Event attendees in Gramado + Canela in 2025</t>
  </si>
  <si>
    <t>Average audience per event (people)</t>
  </si>
  <si>
    <t>Target share of the center in the number of Gramado events</t>
  </si>
  <si>
    <t>PROGRAM — SIZING OF THE CONVENTION CENTER</t>
  </si>
  <si>
    <t>Modular rooms — 10 rooms for 80 to 200 people (m²)</t>
  </si>
  <si>
    <t>Foyers, registration and circulation (m²)</t>
  </si>
  <si>
    <t>Industrial kitchen, loading docks, dressing rooms and technical support (m²)</t>
  </si>
  <si>
    <t>Land area (m²) — same as Senior Living</t>
  </si>
  <si>
    <t>Same land as the Senior Living (southern tip of AI/03). Mid-sized congress center integrated with Club Med: Grupo Sirena builds the shell and sells the building to an events operator. No FF&amp;E in our Capex.</t>
  </si>
  <si>
    <t>Monitored events in Gramado + Canela in 2025</t>
  </si>
  <si>
    <t>% of corporate events (largest segment)</t>
  </si>
  <si>
    <t>Main auditorium — 1,200 seats (≈ 1.1 m²/seat + stage and wings) (m²)</t>
  </si>
  <si>
    <t>Multipurpose hall — fairs and banquets up to 2,000 people (m²)</t>
  </si>
  <si>
    <t>Maximum footprint — 30% lot coverage in zone 10.4 (m²)</t>
  </si>
  <si>
    <t>Floors required (built area / footprint)</t>
  </si>
  <si>
    <t>Maximum simultaneous capacity (people) — auditorium + rooms</t>
  </si>
  <si>
    <t>EVENT CALENDAR (STABILIZED YEAR, 2026 PRICES)</t>
  </si>
  <si>
    <t>Events/year</t>
  </si>
  <si>
    <t>Days/event</t>
  </si>
  <si>
    <t>Average audience</t>
  </si>
  <si>
    <t>Rental R$ thousand/day</t>
  </si>
  <si>
    <t>F&amp;B R$/person/day</t>
  </si>
  <si>
    <t>Event-days</t>
  </si>
  <si>
    <t>Person-days</t>
  </si>
  <si>
    <t>Congresses and conventions (800–2,500 people)</t>
  </si>
  <si>
    <t>Corporate events (200–800 people)</t>
  </si>
  <si>
    <t>B2B fairs and exhibitions</t>
  </si>
  <si>
    <t>Graduations, social events and shows (F&amp;B by outsourced caterer)</t>
  </si>
  <si>
    <t>Venue rental revenue</t>
  </si>
  <si>
    <t>F&amp;B revenue</t>
  </si>
  <si>
    <t>Audiovisual, technology and services (% of rental)</t>
  </si>
  <si>
    <t>Audiovisual and services revenue</t>
  </si>
  <si>
    <t>Sponsorship, naming rights and parking (R$ thousand/year)</t>
  </si>
  <si>
    <t>OPERATOR REVENUE — stabilized year, 2026 prices</t>
  </si>
  <si>
    <t>OPERATOR COSTS AND NOI (STABILIZED YEAR, 2026 PRICES)</t>
  </si>
  <si>
    <t>F&amp;B cost — supplies and staff (% of F&amp;B revenue)</t>
  </si>
  <si>
    <t>Variable event costs — cleaning, security, set-up (% of rental + AV)</t>
  </si>
  <si>
    <t>Fixed costs — staff, power, maintenance, sales and insurance (R$ thousand/year)</t>
  </si>
  <si>
    <t>Taxes on operator revenue — PIS/COFINS 3.65% + ISS 5%</t>
  </si>
  <si>
    <t>OPERATOR NOI</t>
  </si>
  <si>
    <t>NOI margin (% of revenue)</t>
  </si>
  <si>
    <t>Operator FF&amp;E — seating, audiovisual, kitchen and furniture (R$/m² built)</t>
  </si>
  <si>
    <t>Total FF&amp;E paid by the operator (R$ thousand)</t>
  </si>
  <si>
    <t>For comparison: Senior Living FF&amp;E (R$ thousand)</t>
  </si>
  <si>
    <t>ASSUMPTIONS — CONSTRUCTION AND SALE OF THE BUILDING TO THE OPERATOR</t>
  </si>
  <si>
    <t>Construction cost (R$/m² built) — construction only</t>
  </si>
  <si>
    <t>Construction start year (Phase 2, same as Senior Living)</t>
  </si>
  <si>
    <t>Calendar occupancy — 1st operating year</t>
  </si>
  <si>
    <t>Calendar occupancy — 2nd operating year</t>
  </si>
  <si>
    <t>Price and cost adjustment (% p.a.) — Club Med IPCA</t>
  </si>
  <si>
    <t>Grupo Sirena target IRR (% p.a.) — same as Senior Living</t>
  </si>
  <si>
    <t>% of the price received in the 1st construction year (down payment)</t>
  </si>
  <si>
    <t>% of the price received in the 2nd construction year</t>
  </si>
  <si>
    <t>ANNUAL CAPEX — CONVENTION CENTER SHELL (WITHOUT FF&amp;E)</t>
  </si>
  <si>
    <t>SALE PRICE TO THE OPERATOR</t>
  </si>
  <si>
    <t>Minimum price for the target IRR (R$ thousand)</t>
  </si>
  <si>
    <t>Adopted sale price (R$ thousand) — rounded minimum</t>
  </si>
  <si>
    <t>Price per m² built (R$)</t>
  </si>
  <si>
    <t>Capex per m² built (R$)</t>
  </si>
  <si>
    <t>CENTER OPERATIONS (OPERATOR) — FOR REFERENCE</t>
  </si>
  <si>
    <t>Calendar occupancy (%)</t>
  </si>
  <si>
    <t>Price index (base 2026)</t>
  </si>
  <si>
    <t>OPERATOR REVENUE</t>
  </si>
  <si>
    <t>(-) Taxes and FF&amp;E reserve</t>
  </si>
  <si>
    <t>(-) Variable costs (F&amp;B and events)</t>
  </si>
  <si>
    <t>(-) Fixed costs</t>
  </si>
  <si>
    <t>Operator yield on (price + FF&amp;E) (% p.a.)</t>
  </si>
  <si>
    <t>INVESTOR (OPERATOR) YIELD</t>
  </si>
  <si>
    <t>Operator FF&amp;E at opening-year prices (R$ thousand)</t>
  </si>
  <si>
    <t>Total operator investment — price + FF&amp;E (R$ thousand)</t>
  </si>
  <si>
    <t>Operator yield on the building price</t>
  </si>
  <si>
    <t>OPERATOR'S FINAL YIELD on (price + FF&amp;E)</t>
  </si>
  <si>
    <t>For comparison: operator's final yield in the Senior Living</t>
  </si>
  <si>
    <t>Stabilized NOI (100% of the calendar) at opening-year prices — same basis as Senior Living (R$ thousand)</t>
  </si>
  <si>
    <t>Cash returned — sum of positive cash flows (R$ thousand)</t>
  </si>
  <si>
    <t>Cash result (R$ thousand)</t>
  </si>
  <si>
    <t>Multiple on invested capital (MOIC)</t>
  </si>
  <si>
    <t>COMPARISON — CONVENTION CENTER × SENIOR LIVING (SHELL SOLD TO THE OPERATOR)</t>
  </si>
  <si>
    <t>Conventions</t>
  </si>
  <si>
    <t>Senior Living</t>
  </si>
  <si>
    <t>Built area (m²)</t>
  </si>
  <si>
    <t>Grupo Sirena Capex (R$ thousand)</t>
  </si>
  <si>
    <t>Sale price to the operator (R$ thousand)</t>
  </si>
  <si>
    <t>FF&amp;E paid by the operator (R$ thousand, 2026 prices)</t>
  </si>
  <si>
    <t>Operator stabilized NOI (R$ thousand/year, opening-year prices)</t>
  </si>
  <si>
    <t>Operator's final yield on (price + FF&amp;E)</t>
  </si>
  <si>
    <t>Grupo Sirena IRR</t>
  </si>
  <si>
    <t>Grupo Sirena NPV (R$ thousand)</t>
  </si>
  <si>
    <t>POTENTIAL — PRICE THE OPERATOR WOULD STILL PAY AT AN 8% YIELD</t>
  </si>
  <si>
    <t>Operator target yield (% p.a.) — masterplan benchmark</t>
  </si>
  <si>
    <t>Maximum building price = stabilized NOI / target yield − FF&amp;E (R$ thousand)</t>
  </si>
  <si>
    <t>Maximum price per m² built (R$)</t>
  </si>
  <si>
    <t>Grupo Sirena cash flow selling at the maximum price</t>
  </si>
  <si>
    <t>Grupo Sirena NPV at the maximum price (R$ thousand)</t>
  </si>
  <si>
    <t>Grupo Sirena IRR at the maximum price (% p.a.) — very high because the down payments almost cover construction</t>
  </si>
  <si>
    <t>CONVENTION CENTER × SENIOR LIVING — READING</t>
  </si>
  <si>
    <t>1. Market: Gramado hosted 575 events in 2025 (681 including Canela, 272 thousand attendees, 43% corporate — CVB/PROMEGC). Large pavilions already exist (Serra Park, 28 thousand m²; ExpoGramado), but there is no mid-sized congress center with a 1,200-seat auditorium + modular rooms next to hotel accommodation (Club Med). Program of 7,500 m² on 2 floors (30% lot coverage = 4,305 m²) and 116 events/year (~20% of Gramado's events).</t>
  </si>
  <si>
    <t>2. For the operator: stabilized revenue of R$ 27.7 million (2026 prices) and 24.8% NOI → final yield of 12.3% on price + FF&amp;E, versus 4.5% in the Senior Living. FF&amp;E drops from R$ 7.2 million to R$ 4.5 million and NOI more than doubles (R$ 9.0 million vs. R$ 4.0 million).</t>
  </si>
  <si>
    <t>3. For Grupo Sirena, at the same 18% IRR: Capex R$ 12.3 million lower (R$ 56.2 million at R$ 7,000/m²), peak exposure of R$ 24.8 million (−5.4 million) and a similar NPV. The real gain is in the price: at an 8% yield the operator would still pay up to R$ 107 million (R$ 14.3 thousand/m²), NPV of +R$ 26.4 million — the Senior Living cannot even support the 18% price.</t>
  </si>
  <si>
    <t>4. Risks: a calendar of 116 events depends on active sales efforts (CVB, Club Med and Rossi &amp; Zorzanello/Festuris); competition from the new Arena Gramadense (shows) and Serra Park (fairs). Conclusion: on the same land, the convention center is easier to sell and has more pricing headroom than the Senior Living.</t>
  </si>
  <si>
    <t>PRESENTATION SUMMARY — CONVENTION CENTER × SENIOR LIVING</t>
  </si>
  <si>
    <t>Slide title</t>
  </si>
  <si>
    <t>Key message</t>
  </si>
  <si>
    <t>1. Events market — Gramado / Canela (2025)</t>
  </si>
  <si>
    <t>•</t>
  </si>
  <si>
    <t>2. Center program</t>
  </si>
  <si>
    <t>3. Calendar and operations (stabilized year, 2026 prices)</t>
  </si>
  <si>
    <t>4. Comparison — shell sold to the operator</t>
  </si>
  <si>
    <t>5. Pricing headroom</t>
  </si>
  <si>
    <t>6. Caveats</t>
  </si>
  <si>
    <t>PRESENTATION SUMMARY — WDC WEDDINGS (DESTINATION WEDDING)</t>
  </si>
  <si>
    <t>1. Wedding market</t>
  </si>
  <si>
    <t>2. The product</t>
  </si>
  <si>
    <t>3. Operations (adopted scenario)</t>
  </si>
  <si>
    <t>4. WDC business plan scenarios — 5th operating year</t>
  </si>
  <si>
    <t>Distributable result (R$ thousand)</t>
  </si>
  <si>
    <t>5. Investor indicators</t>
  </si>
  <si>
    <t>Value</t>
  </si>
  <si>
    <t>PRESENTATION SUMMARY — SENIOR LIVING</t>
  </si>
  <si>
    <t>1. Market — demographics and senior living</t>
  </si>
  <si>
    <t>3. Operations and adopted structure (shell sold to the operator)</t>
  </si>
  <si>
    <t>4. Comparison of the structures assessed</t>
  </si>
  <si>
    <t>5. Senior Living × Convention Center (same land)</t>
  </si>
  <si>
    <t>FF&amp;E CAPEX — MONTHLY FLOW (FF&amp;E &amp; PMH Cash Flow — R00, 30/07) · R$ thousand</t>
  </si>
  <si>
    <t>Month</t>
  </si>
  <si>
    <t>Budget</t>
  </si>
  <si>
    <t>Year (to annualize in Capex — row 31)</t>
  </si>
  <si>
    <t>Items included in the Club Med Capex</t>
  </si>
  <si>
    <t>FF&amp;E ROOMS AND CORRIDOR</t>
  </si>
  <si>
    <t>FF&amp;E PUBLIC AREAS</t>
  </si>
  <si>
    <t>FF&amp;E BOH</t>
  </si>
  <si>
    <t>SIGNAGE</t>
  </si>
  <si>
    <t>SUPPORT TEAM</t>
  </si>
  <si>
    <t>INSTALLATION CONTRACTOR (6%)</t>
  </si>
  <si>
    <t>ELEVATOR DECORATION</t>
  </si>
  <si>
    <t>KITCHEN/LAUNDRY</t>
  </si>
  <si>
    <t>PRODUCTION</t>
  </si>
  <si>
    <t>ART PACKAGE</t>
  </si>
  <si>
    <t>IT (items usually priced in US$)*</t>
  </si>
  <si>
    <t>FF&amp;E INCLUDED IN CAPEX — TOTAL</t>
  </si>
  <si>
    <t>Budget of the included items</t>
  </si>
  <si>
    <t>Difference monthly flow × budget (Installation contractor: the file's flow adds up to less than 6%)</t>
  </si>
  <si>
    <t>ITEMS OUTSIDE THE CASH FLOW — CAVEATS</t>
  </si>
  <si>
    <t>PMH (OSE) — cost to be borne by Club Med (file schedule, for reference only)</t>
  </si>
  <si>
    <t>Contingencies — not included in the cash flow:</t>
  </si>
  <si>
    <t xml:space="preserve">   Design and administration</t>
  </si>
  <si>
    <t xml:space="preserve">   Approvals + public counterparts</t>
  </si>
  <si>
    <t xml:space="preserve">   Club Med fees</t>
  </si>
  <si>
    <t>Total contingencies</t>
  </si>
  <si>
    <t>FF&amp;E &amp; PMH file total (included budget + PMH + contingencies)</t>
  </si>
  <si>
    <t>Caveat: the PMH (OSE) will be borne by Club Med and the last three lines of the file (Design and administration, Approvals + public counterparts, Club Med fees) are kept as contingencies — none of these amounts enters the Capex, the cash flow or the indicators.</t>
  </si>
  <si>
    <t>CIVIL WORKS CAPEX — MONTHLY FLOW (construction curve transferred from the CAPEX tab) · R$ thousand</t>
  </si>
  <si>
    <t>Year (to annualize in Capex — rows 29, 30 and 32)</t>
  </si>
  <si>
    <t>Club Med civil works budget (R$ thousand)</t>
  </si>
  <si>
    <t>Club Med total built area (m²)</t>
  </si>
  <si>
    <t>Cost per m² built (R$/m²)</t>
  </si>
  <si>
    <t>Star Ópera development fee (% of civil works)</t>
  </si>
  <si>
    <t>Club Med land (R$ thousand) — no cost in the current model</t>
  </si>
  <si>
    <t>Construction curve (% of budget per month)</t>
  </si>
  <si>
    <t>Area built in the month (m²)</t>
  </si>
  <si>
    <t>Civil works — monthly</t>
  </si>
  <si>
    <t>Star Ópera development fee — monthly</t>
  </si>
  <si>
    <t>Land — monthly (booked in the 1st month)</t>
  </si>
  <si>
    <t>CLUB MED CONSTRUCTION CAPEX — MONTHLY TOTAL (construction + fee + land)</t>
  </si>
  <si>
    <t>Monthly construction curve (Jan/26–Jul/27, 19 months) copied from the CAPEX tab, row 11, before the Club Med block was removed. Inputs in blue.</t>
  </si>
  <si>
    <t>WDC Weddings construction + infrastructure Capex (R$ thousand) — 3,000 m²; breakdown from the WDC business plan</t>
  </si>
  <si>
    <t>Values in R$ thousand</t>
  </si>
  <si>
    <t>Value / %</t>
  </si>
  <si>
    <t>Start</t>
  </si>
  <si>
    <t>Months</t>
  </si>
  <si>
    <t>Base</t>
  </si>
  <si>
    <t>GENERAL ASSUMPTIONS</t>
  </si>
  <si>
    <t>Model start (1st month)</t>
  </si>
  <si>
    <t>Annual price list adjustment (% p.a., from launch)</t>
  </si>
  <si>
    <t>PRODUCT MIX</t>
  </si>
  <si>
    <t>Units</t>
  </si>
  <si>
    <t>Private area (m²)</t>
  </si>
  <si>
    <t>Average area (m²)</t>
  </si>
  <si>
    <t>Price (R$/m²)</t>
  </si>
  <si>
    <t>TOTAL / AVERAGE</t>
  </si>
  <si>
    <t>Construction cost (R$/m² built) · start · duration</t>
  </si>
  <si>
    <t>× built area</t>
  </si>
  <si>
    <t>Infrastructure / common areas (R$ thousand) — follows the construction curve</t>
  </si>
  <si>
    <t>construction curve</t>
  </si>
  <si>
    <t>Construction curve (1 = S-curve; 0 = linear)</t>
  </si>
  <si>
    <t>Keys / delivery</t>
  </si>
  <si>
    <t>SALES PACE</t>
  </si>
  <si>
    <t>% of VGV</t>
  </si>
  <si>
    <t>Launch</t>
  </si>
  <si>
    <t>During construction (remainder)</t>
  </si>
  <si>
    <t>After keys (inventory)</t>
  </si>
  <si>
    <t>Total sold</t>
  </si>
  <si>
    <t>Bank transfer / settlement (month)</t>
  </si>
  <si>
    <t>PAYMENT PLAN</t>
  </si>
  <si>
    <t>% of price</t>
  </si>
  <si>
    <t>Down payment (in the month of sale)</t>
  </si>
  <si>
    <t>Monthly installments until keys (includes semi-annual)</t>
  </si>
  <si>
    <t>Keys</t>
  </si>
  <si>
    <t>Bank transfer / buyer's mortgage</t>
  </si>
  <si>
    <t>Sales after keys pay down payment + monthly installments + keys upfront and the bank transfer on the transfer date.</t>
  </si>
  <si>
    <t>Installments</t>
  </si>
  <si>
    <t>Total (R$ thousand)</t>
  </si>
  <si>
    <t>Land — cash payment (R$ thousand)</t>
  </si>
  <si>
    <t>R$ thousand</t>
  </si>
  <si>
    <t>ITBI transfer tax (% of land)</t>
  </si>
  <si>
    <t>% land</t>
  </si>
  <si>
    <t>Development / design cost (R$ thousand)</t>
  </si>
  <si>
    <t>Legal (R$ thousand)</t>
  </si>
  <si>
    <t>Approvals (R$ thousand)</t>
  </si>
  <si>
    <t>Other costs / contingency (R$ thousand)</t>
  </si>
  <si>
    <t>Construction management (% of construction)</t>
  </si>
  <si>
    <t>% construction</t>
  </si>
  <si>
    <t>Developer's administration fee (% of VGV)</t>
  </si>
  <si>
    <t>% VGV</t>
  </si>
  <si>
    <t>Marketing / sales office / decoration (% of VGV)</t>
  </si>
  <si>
    <t>Brokerage (% of sales, in the month of sale)</t>
  </si>
  <si>
    <t>% sales</t>
  </si>
  <si>
    <t>Taxes on receipts — RET (%)</t>
  </si>
  <si>
    <t>% receipts</t>
  </si>
  <si>
    <t>Star Ópera development fee (% of receipts)</t>
  </si>
  <si>
    <t>Receivables transfer fee (% of the transfer)</t>
  </si>
  <si>
    <t>% transfer</t>
  </si>
  <si>
    <t>CONSTRUCTION FINANCING (DEVELOPER LOAN)</t>
  </si>
  <si>
    <t>Financing (% of construction cost) — the SPV pays the initial portion, the bank releases the rest</t>
  </si>
  <si>
    <t>Interest (% p.a.) — paid monthly</t>
  </si>
  <si>
    <t>Full repayment (month)</t>
  </si>
  <si>
    <t>Month no.</t>
  </si>
  <si>
    <t>Year</t>
  </si>
  <si>
    <t>MONTHLY CASH FLOW</t>
  </si>
  <si>
    <t>SALES</t>
  </si>
  <si>
    <t>% of VGV sold in the month</t>
  </si>
  <si>
    <t>% sold, cumulative</t>
  </si>
  <si>
    <t>Units sold in the month</t>
  </si>
  <si>
    <t>Price list adjustment index</t>
  </si>
  <si>
    <t>Contracted sales (R$ thousand)</t>
  </si>
  <si>
    <t>RECEIPTS</t>
  </si>
  <si>
    <t>Aux.: monthly installment generated by the month's sales</t>
  </si>
  <si>
    <t>Down payment / at signing</t>
  </si>
  <si>
    <t>Monthly installments</t>
  </si>
  <si>
    <t>Bank transfer / buyer's mortgage</t>
  </si>
  <si>
    <t>TOTAL RECEIPTS</t>
  </si>
  <si>
    <t>(-) Brokerage</t>
  </si>
  <si>
    <t>(-) Star Ópera development fee</t>
  </si>
  <si>
    <t>(-) Receivables transfer fee</t>
  </si>
  <si>
    <t>Aux.: construction month</t>
  </si>
  <si>
    <t>Construction curve (% in the month)</t>
  </si>
  <si>
    <t>Construction works</t>
  </si>
  <si>
    <t>Infrastructure / common areas</t>
  </si>
  <si>
    <t>TOTAL COSTS</t>
  </si>
  <si>
    <t>UNLEVERED CASH FLOW</t>
  </si>
  <si>
    <t>Cumulative unlevered cash flow</t>
  </si>
  <si>
    <t>FINANCING</t>
  </si>
  <si>
    <t>Aux.: cumulative construction</t>
  </si>
  <si>
    <t>Aux.: cumulative bank disbursement</t>
  </si>
  <si>
    <t>Opening loan balance</t>
  </si>
  <si>
    <t>(+) Loan disbursement</t>
  </si>
  <si>
    <t>(-) Interest</t>
  </si>
  <si>
    <t>Closing loan balance</t>
  </si>
  <si>
    <t>LEVERED CASH FLOW (INVESTOR)</t>
  </si>
  <si>
    <t>Cumulative levered cash flow (exposure)</t>
  </si>
  <si>
    <t>Contributions (capital calls)</t>
  </si>
  <si>
    <t>Distributions</t>
  </si>
  <si>
    <t>ANNUAL SUMMARY (for the MANAGEMENT tab)</t>
  </si>
  <si>
    <t>Net revenue</t>
  </si>
  <si>
    <t>Total costs</t>
  </si>
  <si>
    <t>Unlevered cash flow</t>
  </si>
  <si>
    <t>PROJECT INDICATORS</t>
  </si>
  <si>
    <t>Unlevered</t>
  </si>
  <si>
    <t>Levered</t>
  </si>
  <si>
    <t>Total receipts (R$ thousand)</t>
  </si>
  <si>
    <t>Net revenue (R$ thousand)</t>
  </si>
  <si>
    <t>Total costs (R$ thousand)</t>
  </si>
  <si>
    <t>Profit (R$ thousand)</t>
  </si>
  <si>
    <t>Margin on VGV (%)</t>
  </si>
  <si>
    <t>NPV at the discount rate (R$ thousand)</t>
  </si>
  <si>
    <t>Month of peak exposure</t>
  </si>
  <si>
    <t>Multiple (cash inflows / outflows)</t>
  </si>
  <si>
    <t>Profit / peak exposure (x)</t>
  </si>
  <si>
    <t>Interest paid on the loan (R$ thousand)</t>
  </si>
  <si>
    <t>CHECKS</t>
  </si>
  <si>
    <t>Sales add up to 100% of VGV</t>
  </si>
  <si>
    <t>Payment plan adds up to 100%</t>
  </si>
  <si>
    <t>Receipts = contracted sales</t>
  </si>
  <si>
    <t>Bank transfer within the 84-month horizon</t>
  </si>
  <si>
    <t>Debt repaid</t>
  </si>
  <si>
    <t>(-) Taxes on receipts (RET, on receipts net of brokerage)</t>
  </si>
  <si>
    <t>Business plan multiple (profit / peak exposure)</t>
  </si>
  <si>
    <t>Notes: (1) construction S-curve = normalized sine (adds up to 100%); (2) monthly installments start in the month of sale and run until the month before keys; (3) monthly IRR annualized; (4) NPV discounts the 1st month by one period; (5) RET on receipts net of brokerage, as in the Lots business plan; (6) contributions = months of negative cash, distributions = positive cash (no cash retention).</t>
  </si>
  <si>
    <t>CLUB MED GRAMADO VILLAS — 26 HOUSES (REVISED SITE PLAN)</t>
  </si>
  <si>
    <t>Development of the 26 houses on LH05 (UNYT corner): 3 × 2-bed, 14 × 3-bed, 9 × 4-bed ≈ 5,770 m² usable, 84 bedrooms + 25×12 pool, tennis court and concierge. Same engine as the DEVELOPMENT MODEL; high-end payment plan (fast collection, no bank mortgage transfer).</t>
  </si>
  <si>
    <t>2-bed villa (≈157 m²)</t>
  </si>
  <si>
    <t>3-bed villa (≈210 m²)</t>
  </si>
  <si>
    <t>4-bed villa (≈262 m²)</t>
  </si>
  <si>
    <t>Built area — basis for construction cost (m²) = usable area of the houses</t>
  </si>
  <si>
    <t>Bank transfer / buyer's mortgage (high-end: no transfer)</t>
  </si>
  <si>
    <t>Property tax (IPTU) + initial expenses (R$ thousand)</t>
  </si>
  <si>
    <t>Scenario adopted in the MANAGEMENT cash flow (the investor chooses)</t>
  </si>
  <si>
    <t>Both scenarios are calculated side by side in the indicators (rows 118–133).</t>
  </si>
  <si>
    <t>Scenario feeding the MANAGEMENT tab</t>
  </si>
  <si>
    <t>EXTERNAL INFRASTRUCTURE — UTILITIES AND PHASE 1 ROADS · R$ thousand</t>
  </si>
  <si>
    <t>Amount (R$ thousand)</t>
  </si>
  <si>
    <t>End</t>
  </si>
  <si>
    <t>Utilities (water, sewage, power and gas networks)</t>
  </si>
  <si>
    <t>Phase 1 roads</t>
  </si>
  <si>
    <t>Total external infrastructure</t>
  </si>
  <si>
    <t>Amounts booked in equal monthly installments and annualized in Capex rows 33 and 34. No Star Ópera development fee (the fee applies only to civil works).</t>
  </si>
  <si>
    <t>SURF VILLAGE — VERTICAL DEVELOPMENT IN 3 PHASES</t>
  </si>
  <si>
    <t>≈257 apartments of 75–260 m² (average 140 m²) at R$ 23 thousand/private m², split into 3 phases. Wave pool and Surf Lodge (60 keys) outside the model — options for the investor. Assumptions: Sirena Gramado Masterplan v5 (Sep/2026).</t>
  </si>
  <si>
    <t>Phase 1</t>
  </si>
  <si>
    <t>Phase 2</t>
  </si>
  <si>
    <t>Phase 3</t>
  </si>
  <si>
    <t>Total / Base</t>
  </si>
  <si>
    <t>Annual price list adjustment (% p.a.)</t>
  </si>
  <si>
    <t>Lag between the start of each phase (months)</t>
  </si>
  <si>
    <t>PRODUCT AND VGV</t>
  </si>
  <si>
    <t>Phase no.</t>
  </si>
  <si>
    <t>Units (apartments)</t>
  </si>
  <si>
    <t>Average private area (m²)</t>
  </si>
  <si>
    <t>Sale price (R$/private m²)</t>
  </si>
  <si>
    <t>Built / private area factor (includes circulation and basement)</t>
  </si>
  <si>
    <t>Base area for construction cost = built area (m²)</t>
  </si>
  <si>
    <t>CONSTRUCTION AND SCHEDULE</t>
  </si>
  <si>
    <t>Construction cost (R$/m² of base area)</t>
  </si>
  <si>
    <t>Construction (R$ thousand)</t>
  </si>
  <si>
    <t>Common areas / landscaping / phase infrastructure (R$ thousand)</t>
  </si>
  <si>
    <t>Construction period (months)</t>
  </si>
  <si>
    <t>Launch / start of sales</t>
  </si>
  <si>
    <t>Construction start (months after launch)</t>
  </si>
  <si>
    <t>Construction start</t>
  </si>
  <si>
    <t>% of VGV sold at launch</t>
  </si>
  <si>
    <t>Launch months</t>
  </si>
  <si>
    <t>% of VGV sold after keys (inventory)</t>
  </si>
  <si>
    <t>Months of sales after keys</t>
  </si>
  <si>
    <t>% sold during construction (remainder)</t>
  </si>
  <si>
    <t>Start of sales during construction</t>
  </si>
  <si>
    <t>Months of sales during construction</t>
  </si>
  <si>
    <t>Start of sales after keys</t>
  </si>
  <si>
    <t>Bank transfer / settlement</t>
  </si>
  <si>
    <t>PAYMENT PLAN (% of price)</t>
  </si>
  <si>
    <t>Design and approvals (% of construction) — 12 months before construction</t>
  </si>
  <si>
    <t>Construction management (% of construction) — during construction</t>
  </si>
  <si>
    <t>Contingency (% of construction) — construction curve</t>
  </si>
  <si>
    <t>Developer's administration fee (% of VGV) — during construction</t>
  </si>
  <si>
    <t>Marketing / sales office / decoration (% of VGV) — 18 months starting 3 months before launch</t>
  </si>
  <si>
    <t>Taxes — RET (% of receipts net of brokerage)</t>
  </si>
  <si>
    <t>Financing (% of construction) — the SPV pays the initial portion, the bank releases the rest</t>
  </si>
  <si>
    <t>Debt settlement (month)</t>
  </si>
  <si>
    <t>PRODUCT DETAIL</t>
  </si>
  <si>
    <t>LAND LOTS — GATED LOT COMMUNITIES IN 3 PHASES</t>
  </si>
  <si>
    <t>372 lots of 800 to 2,000 m² in 13 gated communities/villages (10 with a clubhouse), grouped into the 3 masterplan phases. Prices and areas per community in the table below (rows 69–85). Assumptions: Sirena Gramado Masterplan v5 (Sep/2026).</t>
  </si>
  <si>
    <t>Saleable lot area (m²)</t>
  </si>
  <si>
    <t>Average lot area (m²)</t>
  </si>
  <si>
    <t>Average price (R$/m² of lot)</t>
  </si>
  <si>
    <t>Clubhouses (no.)</t>
  </si>
  <si>
    <t>Base area for construction cost = area of the communities (m²)</t>
  </si>
  <si>
    <t>Clubhouses (no. of clubhouses × cost per clubhouse in G28, R$ thousand)</t>
  </si>
  <si>
    <t>Phase 1 (units)</t>
  </si>
  <si>
    <t>Phase 2 (units)</t>
  </si>
  <si>
    <t>Phase 3 (units)</t>
  </si>
  <si>
    <t>Total (units)</t>
  </si>
  <si>
    <t>Typical private area (m²)</t>
  </si>
  <si>
    <t>Share of the mix</t>
  </si>
  <si>
    <t>Average ticket (R$ thousand)</t>
  </si>
  <si>
    <t>1 suite (75–90 m²)</t>
  </si>
  <si>
    <t>2 suites (120–140 m²)</t>
  </si>
  <si>
    <t>3 suites (170–200 m²)</t>
  </si>
  <si>
    <t>Penthouses / garden units (260 m²+)</t>
  </si>
  <si>
    <t>Indicative mix (site share applied to the units of each phase). The VGV uses the masterplan's 140 m² average area (I74 shows the mix average by area band). Options for the investor outside the model: V-shaped wave pool (~6,000 m² of water + beaches) and Surf Lodge (60-key hotel, ~6,000 m² countable area).</t>
  </si>
  <si>
    <t>Community / village</t>
  </si>
  <si>
    <t>Community area (m²)</t>
  </si>
  <si>
    <t>800 m² lots</t>
  </si>
  <si>
    <t>1,000 m² lots</t>
  </si>
  <si>
    <t>1,200 m² lots</t>
  </si>
  <si>
    <t>2,000 m² lots</t>
  </si>
  <si>
    <t>R$/m² 800</t>
  </si>
  <si>
    <t>R$/m² 1.000</t>
  </si>
  <si>
    <t>R$/m² 1.200</t>
  </si>
  <si>
    <t>R$/m² 2.000</t>
  </si>
  <si>
    <t>Total lots</t>
  </si>
  <si>
    <t>Lot area (m²)</t>
  </si>
  <si>
    <t>Clubhouse (1 = yes)</t>
  </si>
  <si>
    <t>01 Vila da Praça</t>
  </si>
  <si>
    <t>1M Vila da Praça · open lots</t>
  </si>
  <si>
    <t>02A Lagos A</t>
  </si>
  <si>
    <t>02B Lagos B</t>
  </si>
  <si>
    <t>2C Lagos C (open)</t>
  </si>
  <si>
    <t>03 Lago Central</t>
  </si>
  <si>
    <t>04A Alto dos Pinheiros A</t>
  </si>
  <si>
    <t>04B Alto dos Pinheiros B (open)</t>
  </si>
  <si>
    <t>05 Parque</t>
  </si>
  <si>
    <t>06A Bosque A</t>
  </si>
  <si>
    <t>06B Bosque B</t>
  </si>
  <si>
    <t>07A Reserva do Caracol A</t>
  </si>
  <si>
    <t>07B Reserva do Caracol B</t>
  </si>
  <si>
    <t>Phase 1: Vila da Praça (01 and 1M) and Lagos A; Phase 2: Lagos B and C, Lago Central and Alto dos Pinheiros A/B; Phase 3: Parque, Bosque A/B and Reserva do Caracol A/B (masterplan phasing). Open villages 1M, 2C and 4B without a clubhouse.</t>
  </si>
  <si>
    <t>MONTHLY CASH FLOW BY PHASE</t>
  </si>
  <si>
    <t>PHASE 1</t>
  </si>
  <si>
    <t>Contracted sales</t>
  </si>
  <si>
    <t>Construction + common areas / clubhouses</t>
  </si>
  <si>
    <t>Construction management</t>
  </si>
  <si>
    <t>Contingency</t>
  </si>
  <si>
    <t>Developer's administration fee</t>
  </si>
  <si>
    <t>Marketing / sales office / decoration</t>
  </si>
  <si>
    <t>UNLEVERED CASH FLOW</t>
  </si>
  <si>
    <t>Cumulative unlevered</t>
  </si>
  <si>
    <t>LEVERED CASH FLOW</t>
  </si>
  <si>
    <t>Cumulative levered</t>
  </si>
  <si>
    <t>Cash flow of the adopted scenario</t>
  </si>
  <si>
    <t>PHASE 2</t>
  </si>
  <si>
    <t>PHASE 3</t>
  </si>
  <si>
    <t>CONSOLIDATED 3 PHASES</t>
  </si>
  <si>
    <t>Receipts</t>
  </si>
  <si>
    <t>Costs</t>
  </si>
  <si>
    <t>Loan interest</t>
  </si>
  <si>
    <t>CASH FLOW OF THE ADOPTED SCENARIO</t>
  </si>
  <si>
    <t>Cumulative, adopted scenario</t>
  </si>
  <si>
    <t>ANNUAL SUMMARY (feeds the MANAGEMENT tab — real estate cash flow)</t>
  </si>
  <si>
    <t>Phase 1 — adopted scenario</t>
  </si>
  <si>
    <t>Phase 2 — adopted scenario</t>
  </si>
  <si>
    <t>Phase 3 — adopted scenario</t>
  </si>
  <si>
    <t>TOTAL — adopted scenario</t>
  </si>
  <si>
    <t>Total unlevered</t>
  </si>
  <si>
    <t>Total levered</t>
  </si>
  <si>
    <t>UNLEVERED</t>
  </si>
  <si>
    <t>Consolidated</t>
  </si>
  <si>
    <t>LEVERED</t>
  </si>
  <si>
    <t>Total costs (R$ thousand) — includes interest</t>
  </si>
  <si>
    <t>Sales add up to 100% in each phase</t>
  </si>
  <si>
    <t>Debt repaid in all phases</t>
  </si>
  <si>
    <t>Last phase bank transfer within the horizon (156 months)</t>
  </si>
  <si>
    <t>Annual summary = monthly cash flow</t>
  </si>
  <si>
    <t>Notes: (1) construction S-curve = normalized sine; (2) monthly installments from the month of sale until the month before keys; (3) monthly IRR annualized; (4) NPV discounts the 1st month by one period; (5) each phase starts D13 months after the previous one; (6) contributions/distributions with no cash retention; (7) land at no cost (masterplan's own area).</t>
  </si>
  <si>
    <t>Sale price growth from one phase to the next (%)</t>
  </si>
  <si>
    <t>Construction cost growth from one phase to the next (%)</t>
  </si>
  <si>
    <t>Masterplan total reference area (m²)</t>
  </si>
  <si>
    <t>ITBI transfer tax on land (%)</t>
  </si>
  <si>
    <t>Phase street works (R$ thousand) — total in G68 × phase % (row 69)</t>
  </si>
  <si>
    <t>% of street works per phase (proportional to each phase's streets — default: community area)</t>
  </si>
  <si>
    <t>Payment to the landowner: no. of monthly installments from launch</t>
  </si>
  <si>
    <t>Land + ITBI + street works (paid to the landowner / initial developer)</t>
  </si>
  <si>
    <t>Land parcel value (R$ thousand) — same value as the Land Lots</t>
  </si>
  <si>
    <t>Surf Village area (m²) — 6 blocks, excluding the Mini Mall lot</t>
  </si>
  <si>
    <t>Total land + ITBI of the phase (R$ thousand)</t>
  </si>
  <si>
    <t>Land + ITBI (paid to the landowner / initial developer)</t>
  </si>
  <si>
    <t>GRUPO SIRENA — CONSOLIDATED MANAGEMENT VIEW OF THE GRAMADO MASTERPLAN</t>
  </si>
  <si>
    <t>MANAGEMENT ASSUMPTIONS</t>
  </si>
  <si>
    <t>NPV discount rate (% p.a.)</t>
  </si>
  <si>
    <t>Project</t>
  </si>
  <si>
    <t>Segment</t>
  </si>
  <si>
    <t>Stage</t>
  </si>
  <si>
    <t>Scenario / structure</t>
  </si>
  <si>
    <t>Include (Y/N)</t>
  </si>
  <si>
    <t>1st year</t>
  </si>
  <si>
    <t>CASH FLOW BY PROJECT</t>
  </si>
  <si>
    <t>Club Med Gramado</t>
  </si>
  <si>
    <t>Hospitality</t>
  </si>
  <si>
    <t>Levered · with perpetuity</t>
  </si>
  <si>
    <t>Y</t>
  </si>
  <si>
    <t>Club Med Villas (26 houses)</t>
  </si>
  <si>
    <t>Real Estate</t>
  </si>
  <si>
    <t>Mini Mall</t>
  </si>
  <si>
    <t>Income</t>
  </si>
  <si>
    <t>Unlevered · with perpetuity</t>
  </si>
  <si>
    <t>WDC Weddings</t>
  </si>
  <si>
    <t>Events</t>
  </si>
  <si>
    <t>Ski Gramado — all-season complex</t>
  </si>
  <si>
    <t>Entertainment</t>
  </si>
  <si>
    <t>Levered (equity) · with perpetuity</t>
  </si>
  <si>
    <t>Convention Center</t>
  </si>
  <si>
    <t>Grupo Sirena cash flow</t>
  </si>
  <si>
    <t>CONSOLIDATED BY STAGE</t>
  </si>
  <si>
    <t>Stage 1 — 2027–28 (Club Med opening)</t>
  </si>
  <si>
    <t>Stage 2 — 2029–30</t>
  </si>
  <si>
    <t>Stage 3 — 2031–33</t>
  </si>
  <si>
    <t>TOTAL GRUPO SIRENA — MASTERPLAN</t>
  </si>
  <si>
    <t>Check: sum of stages = total</t>
  </si>
  <si>
    <t>CONSOLIDATED BY SEGMENT</t>
  </si>
  <si>
    <t>Project / consolidated</t>
  </si>
  <si>
    <t>Capital contributed (R$ thousand)</t>
  </si>
  <si>
    <t>Peak exposure (R$ thousand)</t>
  </si>
  <si>
    <t>Year of peak exposure</t>
  </si>
  <si>
    <t>Cash result through 2045 (R$ thousand)</t>
  </si>
  <si>
    <t>Multiple (MOIC) through 2045</t>
  </si>
  <si>
    <t>All</t>
  </si>
  <si>
    <t>Annual cash flow of each project, pulled from the tabs by the year header (dates always aligned). Consolidates automatically by stage and by segment according to columns D, E and F. IRR shown = the higher of with and without perpetuity. Values in R$ thousand.</t>
  </si>
  <si>
    <t>Stages: 1 = 2027–28 (Club Med opening) · 2 = 2029–30 · 3 = 2031–33. Change the segment, stage or inclusion (Y/N) of any project and the consolidated figures adjust.</t>
  </si>
  <si>
    <t>REAL ESTATE — MASTERPLAN PHASES</t>
  </si>
  <si>
    <t>Phase 01 — Land Lots</t>
  </si>
  <si>
    <t>Phase 01 — Surf Village</t>
  </si>
  <si>
    <t>Phase 02 — Land Lots</t>
  </si>
  <si>
    <t>Phase 02 — Surf Village</t>
  </si>
  <si>
    <t>Phase 03 — Land Lots</t>
  </si>
  <si>
    <t>Phase 03 — Surf Village</t>
  </si>
  <si>
    <t>INCOME AND EVENTS — STAGE 2</t>
  </si>
  <si>
    <t>Peak exposure (R$ thousand)</t>
  </si>
  <si>
    <t>IRR %</t>
  </si>
  <si>
    <t>Multiple (MOIC)</t>
  </si>
  <si>
    <t>Check: sum of segments + land = total</t>
  </si>
  <si>
    <t xml:space="preserve">Land </t>
  </si>
  <si>
    <t>Land — parcel price (R$ thousand, paid in 2026)</t>
  </si>
  <si>
    <t>Land — commission and acquisition costs (R$ thousand, 2026)</t>
  </si>
  <si>
    <t>STREET WORKS — roads of the land lots (land paid by the holding in MANAGEMENT, row 12)</t>
  </si>
  <si>
    <t>Phase land (R$ thousand) — set to zero: parcel paid by the holding (MANAGEMENT row 12). Previous allocation: area × G65/G66</t>
  </si>
  <si>
    <t>Total street works + phase land (R$ thousand)</t>
  </si>
  <si>
    <t>LAND — set to zero: parcel paid by the holding (MANAGEMENT row 12); roads only in the Land Lots</t>
  </si>
  <si>
    <t>Phase land (R$ thousand) — set to zero (previous allocation: G65 × G66/G67 × phase private area)</t>
  </si>
  <si>
    <t>NPV at the discount rate with perpetuity (R$ thousand)</t>
  </si>
  <si>
    <t>Project NPV at the discount rate (R$ thousand)</t>
  </si>
  <si>
    <t>AQUA certification (R$ thousand) — booked on the civil works curve</t>
  </si>
  <si>
    <t>Capex (construction + FF&amp;E + fee + utilities + roads + AQUA)</t>
  </si>
  <si>
    <t>Club Med land (row 329)</t>
  </si>
  <si>
    <t>Club Med civil works — monthly flow (rows 313+)</t>
  </si>
  <si>
    <t>FF&amp;E — monthly FF&amp;E R00 flow (rows 281+; excluding PMH and contingencies)</t>
  </si>
  <si>
    <t>Star Ópera development fee (row 328)</t>
  </si>
  <si>
    <t>Utilities — 8.5 MM in 12 installments from Jan/27 (row 337)</t>
  </si>
  <si>
    <t>Phase 1 roads (row 338)</t>
  </si>
  <si>
    <t>AQUA certification — civil works curve (row 323)</t>
  </si>
  <si>
    <t>CUMULATIVE CASH FLOW (without perpetuity) — basis for cash exposure</t>
  </si>
  <si>
    <t>Multiple</t>
  </si>
  <si>
    <t>Conventions: 2026 cash flow at t=0; perpetuity (Perp. column) discounted one period after 2045, as in the previous NPV. Peak exposure = lowest cumulative cash balance.</t>
  </si>
  <si>
    <t>Deck Capex = R$ 103.8M (excluding the operator's R$ 17M); the model uses the R$ 120 MM set by the user. Deck: cash break-even in 2032 and a 10-year plan.</t>
  </si>
  <si>
    <t>The land sale has no outlay (land at no cost in the model), so there is no IRR: compare by NPV.</t>
  </si>
  <si>
    <t>Notes: (1) annual cash flows from each tab, in the scenario/structure chosen there (column AC); (2) IRR (higher) = the higher of the 2026–2045 cash flow IRR and the IRR including the terminal value (Perp.); (3) NPV with 2026 at t=0 and perpetuity at t=20; (4) peak exposure = lowest cumulative cash balance.</t>
  </si>
  <si>
    <t>Yield with stabilized contract</t>
  </si>
  <si>
    <t>Contract stabilization year (1st year at maximum revenue)</t>
  </si>
  <si>
    <t>Annual gross revenue of the stabilized contract (R$ thousand)</t>
  </si>
  <si>
    <t>Stabilized annual EBITDA (R$ thousand)</t>
  </si>
  <si>
    <t>Gross yield — stabilized revenue / total capex (% p.a.)</t>
  </si>
  <si>
    <t>EBITDA yield — stabilized EBITDA / total capex (% p.a.)</t>
  </si>
  <si>
    <t>Payback — years until the cumulative balance turns positive</t>
  </si>
  <si>
    <t>Operating income after tax (EBITDA − IRPJ/CSLL) — basis for the investor's cap rate</t>
  </si>
  <si>
    <t>Visitor adjustment vs. deck baseline (%) — scenario</t>
  </si>
  <si>
    <t>South America's first all-season ski complex — assumptions from the Sirena Gramado presentation (FERG, Apr/2026), Capex adjusted to R$ 136 MM and visitors +15% vs. baseline. Cash flow with and without debt.</t>
  </si>
  <si>
    <t>SALE OF THE MINI MALL TO AN INVESTOR — ALTERNATIVE (SAME MECHANICS AS THE CONVENTION CENTER)</t>
  </si>
  <si>
    <t>Grupo Sirena target IRR (% p.a.) — same as the Convention Center</t>
  </si>
  <si>
    <t>RET — special tax regime (% of sales) — same as the Convention Center</t>
  </si>
  <si>
    <t>Selling costs — brokerage and legal (% of value) — same as the Convention Center</t>
  </si>
  <si>
    <t>SALE PRICE TO THE INVESTOR</t>
  </si>
  <si>
    <t>For comparison: terminal cap rate in the 'hold' scenario</t>
  </si>
  <si>
    <t>CASH FLOW — GRUPO SIRENA (SALE SCENARIO)</t>
  </si>
  <si>
    <t>(-) Mini mall Capex</t>
  </si>
  <si>
    <t>CASH FLOW FOR THE PERIOD — SALE</t>
  </si>
  <si>
    <t>INVESTOR INDICATORS — SALE SCENARIO</t>
  </si>
  <si>
    <t>COMPARISON — HOLD THE MINI MALL × SELL TO AN INVESTOR</t>
  </si>
  <si>
    <t>Hold (current)</t>
  </si>
  <si>
    <t>Sell</t>
  </si>
  <si>
    <t>IRR (% p.a.) — hold with perpetuity / sell</t>
  </si>
  <si>
    <t>NPV (R$ thousand) — hold with perpetuity / sell</t>
  </si>
  <si>
    <t>Payback (years)</t>
  </si>
  <si>
    <t>Operating years before the sale (sale at the end of the last year)</t>
  </si>
  <si>
    <t>Year of the asset sale</t>
  </si>
  <si>
    <t>Stabilized EBITDA for the buyer — 1st year after the sale, without key money (R$ thousand)</t>
  </si>
  <si>
    <t>Minimum price for the target IRR (R$ thousand) — Capex less retained operating cash flow, compounded at the target IRR until the sale</t>
  </si>
  <si>
    <t>Implied cap rate for the buyer — EBITDA of the year after the sale / price</t>
  </si>
  <si>
    <t>Asset sale receipts (100% in the year of sale)</t>
  </si>
  <si>
    <t>Operating cash flow retained until the sale — EBITDA − IRPJ/CSLL</t>
  </si>
  <si>
    <t>Sale to an investor in 2030 (3 years of operation) · without perpetuity</t>
  </si>
  <si>
    <t>SCENARIO USED IN MANAGEMENT AND VALUATION: Grupo Sirena builds, operates for 3 years and sells the stabilized asset to an investor in 2030, at the minimum price that delivers the target IRR. The 'hold' scenario above is kept for reference.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</si>
</sst>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&quot;$&quot;* #,##0.00_);_(&quot;$&quot;* \(#,##0.00\);_(&quot;$&quot;* &quot;-&quot;??_);_(@_)"/>
    <numFmt numFmtId="168" formatCode="_(* #,##0.0_);_(* \(#,##0.0\);_(* &quot;-&quot;??_);_(@_)"/>
    <numFmt numFmtId="169" formatCode="0.0"/>
    <numFmt numFmtId="170" formatCode="#,##0.0"/>
    <numFmt numFmtId="171" formatCode="0.0%;\(0.0%\);&quot;-&quot;"/>
    <numFmt numFmtId="172" formatCode="0.00&quot;x&quot;"/>
    <numFmt numFmtId="173" formatCode="0.000"/>
    <numFmt numFmtId="174" formatCode="0.0&quot;x&quot;"/>
    <numFmt numFmtId="175" formatCode="0;\-0;&quot;-&quot;"/>
    <numFmt numFmtId="176" formatCode="0.0;\-0.0;&quot;-&quot;"/>
    <numFmt numFmtId="177" formatCode="#,##0.00;\-#,##0.00;&quot;-&quot;"/>
    <numFmt numFmtId="178" formatCode="#,##0;\(#,##0\)"/>
    <numFmt numFmtId="179" formatCode="0.00%;\(0.00%\);&quot;-&quot;"/>
    <numFmt numFmtId="180" formatCode="0.0;\(0.0\);&quot;-&quot;"/>
    <numFmt numFmtId="181" formatCode="#,##0;\-#,##0;&quot;-&quot;"/>
    <numFmt numFmtId="182" formatCode="0.00\x"/>
    <numFmt numFmtId="183" formatCode="0&quot; anos&quot;;;&quot;-&quot;"/>
    <numFmt numFmtId="184" formatCode="0.0&quot; anos&quot;"/>
    <numFmt numFmtId="186" formatCode="0.0000"/>
  </numFmts>
  <fonts count="5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indexed="9"/>
      <name val="Calibri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sz val="11"/>
      <color theme="1"/>
      <name val="Calibri"/>
      <family val="2"/>
      <charset val="1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1"/>
      <color rgb="FFFFFFFF"/>
      <name val="Arial"/>
      <family val="2"/>
    </font>
    <font>
      <b/>
      <sz val="14"/>
      <color theme="0"/>
      <name val="Arial"/>
      <family val="2"/>
    </font>
    <font>
      <b/>
      <sz val="12"/>
      <color rgb="FF000000"/>
      <name val="Arial"/>
      <family val="2"/>
    </font>
    <font>
      <b/>
      <sz val="10"/>
      <color rgb="FF0000FF"/>
      <name val="Arial"/>
      <family val="2"/>
    </font>
    <font>
      <sz val="11"/>
      <color theme="1"/>
      <name val="Calibri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rgb="FF404040"/>
      <name val="Arial"/>
      <family val="2"/>
    </font>
    <font>
      <sz val="10"/>
      <color theme="0"/>
      <name val="Arial"/>
      <family val="2"/>
    </font>
    <font>
      <sz val="11"/>
      <color rgb="FF0000FF"/>
      <name val="Arial"/>
      <family val="2"/>
    </font>
    <font>
      <b/>
      <i/>
      <sz val="10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0"/>
      <color rgb="FF595959"/>
      <name val="Arial"/>
      <family val="2"/>
    </font>
    <font>
      <sz val="10"/>
      <color rgb="FF008000"/>
      <name val="Arial"/>
      <family val="2"/>
    </font>
    <font>
      <b/>
      <i/>
      <sz val="12"/>
      <color theme="1"/>
      <name val="Arial"/>
      <family val="2"/>
    </font>
    <font>
      <b/>
      <sz val="10"/>
      <color rgb="FF008000"/>
      <name val="Arial"/>
      <family val="2"/>
    </font>
    <font>
      <i/>
      <sz val="9"/>
      <color rgb="FF595959"/>
      <name val="Arial"/>
      <family val="2"/>
    </font>
    <font>
      <sz val="10"/>
      <color rgb="FF595959"/>
      <name val="Arial"/>
      <family val="2"/>
    </font>
    <font>
      <b/>
      <i/>
      <sz val="10"/>
      <color rgb="FF595959"/>
      <name val="Arial"/>
      <family val="2"/>
    </font>
    <font>
      <b/>
      <i/>
      <sz val="10"/>
      <color rgb="FFFFFFFF"/>
      <name val="Arial"/>
      <family val="2"/>
    </font>
    <font>
      <b/>
      <sz val="10"/>
      <color rgb="FFC00000"/>
      <name val="Arial"/>
      <family val="2"/>
    </font>
    <font>
      <b/>
      <sz val="10"/>
      <color rgb="FF002060"/>
      <name val="Arial"/>
      <family val="2"/>
    </font>
    <font>
      <sz val="9"/>
      <color rgb="FF404040"/>
      <name val="Arial"/>
      <family val="2"/>
    </font>
    <font>
      <sz val="10"/>
      <color rgb="FF404040"/>
      <name val="Arial"/>
      <family val="2"/>
    </font>
    <font>
      <b/>
      <sz val="11"/>
      <color rgb="FF002060"/>
      <name val="Arial"/>
      <family val="2"/>
    </font>
    <font>
      <sz val="10"/>
      <color rgb="FF002060"/>
      <name val="Arial"/>
      <family val="2"/>
    </font>
    <font>
      <sz val="10"/>
      <color rgb="FF7F7F7F"/>
      <name val="Arial"/>
      <family val="2"/>
    </font>
    <font>
      <i/>
      <sz val="10"/>
      <color rgb="FF0000FF"/>
      <name val="Arial"/>
      <family val="2"/>
    </font>
    <font>
      <i/>
      <sz val="10"/>
      <color rgb="FF7F7F7F"/>
      <name val="Arial"/>
      <family val="2"/>
    </font>
    <font>
      <b/>
      <sz val="11"/>
      <color rgb="FFFFFFFF"/>
      <name val="Aptos Narrow"/>
      <family val="2"/>
      <scheme val="minor"/>
    </font>
    <font>
      <i/>
      <sz val="11"/>
      <color rgb="FF595959"/>
      <name val="Arial"/>
      <family val="2"/>
    </font>
    <font>
      <b/>
      <sz val="13"/>
      <color rgb="FF002060"/>
      <name val="Arial"/>
      <family val="2"/>
    </font>
    <font>
      <sz val="11"/>
      <color theme="0"/>
      <name val="Aptos Narrow"/>
      <family val="2"/>
      <scheme val="minor"/>
    </font>
    <font>
      <i/>
      <sz val="10"/>
      <color theme="0"/>
      <name val="Arial"/>
      <family val="2"/>
    </font>
    <font>
      <sz val="11"/>
      <color rgb="FF008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FF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10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2060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002060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7F7F7F"/>
      </top>
      <bottom/>
      <diagonal/>
    </border>
  </borders>
  <cellStyleXfs count="11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4" fillId="4" borderId="0" applyNumberFormat="0" applyBorder="0" applyAlignment="0" applyProtection="0"/>
    <xf numFmtId="0" fontId="3" fillId="0" borderId="0"/>
    <xf numFmtId="0" fontId="9" fillId="0" borderId="0"/>
  </cellStyleXfs>
  <cellXfs count="336">
    <xf numFmtId="0" fontId="0" fillId="0" borderId="0" xfId="0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7" fontId="13" fillId="0" borderId="0" xfId="0" applyNumberFormat="1" applyFont="1" applyAlignment="1">
      <alignment vertical="center"/>
    </xf>
    <xf numFmtId="0" fontId="15" fillId="0" borderId="0" xfId="0" applyFont="1"/>
    <xf numFmtId="0" fontId="10" fillId="0" borderId="0" xfId="0" applyFont="1"/>
    <xf numFmtId="0" fontId="7" fillId="0" borderId="0" xfId="0" applyFont="1"/>
    <xf numFmtId="0" fontId="6" fillId="0" borderId="0" xfId="0" applyFont="1"/>
    <xf numFmtId="0" fontId="20" fillId="0" borderId="0" xfId="0" applyFont="1" applyAlignment="1">
      <alignment vertical="center"/>
    </xf>
    <xf numFmtId="0" fontId="11" fillId="0" borderId="0" xfId="0" applyFont="1"/>
    <xf numFmtId="0" fontId="22" fillId="0" borderId="0" xfId="0" applyFont="1"/>
    <xf numFmtId="165" fontId="11" fillId="0" borderId="0" xfId="0" applyNumberFormat="1" applyFont="1"/>
    <xf numFmtId="0" fontId="24" fillId="0" borderId="0" xfId="0" applyFont="1"/>
    <xf numFmtId="165" fontId="24" fillId="0" borderId="0" xfId="0" applyNumberFormat="1" applyFont="1"/>
    <xf numFmtId="0" fontId="11" fillId="0" borderId="0" xfId="0" applyFont="1" applyAlignment="1">
      <alignment vertical="center"/>
    </xf>
    <xf numFmtId="0" fontId="2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6" fontId="11" fillId="0" borderId="0" xfId="0" applyNumberFormat="1" applyFont="1"/>
    <xf numFmtId="165" fontId="7" fillId="0" borderId="0" xfId="0" applyNumberFormat="1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31" fillId="0" borderId="0" xfId="0" applyFont="1"/>
    <xf numFmtId="0" fontId="5" fillId="2" borderId="0" xfId="0" applyFont="1" applyFill="1"/>
    <xf numFmtId="1" fontId="5" fillId="2" borderId="0" xfId="0" applyNumberFormat="1" applyFont="1" applyFill="1"/>
    <xf numFmtId="0" fontId="5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/>
    <xf numFmtId="0" fontId="6" fillId="5" borderId="0" xfId="0" applyFont="1" applyFill="1"/>
    <xf numFmtId="165" fontId="6" fillId="5" borderId="0" xfId="0" applyNumberFormat="1" applyFont="1" applyFill="1"/>
    <xf numFmtId="0" fontId="5" fillId="3" borderId="0" xfId="0" applyFont="1" applyFill="1"/>
    <xf numFmtId="165" fontId="5" fillId="3" borderId="0" xfId="0" applyNumberFormat="1" applyFont="1" applyFill="1"/>
    <xf numFmtId="171" fontId="7" fillId="0" borderId="0" xfId="0" applyNumberFormat="1" applyFont="1"/>
    <xf numFmtId="171" fontId="8" fillId="0" borderId="0" xfId="0" applyNumberFormat="1" applyFont="1"/>
    <xf numFmtId="171" fontId="7" fillId="0" borderId="0" xfId="0" applyNumberFormat="1" applyFont="1" applyAlignment="1">
      <alignment horizontal="right"/>
    </xf>
    <xf numFmtId="166" fontId="7" fillId="0" borderId="0" xfId="0" applyNumberFormat="1" applyFont="1"/>
    <xf numFmtId="1" fontId="7" fillId="0" borderId="0" xfId="0" applyNumberFormat="1" applyFont="1"/>
    <xf numFmtId="165" fontId="8" fillId="0" borderId="0" xfId="0" applyNumberFormat="1" applyFont="1"/>
    <xf numFmtId="166" fontId="8" fillId="0" borderId="0" xfId="0" applyNumberFormat="1" applyFont="1"/>
    <xf numFmtId="1" fontId="8" fillId="0" borderId="0" xfId="0" applyNumberFormat="1" applyFont="1"/>
    <xf numFmtId="165" fontId="32" fillId="0" borderId="0" xfId="0" applyNumberFormat="1" applyFont="1"/>
    <xf numFmtId="166" fontId="32" fillId="0" borderId="0" xfId="0" applyNumberFormat="1" applyFont="1"/>
    <xf numFmtId="166" fontId="6" fillId="6" borderId="0" xfId="0" applyNumberFormat="1" applyFont="1" applyFill="1"/>
    <xf numFmtId="0" fontId="6" fillId="6" borderId="0" xfId="0" applyFont="1" applyFill="1"/>
    <xf numFmtId="165" fontId="7" fillId="0" borderId="0" xfId="0" applyNumberFormat="1" applyFont="1" applyAlignment="1">
      <alignment horizontal="center"/>
    </xf>
    <xf numFmtId="165" fontId="8" fillId="7" borderId="0" xfId="0" applyNumberFormat="1" applyFont="1" applyFill="1"/>
    <xf numFmtId="0" fontId="33" fillId="0" borderId="0" xfId="0" applyFont="1"/>
    <xf numFmtId="0" fontId="11" fillId="5" borderId="0" xfId="0" applyFont="1" applyFill="1"/>
    <xf numFmtId="0" fontId="24" fillId="5" borderId="0" xfId="0" applyFont="1" applyFill="1"/>
    <xf numFmtId="165" fontId="24" fillId="5" borderId="0" xfId="0" applyNumberFormat="1" applyFont="1" applyFill="1"/>
    <xf numFmtId="171" fontId="11" fillId="0" borderId="0" xfId="0" applyNumberFormat="1" applyFont="1"/>
    <xf numFmtId="1" fontId="11" fillId="0" borderId="0" xfId="0" applyNumberFormat="1" applyFont="1"/>
    <xf numFmtId="0" fontId="8" fillId="0" borderId="0" xfId="0" applyFont="1"/>
    <xf numFmtId="166" fontId="24" fillId="0" borderId="0" xfId="0" applyNumberFormat="1" applyFont="1"/>
    <xf numFmtId="166" fontId="24" fillId="6" borderId="0" xfId="0" applyNumberFormat="1" applyFont="1" applyFill="1"/>
    <xf numFmtId="165" fontId="24" fillId="6" borderId="0" xfId="0" applyNumberFormat="1" applyFont="1" applyFill="1"/>
    <xf numFmtId="3" fontId="7" fillId="0" borderId="0" xfId="0" applyNumberFormat="1" applyFont="1"/>
    <xf numFmtId="3" fontId="8" fillId="0" borderId="0" xfId="0" applyNumberFormat="1" applyFont="1"/>
    <xf numFmtId="171" fontId="8" fillId="7" borderId="0" xfId="0" applyNumberFormat="1" applyFont="1" applyFill="1"/>
    <xf numFmtId="3" fontId="8" fillId="7" borderId="0" xfId="0" applyNumberFormat="1" applyFont="1" applyFill="1"/>
    <xf numFmtId="165" fontId="6" fillId="0" borderId="0" xfId="0" applyNumberFormat="1" applyFont="1"/>
    <xf numFmtId="165" fontId="6" fillId="6" borderId="0" xfId="0" applyNumberFormat="1" applyFont="1" applyFill="1"/>
    <xf numFmtId="1" fontId="6" fillId="6" borderId="0" xfId="0" applyNumberFormat="1" applyFont="1" applyFill="1" applyAlignment="1">
      <alignment horizontal="right"/>
    </xf>
    <xf numFmtId="172" fontId="11" fillId="0" borderId="0" xfId="0" applyNumberFormat="1" applyFont="1"/>
    <xf numFmtId="165" fontId="22" fillId="0" borderId="0" xfId="0" applyNumberFormat="1" applyFont="1"/>
    <xf numFmtId="165" fontId="31" fillId="0" borderId="0" xfId="0" applyNumberFormat="1" applyFont="1"/>
    <xf numFmtId="173" fontId="31" fillId="0" borderId="0" xfId="0" applyNumberFormat="1" applyFont="1"/>
    <xf numFmtId="165" fontId="30" fillId="0" borderId="0" xfId="0" applyNumberFormat="1" applyFont="1"/>
    <xf numFmtId="172" fontId="31" fillId="0" borderId="0" xfId="0" applyNumberFormat="1" applyFont="1"/>
    <xf numFmtId="0" fontId="24" fillId="6" borderId="0" xfId="0" applyFont="1" applyFill="1"/>
    <xf numFmtId="1" fontId="24" fillId="6" borderId="0" xfId="0" applyNumberFormat="1" applyFont="1" applyFill="1"/>
    <xf numFmtId="166" fontId="24" fillId="6" borderId="0" xfId="0" applyNumberFormat="1" applyFont="1" applyFill="1" applyAlignment="1">
      <alignment horizontal="right"/>
    </xf>
    <xf numFmtId="165" fontId="24" fillId="6" borderId="0" xfId="0" applyNumberFormat="1" applyFont="1" applyFill="1" applyAlignment="1">
      <alignment horizontal="right"/>
    </xf>
    <xf numFmtId="172" fontId="24" fillId="6" borderId="0" xfId="0" applyNumberFormat="1" applyFont="1" applyFill="1" applyAlignment="1">
      <alignment horizontal="right"/>
    </xf>
    <xf numFmtId="1" fontId="24" fillId="6" borderId="0" xfId="0" applyNumberFormat="1" applyFont="1" applyFill="1" applyAlignment="1">
      <alignment horizontal="right"/>
    </xf>
    <xf numFmtId="166" fontId="6" fillId="6" borderId="0" xfId="0" applyNumberFormat="1" applyFont="1" applyFill="1" applyAlignment="1">
      <alignment horizontal="right"/>
    </xf>
    <xf numFmtId="165" fontId="6" fillId="6" borderId="0" xfId="0" applyNumberFormat="1" applyFont="1" applyFill="1" applyAlignment="1">
      <alignment horizontal="right"/>
    </xf>
    <xf numFmtId="172" fontId="6" fillId="6" borderId="0" xfId="0" applyNumberFormat="1" applyFont="1" applyFill="1" applyAlignment="1">
      <alignment horizontal="right"/>
    </xf>
    <xf numFmtId="0" fontId="6" fillId="6" borderId="0" xfId="0" applyFont="1" applyFill="1" applyAlignment="1">
      <alignment horizontal="right"/>
    </xf>
    <xf numFmtId="0" fontId="24" fillId="0" borderId="2" xfId="0" applyFont="1" applyBorder="1"/>
    <xf numFmtId="0" fontId="24" fillId="0" borderId="3" xfId="0" applyFont="1" applyBorder="1"/>
    <xf numFmtId="0" fontId="6" fillId="6" borderId="3" xfId="0" applyFont="1" applyFill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35" fillId="0" borderId="0" xfId="0" applyFont="1"/>
    <xf numFmtId="166" fontId="8" fillId="7" borderId="0" xfId="0" applyNumberFormat="1" applyFont="1" applyFill="1"/>
    <xf numFmtId="0" fontId="36" fillId="0" borderId="0" xfId="0" applyFont="1"/>
    <xf numFmtId="1" fontId="36" fillId="0" borderId="0" xfId="0" applyNumberFormat="1" applyFont="1"/>
    <xf numFmtId="165" fontId="36" fillId="0" borderId="0" xfId="0" applyNumberFormat="1" applyFont="1"/>
    <xf numFmtId="174" fontId="24" fillId="6" borderId="0" xfId="0" applyNumberFormat="1" applyFont="1" applyFill="1" applyAlignment="1">
      <alignment horizontal="right"/>
    </xf>
    <xf numFmtId="0" fontId="24" fillId="0" borderId="3" xfId="0" applyFont="1" applyBorder="1" applyAlignment="1">
      <alignment horizontal="right"/>
    </xf>
    <xf numFmtId="49" fontId="8" fillId="0" borderId="0" xfId="0" applyNumberFormat="1" applyFont="1"/>
    <xf numFmtId="49" fontId="8" fillId="7" borderId="0" xfId="0" applyNumberFormat="1" applyFont="1" applyFill="1" applyAlignment="1">
      <alignment horizontal="right"/>
    </xf>
    <xf numFmtId="168" fontId="5" fillId="2" borderId="0" xfId="0" applyNumberFormat="1" applyFont="1" applyFill="1"/>
    <xf numFmtId="0" fontId="37" fillId="2" borderId="0" xfId="0" applyFont="1" applyFill="1"/>
    <xf numFmtId="1" fontId="37" fillId="2" borderId="0" xfId="0" applyNumberFormat="1" applyFont="1" applyFill="1"/>
    <xf numFmtId="0" fontId="38" fillId="2" borderId="0" xfId="0" applyFont="1" applyFill="1"/>
    <xf numFmtId="171" fontId="38" fillId="2" borderId="0" xfId="0" applyNumberFormat="1" applyFont="1" applyFill="1"/>
    <xf numFmtId="0" fontId="5" fillId="5" borderId="0" xfId="0" applyFont="1" applyFill="1"/>
    <xf numFmtId="165" fontId="5" fillId="5" borderId="0" xfId="0" applyNumberFormat="1" applyFont="1" applyFill="1"/>
    <xf numFmtId="165" fontId="34" fillId="5" borderId="0" xfId="0" applyNumberFormat="1" applyFont="1" applyFill="1"/>
    <xf numFmtId="0" fontId="24" fillId="5" borderId="0" xfId="0" applyFont="1" applyFill="1" applyAlignment="1">
      <alignment horizontal="center"/>
    </xf>
    <xf numFmtId="0" fontId="11" fillId="0" borderId="2" xfId="0" applyFont="1" applyBorder="1"/>
    <xf numFmtId="0" fontId="11" fillId="0" borderId="4" xfId="0" applyFont="1" applyBorder="1"/>
    <xf numFmtId="1" fontId="8" fillId="0" borderId="4" xfId="0" applyNumberFormat="1" applyFont="1" applyBorder="1"/>
    <xf numFmtId="165" fontId="8" fillId="0" borderId="4" xfId="0" applyNumberFormat="1" applyFont="1" applyBorder="1"/>
    <xf numFmtId="3" fontId="11" fillId="0" borderId="0" xfId="0" applyNumberFormat="1" applyFont="1"/>
    <xf numFmtId="10" fontId="11" fillId="0" borderId="0" xfId="0" applyNumberFormat="1" applyFont="1"/>
    <xf numFmtId="9" fontId="11" fillId="0" borderId="0" xfId="0" applyNumberFormat="1" applyFont="1"/>
    <xf numFmtId="171" fontId="31" fillId="0" borderId="0" xfId="0" applyNumberFormat="1" applyFont="1"/>
    <xf numFmtId="175" fontId="31" fillId="0" borderId="0" xfId="0" applyNumberFormat="1" applyFont="1"/>
    <xf numFmtId="10" fontId="8" fillId="0" borderId="0" xfId="0" applyNumberFormat="1" applyFont="1"/>
    <xf numFmtId="10" fontId="32" fillId="0" borderId="0" xfId="0" applyNumberFormat="1" applyFont="1"/>
    <xf numFmtId="9" fontId="8" fillId="0" borderId="0" xfId="0" applyNumberFormat="1" applyFont="1"/>
    <xf numFmtId="10" fontId="8" fillId="7" borderId="0" xfId="0" applyNumberFormat="1" applyFont="1" applyFill="1"/>
    <xf numFmtId="3" fontId="11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166" fontId="8" fillId="0" borderId="0" xfId="0" applyNumberFormat="1" applyFont="1" applyAlignment="1">
      <alignment horizontal="right"/>
    </xf>
    <xf numFmtId="3" fontId="24" fillId="0" borderId="0" xfId="0" applyNumberFormat="1" applyFont="1" applyAlignment="1">
      <alignment horizontal="right"/>
    </xf>
    <xf numFmtId="165" fontId="24" fillId="0" borderId="0" xfId="0" applyNumberFormat="1" applyFont="1" applyAlignment="1">
      <alignment horizontal="right"/>
    </xf>
    <xf numFmtId="166" fontId="24" fillId="0" borderId="0" xfId="0" applyNumberFormat="1" applyFont="1" applyAlignment="1">
      <alignment horizontal="right"/>
    </xf>
    <xf numFmtId="0" fontId="24" fillId="5" borderId="0" xfId="0" applyFont="1" applyFill="1" applyAlignment="1">
      <alignment wrapText="1"/>
    </xf>
    <xf numFmtId="0" fontId="24" fillId="5" borderId="0" xfId="0" applyFont="1" applyFill="1" applyAlignment="1">
      <alignment horizontal="center" wrapText="1"/>
    </xf>
    <xf numFmtId="9" fontId="7" fillId="0" borderId="0" xfId="0" applyNumberFormat="1" applyFont="1"/>
    <xf numFmtId="173" fontId="11" fillId="0" borderId="0" xfId="0" applyNumberFormat="1" applyFont="1"/>
    <xf numFmtId="176" fontId="31" fillId="0" borderId="0" xfId="0" applyNumberFormat="1" applyFont="1"/>
    <xf numFmtId="177" fontId="31" fillId="0" borderId="0" xfId="0" applyNumberFormat="1" applyFont="1"/>
    <xf numFmtId="170" fontId="8" fillId="0" borderId="0" xfId="0" applyNumberFormat="1" applyFont="1"/>
    <xf numFmtId="10" fontId="7" fillId="0" borderId="0" xfId="0" applyNumberFormat="1" applyFont="1"/>
    <xf numFmtId="9" fontId="8" fillId="7" borderId="0" xfId="0" applyNumberFormat="1" applyFont="1" applyFill="1"/>
    <xf numFmtId="169" fontId="24" fillId="6" borderId="0" xfId="0" applyNumberFormat="1" applyFont="1" applyFill="1"/>
    <xf numFmtId="3" fontId="24" fillId="6" borderId="0" xfId="0" applyNumberFormat="1" applyFont="1" applyFill="1"/>
    <xf numFmtId="4" fontId="24" fillId="6" borderId="0" xfId="0" applyNumberFormat="1" applyFont="1" applyFill="1"/>
    <xf numFmtId="3" fontId="24" fillId="6" borderId="0" xfId="0" applyNumberFormat="1" applyFont="1" applyFill="1" applyAlignment="1">
      <alignment horizontal="right"/>
    </xf>
    <xf numFmtId="172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0" fontId="24" fillId="0" borderId="2" xfId="0" applyFont="1" applyBorder="1" applyAlignment="1">
      <alignment horizontal="center"/>
    </xf>
    <xf numFmtId="0" fontId="39" fillId="0" borderId="0" xfId="0" applyFont="1" applyAlignment="1">
      <alignment horizontal="right"/>
    </xf>
    <xf numFmtId="0" fontId="40" fillId="0" borderId="0" xfId="0" applyFont="1"/>
    <xf numFmtId="0" fontId="40" fillId="8" borderId="0" xfId="0" applyFont="1" applyFill="1"/>
    <xf numFmtId="0" fontId="11" fillId="8" borderId="0" xfId="0" applyFont="1" applyFill="1"/>
    <xf numFmtId="0" fontId="41" fillId="8" borderId="0" xfId="0" applyFont="1" applyFill="1"/>
    <xf numFmtId="178" fontId="24" fillId="6" borderId="0" xfId="0" applyNumberFormat="1" applyFont="1" applyFill="1"/>
    <xf numFmtId="3" fontId="7" fillId="6" borderId="0" xfId="0" applyNumberFormat="1" applyFont="1" applyFill="1"/>
    <xf numFmtId="3" fontId="6" fillId="6" borderId="0" xfId="0" applyNumberFormat="1" applyFont="1" applyFill="1"/>
    <xf numFmtId="3" fontId="7" fillId="7" borderId="0" xfId="0" applyNumberFormat="1" applyFont="1" applyFill="1"/>
    <xf numFmtId="172" fontId="7" fillId="0" borderId="0" xfId="0" applyNumberFormat="1" applyFont="1"/>
    <xf numFmtId="0" fontId="18" fillId="0" borderId="0" xfId="0" applyFont="1"/>
    <xf numFmtId="1" fontId="32" fillId="0" borderId="0" xfId="0" applyNumberFormat="1" applyFont="1"/>
    <xf numFmtId="3" fontId="32" fillId="0" borderId="0" xfId="0" applyNumberFormat="1" applyFont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/>
    <xf numFmtId="169" fontId="7" fillId="0" borderId="0" xfId="0" applyNumberFormat="1" applyFont="1"/>
    <xf numFmtId="3" fontId="6" fillId="0" borderId="1" xfId="0" applyNumberFormat="1" applyFont="1" applyBorder="1"/>
    <xf numFmtId="169" fontId="6" fillId="0" borderId="1" xfId="0" applyNumberFormat="1" applyFont="1" applyBorder="1"/>
    <xf numFmtId="165" fontId="7" fillId="6" borderId="0" xfId="0" applyNumberFormat="1" applyFont="1" applyFill="1"/>
    <xf numFmtId="0" fontId="7" fillId="6" borderId="0" xfId="0" applyFont="1" applyFill="1"/>
    <xf numFmtId="0" fontId="6" fillId="0" borderId="3" xfId="0" applyFont="1" applyBorder="1"/>
    <xf numFmtId="166" fontId="6" fillId="9" borderId="0" xfId="0" applyNumberFormat="1" applyFont="1" applyFill="1"/>
    <xf numFmtId="166" fontId="34" fillId="9" borderId="0" xfId="0" applyNumberFormat="1" applyFont="1" applyFill="1"/>
    <xf numFmtId="0" fontId="7" fillId="8" borderId="0" xfId="0" applyFont="1" applyFill="1"/>
    <xf numFmtId="0" fontId="43" fillId="0" borderId="0" xfId="0" applyFont="1"/>
    <xf numFmtId="0" fontId="44" fillId="0" borderId="0" xfId="0" applyFont="1"/>
    <xf numFmtId="0" fontId="40" fillId="0" borderId="3" xfId="0" applyFont="1" applyBorder="1"/>
    <xf numFmtId="0" fontId="5" fillId="2" borderId="0" xfId="0" applyFont="1" applyFill="1" applyAlignment="1">
      <alignment horizontal="right"/>
    </xf>
    <xf numFmtId="0" fontId="25" fillId="8" borderId="0" xfId="0" applyFont="1" applyFill="1" applyAlignment="1">
      <alignment horizontal="right"/>
    </xf>
    <xf numFmtId="0" fontId="42" fillId="8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40" fillId="8" borderId="3" xfId="0" applyFont="1" applyFill="1" applyBorder="1" applyAlignment="1">
      <alignment horizontal="left"/>
    </xf>
    <xf numFmtId="0" fontId="40" fillId="0" borderId="3" xfId="0" applyFont="1" applyBorder="1" applyAlignment="1">
      <alignment horizontal="left"/>
    </xf>
    <xf numFmtId="0" fontId="24" fillId="5" borderId="5" xfId="0" applyFont="1" applyFill="1" applyBorder="1"/>
    <xf numFmtId="0" fontId="24" fillId="5" borderId="5" xfId="0" applyFont="1" applyFill="1" applyBorder="1" applyAlignment="1">
      <alignment horizontal="center"/>
    </xf>
    <xf numFmtId="165" fontId="7" fillId="0" borderId="2" xfId="0" applyNumberFormat="1" applyFont="1" applyBorder="1"/>
    <xf numFmtId="165" fontId="32" fillId="0" borderId="2" xfId="0" applyNumberFormat="1" applyFont="1" applyBorder="1"/>
    <xf numFmtId="0" fontId="12" fillId="5" borderId="0" xfId="0" applyFont="1" applyFill="1"/>
    <xf numFmtId="0" fontId="12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3" fontId="6" fillId="9" borderId="0" xfId="0" applyNumberFormat="1" applyFont="1" applyFill="1"/>
    <xf numFmtId="165" fontId="6" fillId="9" borderId="0" xfId="0" applyNumberFormat="1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6" fillId="5" borderId="0" xfId="0" applyFont="1" applyFill="1" applyAlignment="1">
      <alignment horizontal="center" wrapText="1"/>
    </xf>
    <xf numFmtId="0" fontId="7" fillId="0" borderId="2" xfId="0" applyFont="1" applyBorder="1"/>
    <xf numFmtId="0" fontId="6" fillId="5" borderId="0" xfId="0" applyFont="1" applyFill="1" applyAlignment="1">
      <alignment wrapText="1"/>
    </xf>
    <xf numFmtId="172" fontId="6" fillId="9" borderId="0" xfId="0" applyNumberFormat="1" applyFont="1" applyFill="1"/>
    <xf numFmtId="17" fontId="7" fillId="0" borderId="0" xfId="0" applyNumberFormat="1" applyFont="1"/>
    <xf numFmtId="165" fontId="6" fillId="0" borderId="0" xfId="0" applyNumberFormat="1" applyFont="1" applyAlignment="1">
      <alignment horizontal="center"/>
    </xf>
    <xf numFmtId="17" fontId="6" fillId="0" borderId="0" xfId="0" applyNumberFormat="1" applyFont="1" applyAlignment="1">
      <alignment horizontal="center"/>
    </xf>
    <xf numFmtId="0" fontId="45" fillId="0" borderId="0" xfId="0" applyFont="1"/>
    <xf numFmtId="165" fontId="45" fillId="0" borderId="0" xfId="0" applyNumberFormat="1" applyFont="1" applyAlignment="1">
      <alignment horizontal="center"/>
    </xf>
    <xf numFmtId="1" fontId="45" fillId="0" borderId="0" xfId="0" applyNumberFormat="1" applyFont="1" applyAlignment="1">
      <alignment horizontal="center"/>
    </xf>
    <xf numFmtId="165" fontId="47" fillId="0" borderId="0" xfId="0" applyNumberFormat="1" applyFont="1"/>
    <xf numFmtId="0" fontId="30" fillId="6" borderId="0" xfId="0" applyFont="1" applyFill="1"/>
    <xf numFmtId="165" fontId="46" fillId="6" borderId="0" xfId="0" applyNumberFormat="1" applyFont="1" applyFill="1"/>
    <xf numFmtId="165" fontId="8" fillId="6" borderId="0" xfId="0" applyNumberFormat="1" applyFont="1" applyFill="1"/>
    <xf numFmtId="0" fontId="47" fillId="0" borderId="0" xfId="0" applyFont="1"/>
    <xf numFmtId="0" fontId="6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179" fontId="7" fillId="0" borderId="0" xfId="0" applyNumberFormat="1" applyFont="1"/>
    <xf numFmtId="179" fontId="8" fillId="0" borderId="0" xfId="0" applyNumberFormat="1" applyFont="1"/>
    <xf numFmtId="17" fontId="5" fillId="2" borderId="0" xfId="0" applyNumberFormat="1" applyFont="1" applyFill="1"/>
    <xf numFmtId="17" fontId="5" fillId="2" borderId="0" xfId="0" applyNumberFormat="1" applyFont="1" applyFill="1" applyAlignment="1">
      <alignment horizontal="center"/>
    </xf>
    <xf numFmtId="17" fontId="11" fillId="0" borderId="0" xfId="0" applyNumberFormat="1" applyFont="1"/>
    <xf numFmtId="3" fontId="24" fillId="5" borderId="0" xfId="0" applyNumberFormat="1" applyFont="1" applyFill="1"/>
    <xf numFmtId="17" fontId="24" fillId="5" borderId="0" xfId="0" applyNumberFormat="1" applyFont="1" applyFill="1"/>
    <xf numFmtId="1" fontId="24" fillId="5" borderId="0" xfId="0" applyNumberFormat="1" applyFont="1" applyFill="1"/>
    <xf numFmtId="166" fontId="24" fillId="5" borderId="0" xfId="0" applyNumberFormat="1" applyFont="1" applyFill="1"/>
    <xf numFmtId="166" fontId="5" fillId="2" borderId="0" xfId="0" applyNumberFormat="1" applyFont="1" applyFill="1"/>
    <xf numFmtId="17" fontId="8" fillId="0" borderId="0" xfId="0" applyNumberFormat="1" applyFont="1"/>
    <xf numFmtId="180" fontId="11" fillId="0" borderId="0" xfId="0" applyNumberFormat="1" applyFont="1"/>
    <xf numFmtId="165" fontId="45" fillId="0" borderId="0" xfId="0" applyNumberFormat="1" applyFont="1"/>
    <xf numFmtId="175" fontId="45" fillId="0" borderId="0" xfId="0" applyNumberFormat="1" applyFont="1"/>
    <xf numFmtId="1" fontId="24" fillId="0" borderId="0" xfId="0" applyNumberFormat="1" applyFont="1" applyAlignment="1">
      <alignment horizontal="center"/>
    </xf>
    <xf numFmtId="165" fontId="11" fillId="6" borderId="0" xfId="0" applyNumberFormat="1" applyFont="1" applyFill="1" applyAlignment="1">
      <alignment horizontal="right"/>
    </xf>
    <xf numFmtId="166" fontId="11" fillId="6" borderId="0" xfId="0" applyNumberFormat="1" applyFont="1" applyFill="1" applyAlignment="1">
      <alignment horizontal="right"/>
    </xf>
    <xf numFmtId="17" fontId="11" fillId="6" borderId="0" xfId="0" applyNumberFormat="1" applyFont="1" applyFill="1" applyAlignment="1">
      <alignment horizontal="right"/>
    </xf>
    <xf numFmtId="172" fontId="11" fillId="6" borderId="0" xfId="0" applyNumberFormat="1" applyFont="1" applyFill="1" applyAlignment="1">
      <alignment horizontal="right"/>
    </xf>
    <xf numFmtId="0" fontId="39" fillId="0" borderId="0" xfId="0" applyFont="1" applyAlignment="1">
      <alignment horizontal="center"/>
    </xf>
    <xf numFmtId="0" fontId="48" fillId="2" borderId="0" xfId="0" applyFont="1" applyFill="1"/>
    <xf numFmtId="0" fontId="16" fillId="2" borderId="0" xfId="0" applyFont="1" applyFill="1"/>
    <xf numFmtId="3" fontId="27" fillId="0" borderId="0" xfId="0" applyNumberFormat="1" applyFont="1"/>
    <xf numFmtId="17" fontId="27" fillId="0" borderId="0" xfId="0" applyNumberFormat="1" applyFont="1"/>
    <xf numFmtId="1" fontId="27" fillId="0" borderId="0" xfId="0" applyNumberFormat="1" applyFont="1"/>
    <xf numFmtId="17" fontId="10" fillId="0" borderId="0" xfId="0" applyNumberFormat="1" applyFont="1"/>
    <xf numFmtId="17" fontId="27" fillId="7" borderId="0" xfId="0" applyNumberFormat="1" applyFont="1" applyFill="1"/>
    <xf numFmtId="1" fontId="27" fillId="7" borderId="0" xfId="0" applyNumberFormat="1" applyFont="1" applyFill="1"/>
    <xf numFmtId="3" fontId="12" fillId="5" borderId="0" xfId="0" applyNumberFormat="1" applyFont="1" applyFill="1"/>
    <xf numFmtId="0" fontId="49" fillId="0" borderId="0" xfId="0" applyFont="1"/>
    <xf numFmtId="2" fontId="11" fillId="0" borderId="0" xfId="0" applyNumberFormat="1" applyFont="1"/>
    <xf numFmtId="170" fontId="24" fillId="5" borderId="0" xfId="0" applyNumberFormat="1" applyFont="1" applyFill="1"/>
    <xf numFmtId="9" fontId="24" fillId="5" borderId="0" xfId="0" applyNumberFormat="1" applyFont="1" applyFill="1"/>
    <xf numFmtId="0" fontId="40" fillId="5" borderId="0" xfId="0" applyFont="1" applyFill="1"/>
    <xf numFmtId="0" fontId="24" fillId="0" borderId="1" xfId="0" applyFont="1" applyBorder="1"/>
    <xf numFmtId="165" fontId="24" fillId="0" borderId="1" xfId="0" applyNumberFormat="1" applyFont="1" applyBorder="1"/>
    <xf numFmtId="1" fontId="24" fillId="5" borderId="0" xfId="0" applyNumberFormat="1" applyFont="1" applyFill="1" applyAlignment="1">
      <alignment horizontal="center"/>
    </xf>
    <xf numFmtId="17" fontId="24" fillId="6" borderId="0" xfId="0" applyNumberFormat="1" applyFont="1" applyFill="1" applyAlignment="1">
      <alignment horizontal="right"/>
    </xf>
    <xf numFmtId="181" fontId="8" fillId="0" borderId="0" xfId="0" applyNumberFormat="1" applyFont="1" applyAlignment="1">
      <alignment horizontal="right"/>
    </xf>
    <xf numFmtId="181" fontId="11" fillId="0" borderId="0" xfId="0" applyNumberFormat="1" applyFont="1" applyAlignment="1">
      <alignment horizontal="right"/>
    </xf>
    <xf numFmtId="181" fontId="24" fillId="5" borderId="0" xfId="0" applyNumberFormat="1" applyFont="1" applyFill="1" applyAlignment="1">
      <alignment horizontal="right"/>
    </xf>
    <xf numFmtId="2" fontId="8" fillId="7" borderId="0" xfId="0" applyNumberFormat="1" applyFont="1" applyFill="1"/>
    <xf numFmtId="0" fontId="50" fillId="0" borderId="0" xfId="0" applyFont="1"/>
    <xf numFmtId="0" fontId="5" fillId="2" borderId="0" xfId="0" applyFont="1" applyFill="1" applyAlignment="1">
      <alignment wrapText="1"/>
    </xf>
    <xf numFmtId="1" fontId="11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5" fillId="3" borderId="0" xfId="0" applyNumberFormat="1" applyFont="1" applyFill="1" applyAlignment="1">
      <alignment horizontal="center"/>
    </xf>
    <xf numFmtId="1" fontId="37" fillId="0" borderId="0" xfId="0" applyNumberFormat="1" applyFont="1" applyAlignment="1">
      <alignment horizontal="center"/>
    </xf>
    <xf numFmtId="0" fontId="37" fillId="0" borderId="0" xfId="0" applyFont="1"/>
    <xf numFmtId="0" fontId="5" fillId="3" borderId="0" xfId="0" applyFont="1" applyFill="1" applyAlignment="1">
      <alignment horizontal="center"/>
    </xf>
    <xf numFmtId="165" fontId="5" fillId="3" borderId="0" xfId="0" applyNumberFormat="1" applyFont="1" applyFill="1" applyAlignment="1">
      <alignment horizontal="right"/>
    </xf>
    <xf numFmtId="172" fontId="5" fillId="3" borderId="0" xfId="0" applyNumberFormat="1" applyFont="1" applyFill="1" applyAlignment="1">
      <alignment horizontal="center"/>
    </xf>
    <xf numFmtId="166" fontId="5" fillId="3" borderId="0" xfId="0" applyNumberFormat="1" applyFont="1" applyFill="1" applyAlignment="1">
      <alignment horizontal="center"/>
    </xf>
    <xf numFmtId="0" fontId="11" fillId="0" borderId="6" xfId="0" applyFont="1" applyBorder="1"/>
    <xf numFmtId="0" fontId="11" fillId="0" borderId="6" xfId="0" applyFont="1" applyBorder="1" applyAlignment="1">
      <alignment horizontal="center"/>
    </xf>
    <xf numFmtId="1" fontId="11" fillId="0" borderId="6" xfId="0" applyNumberFormat="1" applyFont="1" applyBorder="1" applyAlignment="1">
      <alignment horizontal="center"/>
    </xf>
    <xf numFmtId="165" fontId="11" fillId="0" borderId="6" xfId="0" applyNumberFormat="1" applyFont="1" applyBorder="1" applyAlignment="1">
      <alignment horizontal="right"/>
    </xf>
    <xf numFmtId="172" fontId="11" fillId="0" borderId="6" xfId="0" applyNumberFormat="1" applyFont="1" applyBorder="1" applyAlignment="1">
      <alignment horizontal="center"/>
    </xf>
    <xf numFmtId="166" fontId="11" fillId="0" borderId="6" xfId="0" applyNumberFormat="1" applyFont="1" applyBorder="1" applyAlignment="1">
      <alignment horizontal="center"/>
    </xf>
    <xf numFmtId="0" fontId="24" fillId="5" borderId="6" xfId="0" applyFont="1" applyFill="1" applyBorder="1"/>
    <xf numFmtId="0" fontId="24" fillId="5" borderId="6" xfId="0" applyFont="1" applyFill="1" applyBorder="1" applyAlignment="1">
      <alignment horizontal="center"/>
    </xf>
    <xf numFmtId="1" fontId="24" fillId="5" borderId="6" xfId="0" applyNumberFormat="1" applyFont="1" applyFill="1" applyBorder="1" applyAlignment="1">
      <alignment horizontal="center"/>
    </xf>
    <xf numFmtId="165" fontId="24" fillId="5" borderId="6" xfId="0" applyNumberFormat="1" applyFont="1" applyFill="1" applyBorder="1" applyAlignment="1">
      <alignment horizontal="right"/>
    </xf>
    <xf numFmtId="172" fontId="24" fillId="5" borderId="6" xfId="0" applyNumberFormat="1" applyFont="1" applyFill="1" applyBorder="1" applyAlignment="1">
      <alignment horizontal="center"/>
    </xf>
    <xf numFmtId="166" fontId="24" fillId="5" borderId="6" xfId="0" applyNumberFormat="1" applyFont="1" applyFill="1" applyBorder="1" applyAlignment="1">
      <alignment horizontal="center"/>
    </xf>
    <xf numFmtId="0" fontId="5" fillId="3" borderId="6" xfId="0" applyFont="1" applyFill="1" applyBorder="1"/>
    <xf numFmtId="0" fontId="5" fillId="3" borderId="6" xfId="0" applyFont="1" applyFill="1" applyBorder="1" applyAlignment="1">
      <alignment horizontal="center"/>
    </xf>
    <xf numFmtId="1" fontId="5" fillId="3" borderId="6" xfId="0" applyNumberFormat="1" applyFont="1" applyFill="1" applyBorder="1" applyAlignment="1">
      <alignment horizontal="center"/>
    </xf>
    <xf numFmtId="165" fontId="5" fillId="3" borderId="6" xfId="0" applyNumberFormat="1" applyFont="1" applyFill="1" applyBorder="1" applyAlignment="1">
      <alignment horizontal="right"/>
    </xf>
    <xf numFmtId="172" fontId="5" fillId="3" borderId="6" xfId="0" applyNumberFormat="1" applyFont="1" applyFill="1" applyBorder="1" applyAlignment="1">
      <alignment horizontal="center"/>
    </xf>
    <xf numFmtId="166" fontId="5" fillId="3" borderId="6" xfId="0" applyNumberFormat="1" applyFont="1" applyFill="1" applyBorder="1" applyAlignment="1">
      <alignment horizontal="center"/>
    </xf>
    <xf numFmtId="0" fontId="22" fillId="0" borderId="6" xfId="0" applyFont="1" applyBorder="1"/>
    <xf numFmtId="0" fontId="22" fillId="0" borderId="6" xfId="0" applyFont="1" applyBorder="1" applyAlignment="1">
      <alignment horizontal="center"/>
    </xf>
    <xf numFmtId="1" fontId="22" fillId="0" borderId="6" xfId="0" applyNumberFormat="1" applyFont="1" applyBorder="1" applyAlignment="1">
      <alignment horizontal="center"/>
    </xf>
    <xf numFmtId="165" fontId="22" fillId="0" borderId="6" xfId="0" applyNumberFormat="1" applyFont="1" applyBorder="1" applyAlignment="1">
      <alignment horizontal="right"/>
    </xf>
    <xf numFmtId="172" fontId="22" fillId="0" borderId="6" xfId="0" applyNumberFormat="1" applyFont="1" applyBorder="1" applyAlignment="1">
      <alignment horizontal="center"/>
    </xf>
    <xf numFmtId="166" fontId="22" fillId="0" borderId="6" xfId="0" applyNumberFormat="1" applyFont="1" applyBorder="1" applyAlignment="1">
      <alignment horizontal="center"/>
    </xf>
    <xf numFmtId="0" fontId="24" fillId="5" borderId="6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166" fontId="5" fillId="2" borderId="0" xfId="0" applyNumberFormat="1" applyFont="1" applyFill="1" applyAlignment="1">
      <alignment horizontal="center"/>
    </xf>
    <xf numFmtId="166" fontId="24" fillId="6" borderId="0" xfId="0" applyNumberFormat="1" applyFont="1" applyFill="1" applyAlignment="1">
      <alignment horizontal="center"/>
    </xf>
    <xf numFmtId="0" fontId="31" fillId="0" borderId="0" xfId="0" applyFont="1" applyAlignment="1">
      <alignment horizontal="center"/>
    </xf>
    <xf numFmtId="166" fontId="24" fillId="6" borderId="6" xfId="0" applyNumberFormat="1" applyFont="1" applyFill="1" applyBorder="1" applyAlignment="1">
      <alignment horizontal="center"/>
    </xf>
    <xf numFmtId="166" fontId="21" fillId="6" borderId="6" xfId="0" applyNumberFormat="1" applyFont="1" applyFill="1" applyBorder="1" applyAlignment="1">
      <alignment horizontal="center"/>
    </xf>
    <xf numFmtId="165" fontId="6" fillId="10" borderId="0" xfId="0" applyNumberFormat="1" applyFont="1" applyFill="1" applyAlignment="1">
      <alignment horizontal="right"/>
    </xf>
    <xf numFmtId="172" fontId="6" fillId="9" borderId="0" xfId="0" applyNumberFormat="1" applyFont="1" applyFill="1" applyAlignment="1">
      <alignment horizontal="center"/>
    </xf>
    <xf numFmtId="165" fontId="6" fillId="10" borderId="0" xfId="0" applyNumberFormat="1" applyFont="1" applyFill="1" applyAlignment="1">
      <alignment horizontal="center"/>
    </xf>
    <xf numFmtId="0" fontId="7" fillId="0" borderId="0" xfId="0" applyFont="1" applyAlignment="1">
      <alignment vertical="center"/>
    </xf>
    <xf numFmtId="0" fontId="17" fillId="0" borderId="0" xfId="0" applyFont="1"/>
    <xf numFmtId="0" fontId="26" fillId="0" borderId="0" xfId="0" applyFont="1"/>
    <xf numFmtId="0" fontId="51" fillId="0" borderId="0" xfId="0" applyFont="1"/>
    <xf numFmtId="0" fontId="23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/>
    </xf>
    <xf numFmtId="3" fontId="26" fillId="0" borderId="0" xfId="0" applyNumberFormat="1" applyFont="1" applyAlignment="1">
      <alignment vertical="center"/>
    </xf>
    <xf numFmtId="170" fontId="26" fillId="0" borderId="0" xfId="0" applyNumberFormat="1" applyFont="1" applyAlignment="1">
      <alignment vertical="center"/>
    </xf>
    <xf numFmtId="166" fontId="26" fillId="0" borderId="0" xfId="0" applyNumberFormat="1" applyFont="1" applyAlignment="1">
      <alignment vertical="center"/>
    </xf>
    <xf numFmtId="0" fontId="23" fillId="0" borderId="7" xfId="0" applyFont="1" applyBorder="1" applyAlignment="1">
      <alignment vertical="center"/>
    </xf>
    <xf numFmtId="3" fontId="23" fillId="0" borderId="7" xfId="0" applyNumberFormat="1" applyFont="1" applyBorder="1" applyAlignment="1">
      <alignment vertical="center"/>
    </xf>
    <xf numFmtId="170" fontId="23" fillId="0" borderId="7" xfId="0" applyNumberFormat="1" applyFont="1" applyBorder="1" applyAlignment="1">
      <alignment vertical="center"/>
    </xf>
    <xf numFmtId="166" fontId="23" fillId="0" borderId="7" xfId="0" applyNumberFormat="1" applyFont="1" applyBorder="1" applyAlignment="1">
      <alignment vertical="center"/>
    </xf>
    <xf numFmtId="9" fontId="26" fillId="0" borderId="0" xfId="0" applyNumberFormat="1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 wrapText="1"/>
    </xf>
    <xf numFmtId="2" fontId="26" fillId="0" borderId="0" xfId="0" applyNumberFormat="1" applyFont="1" applyAlignment="1">
      <alignment horizontal="center" vertical="center"/>
    </xf>
    <xf numFmtId="0" fontId="52" fillId="0" borderId="0" xfId="0" applyFont="1" applyAlignment="1">
      <alignment vertical="center"/>
    </xf>
    <xf numFmtId="169" fontId="26" fillId="0" borderId="0" xfId="0" applyNumberFormat="1" applyFont="1" applyAlignment="1">
      <alignment vertical="center"/>
    </xf>
    <xf numFmtId="0" fontId="8" fillId="0" borderId="0" xfId="0" applyFont="1" applyAlignment="1">
      <alignment horizontal="right"/>
    </xf>
    <xf numFmtId="0" fontId="45" fillId="0" borderId="0" xfId="0" applyFont="1" applyAlignment="1">
      <alignment horizontal="right"/>
    </xf>
    <xf numFmtId="165" fontId="0" fillId="0" borderId="0" xfId="0" applyNumberFormat="1"/>
    <xf numFmtId="183" fontId="6" fillId="6" borderId="0" xfId="0" applyNumberFormat="1" applyFont="1" applyFill="1" applyAlignment="1">
      <alignment horizontal="right"/>
    </xf>
    <xf numFmtId="183" fontId="24" fillId="6" borderId="0" xfId="0" applyNumberFormat="1" applyFont="1" applyFill="1" applyAlignment="1">
      <alignment horizontal="right"/>
    </xf>
    <xf numFmtId="184" fontId="11" fillId="6" borderId="0" xfId="0" applyNumberFormat="1" applyFont="1" applyFill="1" applyAlignment="1">
      <alignment horizontal="right"/>
    </xf>
    <xf numFmtId="0" fontId="7" fillId="5" borderId="0" xfId="0" applyFont="1" applyFill="1"/>
    <xf numFmtId="165" fontId="7" fillId="5" borderId="0" xfId="0" applyNumberFormat="1" applyFont="1" applyFill="1"/>
    <xf numFmtId="166" fontId="0" fillId="0" borderId="0" xfId="0" applyNumberFormat="1"/>
    <xf numFmtId="183" fontId="0" fillId="0" borderId="0" xfId="0" applyNumberFormat="1"/>
    <xf numFmtId="0" fontId="55" fillId="0" borderId="0" xfId="0" applyFont="1"/>
    <xf numFmtId="186" fontId="0" fillId="0" borderId="0" xfId="0" applyNumberFormat="1"/>
    <xf numFmtId="182" fontId="0" fillId="0" borderId="0" xfId="0" applyNumberFormat="1"/>
    <xf numFmtId="0" fontId="54" fillId="0" borderId="0" xfId="0" applyFont="1"/>
    <xf numFmtId="166" fontId="56" fillId="0" borderId="0" xfId="0" applyNumberFormat="1" applyFont="1"/>
    <xf numFmtId="166" fontId="53" fillId="0" borderId="0" xfId="0" applyNumberFormat="1" applyFont="1"/>
    <xf numFmtId="165" fontId="0" fillId="7" borderId="0" xfId="0" applyNumberFormat="1" applyFill="1"/>
    <xf numFmtId="166" fontId="54" fillId="0" borderId="0" xfId="0" applyNumberFormat="1" applyFont="1"/>
    <xf numFmtId="1" fontId="0" fillId="0" borderId="0" xfId="0" applyNumberFormat="1"/>
    <xf numFmtId="0" fontId="52" fillId="0" borderId="0" xfId="0" applyFont="1" applyAlignment="1">
      <alignment wrapText="1"/>
    </xf>
    <xf numFmtId="0" fontId="26" fillId="0" borderId="0" xfId="0" applyFont="1"/>
    <xf numFmtId="0" fontId="26" fillId="0" borderId="0" xfId="0" applyFont="1" applyAlignment="1">
      <alignment horizontal="left" vertical="center" wrapText="1"/>
    </xf>
    <xf numFmtId="0" fontId="19" fillId="7" borderId="0" xfId="0" applyFont="1" applyFill="1" applyAlignment="1">
      <alignment horizontal="center"/>
    </xf>
    <xf numFmtId="0" fontId="19" fillId="7" borderId="0" xfId="0" applyFont="1" applyFill="1"/>
  </cellXfs>
  <cellStyles count="11">
    <cellStyle name="Ênfase2 2" xfId="8" xr:uid="{9C566F86-2619-CE4B-A3E8-6EB6BC3A2AF3}"/>
    <cellStyle name="Moeda 2" xfId="2" xr:uid="{F609647B-E963-4F4A-BAA4-A93AD93B214B}"/>
    <cellStyle name="Normal" xfId="0" builtinId="0"/>
    <cellStyle name="Normal 2" xfId="1" xr:uid="{6C40745F-4FBA-B745-BE52-0500776AE2F5}"/>
    <cellStyle name="Normal 2 3" xfId="7" xr:uid="{D5B28FFB-0268-3247-B83A-7B60B4A13A8C}"/>
    <cellStyle name="Normal 3" xfId="10" xr:uid="{E7E375AC-9790-0C49-9727-415C0ED2D541}"/>
    <cellStyle name="Normal 4" xfId="9" xr:uid="{4D3A57AF-D47A-A54E-8396-4487F464C6F4}"/>
    <cellStyle name="Porcentagem 2" xfId="3" xr:uid="{9958FB99-08ED-644B-B2DA-BC3E9A9CE52D}"/>
    <cellStyle name="Porcentagem 2 2" xfId="6" xr:uid="{B122E950-CD62-5248-817C-23C4F42C7BE4}"/>
    <cellStyle name="Vírgula 2" xfId="4" xr:uid="{A88A5C85-2391-4D4B-A597-07CD6A9FCC94}"/>
    <cellStyle name="Vírgula 3" xfId="5" xr:uid="{6BE009D5-597C-754C-BD2B-D344F2FB3D9D}"/>
  </cellStyles>
  <dxfs count="6">
    <dxf>
      <fill>
        <patternFill patternType="solid">
          <fgColor indexed="64"/>
          <bgColor rgb="FFE2EFDA"/>
        </patternFill>
      </fill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mruColors>
      <color rgb="FFFF7E79"/>
      <color rgb="FF0432FF"/>
      <color rgb="FFD0EAC8"/>
      <color rgb="FFFF3B30"/>
      <color rgb="FFFFD57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25401</xdr:colOff>
      <xdr:row>0</xdr:row>
      <xdr:rowOff>203200</xdr:rowOff>
    </xdr:from>
    <xdr:to>
      <xdr:col>1</xdr:col>
      <xdr:colOff>1663701</xdr:colOff>
      <xdr:row>1</xdr:row>
      <xdr:rowOff>165100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11187E-3A9F-5544-8BA6-28C5CEA28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1" y="203200"/>
          <a:ext cx="1638300" cy="6350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38</xdr:row>
      <xdr:rowOff>51129</xdr:rowOff>
    </xdr:from>
    <xdr:to>
      <xdr:col>8</xdr:col>
      <xdr:colOff>1028700</xdr:colOff>
      <xdr:row>70</xdr:row>
      <xdr:rowOff>42088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FC4DFD5-6F60-5DB5-CF35-035282CE1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700" y="8445829"/>
          <a:ext cx="12319000" cy="6887059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</xdr:row>
      <xdr:rowOff>127329</xdr:rowOff>
    </xdr:from>
    <xdr:to>
      <xdr:col>9</xdr:col>
      <xdr:colOff>25400</xdr:colOff>
      <xdr:row>38</xdr:row>
      <xdr:rowOff>122836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41F59DA-C2BF-D840-B2AD-AA8209ABB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5100" y="800429"/>
          <a:ext cx="12407900" cy="77171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5</xdr:row>
      <xdr:rowOff>50800</xdr:rowOff>
    </xdr:from>
    <xdr:to>
      <xdr:col>1</xdr:col>
      <xdr:colOff>1574801</xdr:colOff>
      <xdr:row>8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20B933-097A-EC41-9959-AB560172F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1" y="1028700"/>
          <a:ext cx="1651000" cy="635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sers/felipearlindo/Desktop/CENTRAL%20/1.EMOC&#807;O&#771;ES/1.%20EMOC&#807;O&#771;ES%202024/1.%20GRAMADO%20-%20Atrac&#807;o&#771;es%20e%20Club%20Med/MODELO%20FINANCEIRO/Modelo%20Financeiro%20-%20Projeto%20Gramado%20%20(ABR24)/Modelo%20Financeiro%20-%20Atrac&#807;oes/CRI%20%20-%20CLUB%20M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iados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Felipe Arlindo" id="{FBC1C08F-1179-7C4D-9A72-4331EED24F9B}" userId="S::felipe.arlindo@incorporadorastaropera.com.br::c1e68123-1eac-4af5-9e89-dc736e759095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84" dT="2026-10-12T14:10:42.19" personId="{FBC1C08F-1179-7C4D-9A72-4331EED24F9B}" id="{3FCC1F39-3AF9-BE46-82C2-3BA848717990}">
    <text>Source: Fluxo de Caixa FF&amp;E &amp; PMH (1).xlsx, 'Fluxo de Caixa' tab, R00 30/07 — uploaded 12/10/2026. Values converted to R$ thousand; percentage distributions kept as in the file. Excluded from the cash flow: PMH (OSE) and rows 15–17 (yellow).</text>
  </threadedComment>
  <threadedComment ref="E339" dT="2026-10-12T15:45:23.25" personId="{FBC1C08F-1179-7C4D-9A72-4331EED24F9B}" id="{1FC93F77-0368-FF45-B5A2-A80AB4A36830}">
    <text>Provided by the user: utilities R$ 8.5 MM in 12 installments from Jan/27.</text>
  </threadedComment>
  <threadedComment ref="E340" dT="2026-10-12T15:45:23.26" personId="{FBC1C08F-1179-7C4D-9A72-4331EED24F9B}" id="{53E7ED60-8BA7-754E-8094-7F4E37972330}">
    <text>Provided by the user: phase 1 roads R$ 7 MM. Schedule not provided — Claude assumption: 12 installments from Jan/27, same as the utilities (adjust F336/G336).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C78" dT="2026-10-12T11:13:23.64" personId="{FBC1C08F-1179-7C4D-9A72-4331EED24F9B}" id="{53445C3A-11D1-6B45-8A53-2ACA5A92ED63}">
    <text>Source: BP GRAMADO - CASAMENTOS.xlsx, uploaded 12/10/2026 — tabs RETORNO C / RETORNO R / RETORNO O (columns C, D, F and H, periods 1 to 5). Uploaded file.</text>
  </threadedComment>
  <threadedComment ref="C102" dT="2026-10-12T14:01:39.47" personId="{FBC1C08F-1179-7C4D-9A72-4331EED24F9B}" id="{F2618771-B367-C042-9F35-664B12A40642}">
    <text>Source: Exame / Casar.com + Assessoria VIP (out/2024), https://exame.com/bussola/setor-de-casamentos-deve-movimentar-r-32-bilhoes-em-2025/ ; Abrafesta, https://abrafesta.com.br/mercado-casamentos-brasil-2025-oportunidades-empreendedores/</text>
  </threadedComment>
  <threadedComment ref="C103" dT="2026-10-12T14:01:40.22" personId="{FBC1C08F-1179-7C4D-9A72-4331EED24F9B}" id="{EB7BB386-7154-AC43-851B-13BA990BB622}">
    <text>Source: ABRAFESTA, Projection of Civil Weddings in Brazil in 2025 (Dec/2025), https://abrafesta.com.br/abrafesta-projecao-mercado-casamentos-brasil-2026/</text>
  </threadedComment>
  <threadedComment ref="C104" dT="2026-10-12T14:01:40.25" personId="{FBC1C08F-1179-7C4D-9A72-4331EED24F9B}" id="{1F0B88E3-B540-9143-B86A-380EF3CC5B80}">
    <text>Source: CNN Brasil (May/2022), https://www.cnnbrasil.com.br/viagemegastronomia/viagem/apos-dois-anos-de-pandemia-destination-wedding-esta-em-alta-entre-os-noivos-em-2022/</text>
  </threadedComment>
  <threadedComment ref="C105" dT="2026-10-12T14:01:40.27" personId="{FBC1C08F-1179-7C4D-9A72-4331EED24F9B}" id="{4B21BB7E-0761-344C-89AD-8276C58CD3C9}">
    <text>Source: Exame (2024), https://exame.com/casual/club-med-quer-exportar-destination-weddings/</text>
  </threadedComment>
  <threadedComment ref="C106" dT="2026-10-12T14:01:40.28" personId="{FBC1C08F-1179-7C4D-9A72-4331EED24F9B}" id="{0FD4E7BC-1762-1F4D-BB4F-ED6A3E04FEC5}">
    <text>Source: ABRAFESTA (May/2026), https://abrafesta.com.br/tendencias-mercado-festas-premium-casamentos-ar-livre/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C15" dT="2026-10-12T15:00:56.19" personId="{FBC1C08F-1179-7C4D-9A72-4331EED24F9B}" id="{C8D0F623-1519-DD4B-9423-8D6BB70C801A}">
    <text>Mix and areas: revised site plan with 26 houses (image provided): 2-bed 3 × ≈157 m², 3-bed 14 × ≈210 m², 4-bed 9 × ≈262 m² (4 new); total ≈5,770 m² usable, 84 bedrooms.</text>
  </threadedComment>
  <threadedComment ref="G15" dT="2026-10-12T15:00:56.20" personId="{FBC1C08F-1179-7C4D-9A72-4331EED24F9B}" id="{A291FFDF-73F4-8842-A56E-45D74DFCAF34}">
    <text>Claude assumption: price by unit type — smaller houses with a higher R$/m² (liquidity). Weighted average ≈ R$ 24.8 thousand/m², close to the R$ 25 thousand of the previous CAPEX block. Adjust.</text>
  </threadedComment>
  <threadedComment ref="D22" dT="2026-10-12T15:00:56.20" personId="{FBC1C08F-1179-7C4D-9A72-4331EED24F9B}" id="{3EEF1CE8-7507-5B46-9A09-364A416B2290}">
    <text>Construction cost R$ 13,000/m² applied to the usable area (user definition), same value as the previous CAPEX block. Construction Oct/26, 24 months (as before: Oct/26–Sep/28).</text>
  </threadedComment>
  <threadedComment ref="D23" dT="2026-10-12T15:00:56.20" personId="{FBC1C08F-1179-7C4D-9A72-4331EED24F9B}" id="{AABD023B-5079-2748-B177-8E2CFBD44B87}">
    <text>Claude assumption: infrastructure R$ 400/m² × 5,769 m² ≈ R$ 2.3 million (as in CAPEX) + common areas of the new project ≈ R$ 3.25 million (25×12 pool + deck ≈ R$ 1.0 million; tennis court ≈ R$ 0.3 million; concierge ≈ 150 m² × R$ 13 thousand ≈ R$ 1.95 million) = R$ 5.56 million.</text>
  </threadedComment>
  <threadedComment ref="D28" dT="2026-10-12T15:00:56.21" personId="{FBC1C08F-1179-7C4D-9A72-4331EED24F9B}" id="{032E717F-4029-D240-B5AA-FF03663DE5EF}">
    <text>Sales: launch Mar/27 (as in the previous block), 40% in 6 months; the rest during construction; 15% of inventory sold within 6 months after keys.</text>
  </threadedComment>
  <threadedComment ref="D35" dT="2026-10-12T15:00:56.21" personId="{FBC1C08F-1179-7C4D-9A72-4331EED24F9B}" id="{23E5403E-C602-E04E-BC76-D7DAB6C87FFB}">
    <text>Claude assumption (high-end, faster collection): 30% down payment, 50% in monthly installments until keys and 20% at keys, no bank mortgage transfer. Developer loan set to zero (D59).</text>
  </threadedComment>
  <threadedComment ref="D45" dT="2026-10-12T15:00:56.21" personId="{FBC1C08F-1179-7C4D-9A72-4331EED24F9B}" id="{E412BBFD-D3F8-E448-A852-ECEDA34DB60A}">
    <text>Claude assumption: professional services (previously 2% of construction ≈ R$ 1.8 million) broken down into design R$ 1.0 million, legal R$ 0.2 million, approvals R$ 0.3 million and management 1% of construction; contingency R$ 2.25 million (≈3% of construction).</text>
  </threadedComment>
  <threadedComment ref="D52" dT="2026-10-12T15:00:56.21" personId="{FBC1C08F-1179-7C4D-9A72-4331EED24F9B}" id="{4CB3E635-E877-C442-A5EA-E50267EAB96E}">
    <text>Previous block: marketing &amp; brokerage 6% → here 4% brokerage + 2% marketing/sales office (D51). RET 4% and Star Ópera development fee 4% kept.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G208" dT="2026-10-12T11:39:34.17" personId="{FBC1C08F-1179-7C4D-9A72-4331EED24F9B}" id="{E44B9908-BCA2-7345-BEDC-94C934D582F0}">
    <text>Source: SIRENA GRAMADO - FERG - PDF - 041726 - compactado.pdf, uploaded 2026-10-12 — p.6 (visitors), p.7 (gross revenue R$ 43.4M), p.8 (Capex R$ 103.8M), p.10 (EBITDA 20.0 → 30.3, margin ~53%), p.11 (IRR 21.9%, NPV 92,749 at 10%, payback 6 years). Uploaded file.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E9" dT="2026-10-12T12:25:36.88" personId="{FBC1C08F-1179-7C4D-9A72-4331EED24F9B}" id="{8D7FBCCE-9084-594A-B051-CB63EDE301BE}">
    <text>Source: Gramado &amp; Canela Convention &amp; Visitors Bureau — PROMEGC 2025 (via Gramado Magazine), https://www.gramadomagazine.com.br/post/turismo-de-eventos-injeta-quase-r-1-bilh%C3%A3o-na-economia-de-gramado-e-canela-em-2025 — 681 monitored events, 575 in Gramado.</text>
  </threadedComment>
  <threadedComment ref="E10" dT="2026-10-12T12:25:36.88" personId="{FBC1C08F-1179-7C4D-9A72-4331EED24F9B}" id="{737534EC-A5B5-8B4D-81C4-8836C555B324}">
    <text>Source: CVB / PROMEGC 2025 (via Gramado Magazine), https://www.gramadomagazine.com.br/post/turismo-de-eventos-injeta-quase-r-1-bilh%C3%A3o-na-economia-de-gramado-e-canela-em-2025</text>
  </threadedComment>
  <threadedComment ref="E11" dT="2026-10-12T12:25:36.88" personId="{FBC1C08F-1179-7C4D-9A72-4331EED24F9B}" id="{0C44B4FE-1EE6-D74C-82FA-E62C5EFC0C88}">
    <text>Source: CNN Brasil, Gramado Tourism Observatory, https://www.cnnbrasil.com.br/viagemegastronomia/viagem/gramado-tem-alta-no-turismo-em-2025-e-se-aproxima-do-recorde-pre-enchentes/ — ~680 events and more than 272 thousand attendees in 2025.</text>
  </threadedComment>
  <threadedComment ref="E13" dT="2026-10-12T12:25:36.88" personId="{FBC1C08F-1179-7C4D-9A72-4331EED24F9B}" id="{D4FBA61F-08ED-E147-800B-9AEDC4B31B32}">
    <text>Source: CVB / PROMEGC 2025 (via Gramado Magazine) — the corporate segment leads in volume (43%).</text>
  </threadedComment>
  <threadedComment ref="E17" dT="2026-10-12T12:25:36.88" personId="{FBC1C08F-1179-7C4D-9A72-4331EED24F9B}" id="{68C41EB9-5FEF-7D4B-8F52-388E1408E80F}">
    <text>Claude assumption: sized for congresses of 800–2,500 people (e.g. CBAEM 2025 with 2,500 attendees in Gramado). Local benchmark: Serra Park 28,000 m² (fairs), ExpoGramado 13,000 m² / 10,000 people; Arena Gramadense with 4 rooms of 280 m².</text>
  </threadedComment>
  <threadedComment ref="E30" dT="2026-10-12T12:25:36.88" personId="{FBC1C08F-1179-7C4D-9A72-4331EED24F9B}" id="{D3CCAEDF-2243-A241-BEB8-4F37C86F3A8D}">
    <text>Claude assumption: stabilized calendar of 116 events (≈20% of Gramado's 575 events in 2025). Rental and F&amp;B prices estimated for the Club Med standard; validate with operators (e.g. Rossi &amp; Zorzanello, GL events).</text>
  </threadedComment>
  <threadedComment ref="E46" dT="2026-10-12T12:25:36.88" personId="{FBC1C08F-1179-7C4D-9A72-4331EED24F9B}" id="{8716E45F-4AAB-B344-A632-B059136D5F10}">
    <text>Claude assumption: staff of ~45 people + power, maintenance, sales and insurance for a 7,500 m² center. Adjust with an operator.</text>
  </threadedComment>
  <threadedComment ref="E56" dT="2026-10-12T12:25:36.88" personId="{FBC1C08F-1179-7C4D-9A72-4331EED24F9B}" id="{FB30AEEA-A08F-C74F-801E-1A7DA02F08D3}">
    <text>Set by the user: R$ 7,000/m², construction only (no FF&amp;E).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D19" dT="2026-10-12T16:14:09.37" personId="{FBC1C08F-1179-7C4D-9A72-4331EED24F9B}" id="{AF4B8E09-0A37-474E-A1A5-F0C6CBD85E80}">
    <text>≈257 apartments in the base scenario (max FAR 1.8/1.2, 4 floors), split into 3 phases of ~86 units (cap of 150 units per development). Source: Sirena Gramado Masterplan — real estate study v5, Sep/2026, https://sirenagramado.netlify.app/</text>
  </threadedComment>
  <threadedComment ref="D21" dT="2026-10-12T16:14:09.38" personId="{FBC1C08F-1179-7C4D-9A72-4331EED24F9B}" id="{86810716-82D1-1D43-B080-E27D33BF9D75}">
    <text>Average private area of 140 m² (mix 75–260 m²). Source: Sirena Gramado Masterplan — real estate study v5, Sep/2026, https://sirenagramado.netlify.app/</text>
  </threadedComment>
  <threadedComment ref="D22" dT="2026-10-12T16:14:09.38" personId="{FBC1C08F-1179-7C4D-9A72-4331EED24F9B}" id="{BC8D37EB-643C-FB45-8A06-2F4F63B3DA82}">
    <text>Reference price R$ 23,000/private m² (VGV ≈ R$ 828 MM). Source: Sirena Gramado Masterplan — real estate study v5, Sep/2026, https://sirenagramado.netlify.app/</text>
  </threadedComment>
  <threadedComment ref="D24" dT="2026-10-12T16:14:09.38" personId="{FBC1C08F-1179-7C4D-9A72-4331EED24F9B}" id="{CCBE5562-53E3-9640-A936-BB288B76C0D6}">
    <text>Claude assumption: built area = 1.45 × private (165 m² countable per apartment on the site + circulation, leisure and basement).</text>
  </threadedComment>
  <threadedComment ref="D28" dT="2026-10-12T16:14:09.38" personId="{FBC1C08F-1179-7C4D-9A72-4331EED24F9B}" id="{3CC28777-36E8-594B-9CA7-B0555CCF45B8}">
    <text>Claude assumption: R$ 8,000/m² built (high-end vertical in Gramado). The site does not state a construction cost for the vertical.</text>
  </threadedComment>
  <threadedComment ref="D30" dT="2026-10-12T16:14:09.38" personId="{FBC1C08F-1179-7C4D-9A72-4331EED24F9B}" id="{B0427DEA-91E4-7042-9F1A-CE049083D42C}">
    <text>Claude assumption: R$ 5 MM per phase for common areas/landscaping. Wave pool and Surf Lodge excluded (option for the investor).</text>
  </threadedComment>
  <threadedComment ref="D32" dT="2026-10-12T16:14:09.38" personId="{FBC1C08F-1179-7C4D-9A72-4331EED24F9B}" id="{7CCF00DE-3A45-E744-B50D-B884C04657C2}">
    <text>User: phase 1 starts sales and construction in 2028; each phase starts 2 years after the previous one (D13). Construction 6 months after launch (D31), 36 months (D29).</text>
  </threadedComment>
  <threadedComment ref="D49" dT="2026-10-12T16:14:09.38" personId="{FBC1C08F-1179-7C4D-9A72-4331EED24F9B}" id="{3F7B42B4-D97B-E648-B50D-E8A77C3E4143}">
    <text>Claude assumption: 10% down payment + 30% monthly + 10% keys + 50% bank transfer; developer loan 60% of construction at 12% p.a. (as in Lots Phase 01).</text>
  </threadedComment>
  <threadedComment ref="G66" dT="2026-10-12T18:35:25.17" personId="{FBC1C08F-1179-7C4D-9A72-4331EED24F9B}" id="{BF05A422-D3BF-C84B-8F63-59BF9EB2F73B}">
    <text>Surf Village: 34,180 m² of land in 6 blocks (12,305 m² in zone 10.2 + 21,875 m² in zone 10.4). The 37,310 m² area in the VGV table includes the Mini Mall lot (3,130 m²), which was not allocated here. Source: Sirena Gramado Masterplan v5, Sep/2026, https://sirenagramado.netlify.app/</text>
  </threadedComment>
  <threadedComment ref="J80" dT="2026-10-12T16:14:09.38" personId="{FBC1C08F-1179-7C4D-9A72-4331EED24F9B}" id="{B0333801-0253-AD4F-966C-D24BBFD3CDE2}">
    <text>Site mix: 1 suite 35% (~90 units), 2 suites 40% (~103), 3 suites 20% (~51), penthouses 5% (~13). Source: Sirena Gramado Masterplan — real estate study v5, Sep/2026, https://sirenagramado.netlify.app/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D28" dT="2026-10-12T16:14:09.38" personId="{FBC1C08F-1179-7C4D-9A72-4331EED24F9B}" id="{71CAAD48-F68B-C348-8414-6F80715D5F2D}">
    <text>Claude assumption: R$ 500/m² of community area (same infrastructure cost as the Lots Phase 01 business plan).</text>
  </threadedComment>
  <threadedComment ref="G30" dT="2026-10-12T16:14:09.38" personId="{FBC1C08F-1179-7C4D-9A72-4331EED24F9B}" id="{77C56895-521C-7243-9F7C-242B7E428BDB}">
    <text>Reference cost R$ 9–11 MM per clubhouse (1,000 m² clubhouse, 2 tennis courts, beach tennis, 25×12 pool); R$ 10 MM adopted. Source: Sirena Gramado Masterplan — real estate study v5, Sep/2026, https://sirenagramado.netlify.app/</text>
  </threadedComment>
  <threadedComment ref="D32" dT="2026-10-12T16:14:09.38" personId="{FBC1C08F-1179-7C4D-9A72-4331EED24F9B}" id="{92BB87C9-6917-FD44-8F7A-A5441F561657}">
    <text>User: phase 1 starts sales and construction in 2028; each phase starts 2 years after the previous one (D13). Construction 6 months after launch (D31), 30 months (D29).</text>
  </threadedComment>
  <threadedComment ref="D38" dT="2026-10-12T16:14:09.38" personId="{FBC1C08F-1179-7C4D-9A72-4331EED24F9B}" id="{F916795C-CE1E-8144-9B3B-28B9ED3C0FF1}">
    <text>Sales pace, payment plan, indirect costs and financing same as the Lots Phase 01 business plan (40% at launch over 6 months, 20% after keys over 10 months; 15/15/5/65; admin fee 5% and marketing 3% of VGV; 60% of construction at 12% p.a.).</text>
  </threadedComment>
  <threadedComment ref="G65" dT="2026-10-12T18:32:38.81" personId="{FBC1C08F-1179-7C4D-9A72-4331EED24F9B}" id="{26A6D958-48ED-1C49-8944-06A33B5BEC25}">
    <text>Provided by the user: land R$ 113 MM for the total area (today's value), paid proportionally by each lot development to the landowner/initial developer.</text>
  </threadedComment>
  <threadedComment ref="G66" dT="2026-10-12T18:32:38.81" personId="{FBC1C08F-1179-7C4D-9A72-4331EED24F9B}" id="{DEF76D8A-455A-074C-AEEA-D3F3DFA31F22}">
    <text>Total masterplan area: 637,620 m² (11 gated communities + 3 open villages + Surf Village + senior living). The lot developments pay for their share of the area; Surf Village (37,310 m²) and senior living (14,350 m²) are not allocated here. Source: Sirena Gramado Masterplan v5, Sep/2026, https://sirenagramado.netlify.app/</text>
  </threadedComment>
  <threadedComment ref="G68" dT="2026-10-12T18:32:38.81" personId="{FBC1C08F-1179-7C4D-9A72-4331EED24F9B}" id="{7B25E8A0-1B89-224C-804A-423CF9F18F0D}">
    <text>Provided by the user: street works R$ 30 MM, split by phase in proportion to each phase's streets.</text>
  </threadedComment>
  <threadedComment ref="D69" dT="2026-10-12T18:32:38.81" personId="{FBC1C08F-1179-7C4D-9A72-4331EED24F9B}" id="{EA356D70-A165-9D49-8C32-5C80AED30812}">
    <text>Claude assumption: without the street length per phase, the default allocation uses the community area. Replace with the actual street % (the sum in G69 must be 100%).</text>
  </threadedComment>
  <threadedComment ref="D70" dT="2026-10-12T18:32:38.81" personId="{FBC1C08F-1179-7C4D-9A72-4331EED24F9B}" id="{5511B2F7-363B-EA4D-A71D-34215C3A9BB5}">
    <text>Claude assumption: land + street works paid in 12 installments from the launch of each phase; 3% ITBI as in the Lots Phase 01 business plan.</text>
  </threadedComment>
  <threadedComment ref="C80" dT="2026-10-12T16:14:09.38" personId="{FBC1C08F-1179-7C4D-9A72-4331EED24F9B}" id="{16F68B72-6896-AC4B-8EA9-B03E7C53AB33}">
    <text>Table 'VGV by community (base scenario)': lot mix, areas, R$/m² prices and phasing. Source: Sirena Gramado Masterplan — real estate study v5, Sep/2026, https://sirenagramado.netlify.app/</text>
  </threadedComment>
</ThreadedComments>
</file>

<file path=xl/threadedComments/threadedComment8.xml><?xml version="1.0" encoding="utf-8"?>
<ThreadedComments xmlns="http://schemas.microsoft.com/office/spreadsheetml/2018/threadedcomments" xmlns:x="http://schemas.openxmlformats.org/spreadsheetml/2006/main">
  <threadedComment ref="E4" dT="2026-10-12T12:06:11.84" personId="{FBC1C08F-1179-7C4D-9A72-4331EED24F9B}" id="{87854DF3-AA31-0143-BE70-E3735D2A07D2}">
    <text>Automatic selection of the highest-IRR structure (comparison in rows 162–169; note in row 171). Currently: 5 — shell sold to the operator, IRR 34.6% (lease 3.1%, own income -2.0%, condo-hotel -10.6%; land sale with no IRR, NPV +R$ 13.9 million).</text>
  </threadedComment>
  <threadedComment ref="E9" dT="2026-10-12T11:59:33.11" personId="{FBC1C08F-1179-7C4D-9A72-4331EED24F9B}" id="{A1C817DA-AF67-4E44-89FD-654EBACCD319}">
    <text>Source: Sirena Gramado Masterplan — real estate study v5, Sep/2026 (Senior living section), https://sirenagramado.netlify.app/ — 90 units (range 80–100), ~100 beds</text>
  </threadedComment>
  <threadedComment ref="E10" dT="2026-10-12T11:59:33.12" personId="{FBC1C08F-1179-7C4D-9A72-4331EED24F9B}" id="{D3C23100-02E4-D04A-A567-43EC569043FA}">
    <text>Source: Sirena Gramado Masterplan — real estate study v5, Sep/2026 (Senior living section), https://sirenagramado.netlify.app/ — 60% independent, 25% semi-dependent, 15% dependent</text>
  </threadedComment>
  <threadedComment ref="E13" dT="2026-10-12T11:59:33.12" personId="{FBC1C08F-1179-7C4D-9A72-4331EED24F9B}" id="{B8CA94EB-27D1-C841-89DD-B48122F4361E}">
    <text>Source: Sirena Gramado Masterplan — real estate study v5, Sep/2026 (Senior living section), https://sirenagramado.netlify.app/ — R$ 9–12 thousand/month (housing + 3 meals)</text>
  </threadedComment>
  <threadedComment ref="E16" dT="2026-10-12T11:59:33.12" personId="{FBC1C08F-1179-7C4D-9A72-4331EED24F9B}" id="{B0368DF1-4C7E-CD48-B6E4-54D8858207AD}">
    <text>Source: Sirena Gramado Masterplan — real estate study v5, Sep/2026 (Senior living section), https://sirenagramado.netlify.app/ — revenue of R$ 8–9 MM/year at 75% occupancy</text>
  </threadedComment>
  <threadedComment ref="E26" dT="2026-10-12T11:59:33.12" personId="{FBC1C08F-1179-7C4D-9A72-4331EED24F9B}" id="{28EDCCB9-5DB1-DE41-92A1-7B20B4689930}">
    <text>Source: Sirena Gramado Masterplan — real estate study v5, Sep/2026 (Senior living section), https://sirenagramado.netlify.app/ — 45 m² standard studio (preferred by 79% of respondents) + 60 m² 1-bedroom</text>
  </threadedComment>
  <threadedComment ref="E29" dT="2026-10-12T11:59:33.12" personId="{FBC1C08F-1179-7C4D-9A72-4331EED24F9B}" id="{4FFEC694-586B-6F48-B9F1-5174D7E57F52}">
    <text>Source: Sirena Gramado Masterplan — real estate study v5, Sep/2026 (Senior living section), https://sirenagramado.netlify.app/ — ≈ 8,000 m² built · 4 floors · 30% lot coverage = 4,300 m² of footprint</text>
  </threadedComment>
  <threadedComment ref="E30" dT="2026-10-12T11:59:33.12" personId="{FBC1C08F-1179-7C4D-9A72-4331EED24F9B}" id="{6676D955-A41D-6242-ADC0-EFCFFCA0C5FA}">
    <text>Set by the user: R$ 8,000/m² (the site does not state a construction cost).</text>
  </threadedComment>
  <threadedComment ref="E34" dT="2026-10-12T11:59:33.12" personId="{FBC1C08F-1179-7C4D-9A72-4331EED24F9B}" id="{5FACF4A0-53C9-D443-9D03-B5F510573ABA}">
    <text>Source: Sirena Gramado Masterplan — real estate study v5, Sep/2026 (Senior living section), https://sirenagramado.netlify.app/ — Phase 2 · 2029–30: … Senior Living</text>
  </threadedComment>
  <threadedComment ref="E37" dT="2026-10-12T11:59:33.12" personId="{FBC1C08F-1179-7C4D-9A72-4331EED24F9B}" id="{37E657E9-4817-E541-8780-9700560C821F}">
    <text>Source: Sirena Gramado Masterplan — real estate study v5, Sep/2026 (Senior living section), https://sirenagramado.netlify.app/ — Reference return in the condo-hotel model: 8% p.a.</text>
  </threadedComment>
  <threadedComment ref="E136" dT="2026-10-12T12:06:11.85" personId="{FBC1C08F-1179-7C4D-9A72-4331EED24F9B}" id="{D3C4A2CD-59F4-EF4E-A0F6-359B328107CC}">
    <text>Claude assumption: rent of 28% of revenue — the operator keeps an EBITDAR of 38% (1 − 60% costs − 2% FF&amp;E), coverage of ~1.36x, within the usual 1.2–1.5x range for senior housing leases.</text>
  </threadedComment>
  <threadedComment ref="E179" dT="2026-10-12T12:09:10.08" personId="{FBC1C08F-1179-7C4D-9A72-4331EED24F9B}" id="{D1B802FF-9C78-3F4F-9341-34C8ECE15E3D}">
    <text>Source: Sirena Gramado Masterplan v5, Sep/2026 (Senior living): isolated tip south of AI/03 (14,350 m²). https://sirenagramado.netlify.app/</text>
  </threadedComment>
  <threadedComment ref="E180" dT="2026-10-12T12:09:10.08" personId="{FBC1C08F-1179-7C4D-9A72-4331EED24F9B}" id="{E1B8A501-7F06-3E44-A8F9-3A5892CA0E4A}">
    <text>Claude assumption: R$ 1,500/m² of raw land — ~30% below the masterplan's finished lots (R$ 1,900–2,300/m², Alphaville Gramado R$ 2.17 thousand/m²), as it is a single parcel without community infrastructure. Adjust with an appraisal.</text>
  </threadedComment>
  <threadedComment ref="E202" dT="2026-10-12T12:12:01.47" personId="{FBC1C08F-1179-7C4D-9A72-4331EED24F9B}" id="{AD7DC2CD-AD86-C14C-AA84-C4B1264706C5}">
    <text>Before: R$ 20 thousand/m² (user input). Now = minimum price for the target IRR in E213 (18%), rounded up to R$ 10.</text>
  </threadedComment>
  <threadedComment ref="C236" dT="2026-10-12T14:02:15.95" personId="{FBC1C08F-1179-7C4D-9A72-4331EED24F9B}" id="{7B22BE7D-537E-2A46-9E64-3581ECFF013F}">
    <text>Source: IBGE, 2022 Census — Population by age and sex (Elderly People), https://www.gov.br/participamaisbrasil/blob/baixar/36065 ; RS Socioeconomic Atlas, https://atlassocioeconomico.rs.gov.br/piramides-etarias-e-envelhecimento-da-populacao ; SciELO, https://www.scielo.br/j/cm/a/hz3W39vf3R3bfSq7rtWZSXf/?format=html&amp;lang=pt</text>
  </threadedComment>
  <threadedComment ref="C237" dT="2026-10-12T14:02:15.96" personId="{FBC1C08F-1179-7C4D-9A72-4331EED24F9B}" id="{0C66BF49-05D5-8848-8509-39D5A792CB02}">
    <text>Source: Agência Brasil / IBGE 2022 Census, https://agenciabrasil.ebc.com.br/radioagencia-nacional/geral/audio/2024-05/rio-grande-do-sul-e-o-estado-com-mais-idosos-no-brasil</text>
  </threadedComment>
  <threadedComment ref="C238" dT="2026-10-12T14:02:15.96" personId="{FBC1C08F-1179-7C4D-9A72-4331EED24F9B}" id="{A4AA3682-869C-EB47-B860-88F15B8A26DB}">
    <text>Source: Sienge, citing IBGE/FGV IBRE, https://sienge.com.br/blog/senior-living/</text>
  </threadedComment>
  <threadedComment ref="C239" dT="2026-10-12T14:02:15.96" personId="{FBC1C08F-1179-7C4D-9A72-4331EED24F9B}" id="{D376897F-1738-834D-A8B7-5EAB63A62648}">
    <text>Source: Bloomberg Línea (Jun/2025), https://www.bloomberglinea.com.br/negocios/moradia-senior-living-cresce-no-brasil-e-expoe-desafios-de-atender-idosos/ ; ADEMI-RJ, https://ademi.org.br/moradia-senior-living-cresce-no-brasil-e-expoe-desafios-de-atender</text>
  </threadedComment>
  <threadedComment ref="C240" dT="2026-10-12T14:02:15.96" personId="{FBC1C08F-1179-7C4D-9A72-4331EED24F9B}" id="{596E7B83-D1BB-E542-9CB9-3E77E9C2E745}">
    <text>Source: Sirena Gramado Masterplan v5, Sep/2026, https://sirenagramado.netlify.app/</text>
  </threadedComment>
  <threadedComment ref="C273" dT="2026-10-12T14:02:15.97" personId="{FBC1C08F-1179-7C4D-9A72-4331EED24F9B}" id="{5C7B35B2-EDCC-064D-90CB-C9FC8C4C3ED3}">
    <text>Source: InvestNews (2026), https://investnews.com.br/negocios/brasil-envelhecendo-mercado-imobiliario/</text>
  </threadedComment>
  <threadedComment ref="C274" dT="2026-10-12T14:02:15.97" personId="{FBC1C08F-1179-7C4D-9A72-4331EED24F9B}" id="{6A1B2D2C-64C0-DB4A-B516-96B313CD47B8}">
    <text>Source: Portas (Mar/2026), https://portas.com.br/noticias/analise-opiniao/senior-living-no-brasil-demanda-cresce-mas-mercado-ainda-busca-o-produto-ideal-para-a-geracao-60/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C675D8D-4EB8-6B4A-A1CC-4FDCAB928FAF}">
  <we:reference id="wa200009404" version="1.0.0.8" store="pt-BR" storeType="OMEX"/>
  <we:alternateReferences>
    <we:reference id="WA200009404" version="1.0.0.8" store="WA200009404" storeType="OMEX"/>
  </we:alternateReferences>
  <we:properties>
    <we:property name="claude.fileId" value="&quot;4c102591-3688-45e1-98e9-c8448747267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8.xml"/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8BD8D-8C57-6945-A17F-84C41279D05F}">
  <sheetPr>
    <tabColor rgb="FF0432FF"/>
  </sheetPr>
  <dimension ref="A1:P72"/>
  <sheetViews>
    <sheetView showGridLines="0" topLeftCell="A10" zoomScaleNormal="100" workbookViewId="0">
      <selection activeCell="C12" sqref="C12:C39"/>
    </sheetView>
  </sheetViews>
  <sheetFormatPr baseColWidth="10" defaultColWidth="10.83203125" defaultRowHeight="16" x14ac:dyDescent="0.2"/>
  <cols>
    <col min="1" max="1" width="1.6640625" style="1" customWidth="1"/>
    <col min="2" max="2" width="50" style="1" customWidth="1"/>
    <col min="3" max="3" width="14.6640625" style="1" customWidth="1"/>
    <col min="4" max="4" width="25" style="1" customWidth="1"/>
    <col min="5" max="9" width="14.6640625" style="1" customWidth="1"/>
    <col min="10" max="10" width="29" style="1" customWidth="1"/>
    <col min="11" max="11" width="13.5" style="1" customWidth="1"/>
    <col min="12" max="12" width="14.6640625" style="1" bestFit="1" customWidth="1"/>
    <col min="13" max="13" width="11.5" style="1" bestFit="1" customWidth="1"/>
    <col min="14" max="14" width="17.83203125" style="1" bestFit="1" customWidth="1"/>
    <col min="15" max="15" width="15.6640625" style="1" bestFit="1" customWidth="1"/>
    <col min="16" max="16" width="13.83203125" style="1" bestFit="1" customWidth="1"/>
    <col min="17" max="17" width="13.5" style="1" bestFit="1" customWidth="1"/>
    <col min="18" max="19" width="13.33203125" style="1" customWidth="1"/>
    <col min="20" max="254" width="10.83203125" style="1"/>
    <col min="255" max="255" width="3.5" style="1" customWidth="1"/>
    <col min="256" max="256" width="25.6640625" style="1" bestFit="1" customWidth="1"/>
    <col min="257" max="257" width="16.83203125" style="1" customWidth="1"/>
    <col min="258" max="258" width="17.1640625" style="1" bestFit="1" customWidth="1"/>
    <col min="259" max="259" width="19" style="1" bestFit="1" customWidth="1"/>
    <col min="260" max="260" width="2.5" style="1" customWidth="1"/>
    <col min="261" max="261" width="3" style="1" customWidth="1"/>
    <col min="262" max="262" width="38.1640625" style="1" bestFit="1" customWidth="1"/>
    <col min="263" max="263" width="3.5" style="1" customWidth="1"/>
    <col min="264" max="264" width="18.33203125" style="1" bestFit="1" customWidth="1"/>
    <col min="265" max="265" width="15.5" style="1" bestFit="1" customWidth="1"/>
    <col min="266" max="266" width="3" style="1" customWidth="1"/>
    <col min="267" max="267" width="3.6640625" style="1" customWidth="1"/>
    <col min="268" max="268" width="23" style="1" customWidth="1"/>
    <col min="269" max="270" width="17.83203125" style="1" bestFit="1" customWidth="1"/>
    <col min="271" max="271" width="15.6640625" style="1" bestFit="1" customWidth="1"/>
    <col min="272" max="272" width="13.83203125" style="1" bestFit="1" customWidth="1"/>
    <col min="273" max="273" width="13.5" style="1" bestFit="1" customWidth="1"/>
    <col min="274" max="510" width="10.83203125" style="1"/>
    <col min="511" max="511" width="3.5" style="1" customWidth="1"/>
    <col min="512" max="512" width="25.6640625" style="1" bestFit="1" customWidth="1"/>
    <col min="513" max="513" width="16.83203125" style="1" customWidth="1"/>
    <col min="514" max="514" width="17.1640625" style="1" bestFit="1" customWidth="1"/>
    <col min="515" max="515" width="19" style="1" bestFit="1" customWidth="1"/>
    <col min="516" max="516" width="2.5" style="1" customWidth="1"/>
    <col min="517" max="517" width="3" style="1" customWidth="1"/>
    <col min="518" max="518" width="38.1640625" style="1" bestFit="1" customWidth="1"/>
    <col min="519" max="519" width="3.5" style="1" customWidth="1"/>
    <col min="520" max="520" width="18.33203125" style="1" bestFit="1" customWidth="1"/>
    <col min="521" max="521" width="15.5" style="1" bestFit="1" customWidth="1"/>
    <col min="522" max="522" width="3" style="1" customWidth="1"/>
    <col min="523" max="523" width="3.6640625" style="1" customWidth="1"/>
    <col min="524" max="524" width="23" style="1" customWidth="1"/>
    <col min="525" max="526" width="17.83203125" style="1" bestFit="1" customWidth="1"/>
    <col min="527" max="527" width="15.6640625" style="1" bestFit="1" customWidth="1"/>
    <col min="528" max="528" width="13.83203125" style="1" bestFit="1" customWidth="1"/>
    <col min="529" max="529" width="13.5" style="1" bestFit="1" customWidth="1"/>
    <col min="530" max="766" width="10.83203125" style="1"/>
    <col min="767" max="767" width="3.5" style="1" customWidth="1"/>
    <col min="768" max="768" width="25.6640625" style="1" bestFit="1" customWidth="1"/>
    <col min="769" max="769" width="16.83203125" style="1" customWidth="1"/>
    <col min="770" max="770" width="17.1640625" style="1" bestFit="1" customWidth="1"/>
    <col min="771" max="771" width="19" style="1" bestFit="1" customWidth="1"/>
    <col min="772" max="772" width="2.5" style="1" customWidth="1"/>
    <col min="773" max="773" width="3" style="1" customWidth="1"/>
    <col min="774" max="774" width="38.1640625" style="1" bestFit="1" customWidth="1"/>
    <col min="775" max="775" width="3.5" style="1" customWidth="1"/>
    <col min="776" max="776" width="18.33203125" style="1" bestFit="1" customWidth="1"/>
    <col min="777" max="777" width="15.5" style="1" bestFit="1" customWidth="1"/>
    <col min="778" max="778" width="3" style="1" customWidth="1"/>
    <col min="779" max="779" width="3.6640625" style="1" customWidth="1"/>
    <col min="780" max="780" width="23" style="1" customWidth="1"/>
    <col min="781" max="782" width="17.83203125" style="1" bestFit="1" customWidth="1"/>
    <col min="783" max="783" width="15.6640625" style="1" bestFit="1" customWidth="1"/>
    <col min="784" max="784" width="13.83203125" style="1" bestFit="1" customWidth="1"/>
    <col min="785" max="785" width="13.5" style="1" bestFit="1" customWidth="1"/>
    <col min="786" max="1022" width="10.83203125" style="1"/>
    <col min="1023" max="1023" width="3.5" style="1" customWidth="1"/>
    <col min="1024" max="1024" width="25.6640625" style="1" bestFit="1" customWidth="1"/>
    <col min="1025" max="1025" width="16.83203125" style="1" customWidth="1"/>
    <col min="1026" max="1026" width="17.1640625" style="1" bestFit="1" customWidth="1"/>
    <col min="1027" max="1027" width="19" style="1" bestFit="1" customWidth="1"/>
    <col min="1028" max="1028" width="2.5" style="1" customWidth="1"/>
    <col min="1029" max="1029" width="3" style="1" customWidth="1"/>
    <col min="1030" max="1030" width="38.1640625" style="1" bestFit="1" customWidth="1"/>
    <col min="1031" max="1031" width="3.5" style="1" customWidth="1"/>
    <col min="1032" max="1032" width="18.33203125" style="1" bestFit="1" customWidth="1"/>
    <col min="1033" max="1033" width="15.5" style="1" bestFit="1" customWidth="1"/>
    <col min="1034" max="1034" width="3" style="1" customWidth="1"/>
    <col min="1035" max="1035" width="3.6640625" style="1" customWidth="1"/>
    <col min="1036" max="1036" width="23" style="1" customWidth="1"/>
    <col min="1037" max="1038" width="17.83203125" style="1" bestFit="1" customWidth="1"/>
    <col min="1039" max="1039" width="15.6640625" style="1" bestFit="1" customWidth="1"/>
    <col min="1040" max="1040" width="13.83203125" style="1" bestFit="1" customWidth="1"/>
    <col min="1041" max="1041" width="13.5" style="1" bestFit="1" customWidth="1"/>
    <col min="1042" max="1278" width="10.83203125" style="1"/>
    <col min="1279" max="1279" width="3.5" style="1" customWidth="1"/>
    <col min="1280" max="1280" width="25.6640625" style="1" bestFit="1" customWidth="1"/>
    <col min="1281" max="1281" width="16.83203125" style="1" customWidth="1"/>
    <col min="1282" max="1282" width="17.1640625" style="1" bestFit="1" customWidth="1"/>
    <col min="1283" max="1283" width="19" style="1" bestFit="1" customWidth="1"/>
    <col min="1284" max="1284" width="2.5" style="1" customWidth="1"/>
    <col min="1285" max="1285" width="3" style="1" customWidth="1"/>
    <col min="1286" max="1286" width="38.1640625" style="1" bestFit="1" customWidth="1"/>
    <col min="1287" max="1287" width="3.5" style="1" customWidth="1"/>
    <col min="1288" max="1288" width="18.33203125" style="1" bestFit="1" customWidth="1"/>
    <col min="1289" max="1289" width="15.5" style="1" bestFit="1" customWidth="1"/>
    <col min="1290" max="1290" width="3" style="1" customWidth="1"/>
    <col min="1291" max="1291" width="3.6640625" style="1" customWidth="1"/>
    <col min="1292" max="1292" width="23" style="1" customWidth="1"/>
    <col min="1293" max="1294" width="17.83203125" style="1" bestFit="1" customWidth="1"/>
    <col min="1295" max="1295" width="15.6640625" style="1" bestFit="1" customWidth="1"/>
    <col min="1296" max="1296" width="13.83203125" style="1" bestFit="1" customWidth="1"/>
    <col min="1297" max="1297" width="13.5" style="1" bestFit="1" customWidth="1"/>
    <col min="1298" max="1534" width="10.83203125" style="1"/>
    <col min="1535" max="1535" width="3.5" style="1" customWidth="1"/>
    <col min="1536" max="1536" width="25.6640625" style="1" bestFit="1" customWidth="1"/>
    <col min="1537" max="1537" width="16.83203125" style="1" customWidth="1"/>
    <col min="1538" max="1538" width="17.1640625" style="1" bestFit="1" customWidth="1"/>
    <col min="1539" max="1539" width="19" style="1" bestFit="1" customWidth="1"/>
    <col min="1540" max="1540" width="2.5" style="1" customWidth="1"/>
    <col min="1541" max="1541" width="3" style="1" customWidth="1"/>
    <col min="1542" max="1542" width="38.1640625" style="1" bestFit="1" customWidth="1"/>
    <col min="1543" max="1543" width="3.5" style="1" customWidth="1"/>
    <col min="1544" max="1544" width="18.33203125" style="1" bestFit="1" customWidth="1"/>
    <col min="1545" max="1545" width="15.5" style="1" bestFit="1" customWidth="1"/>
    <col min="1546" max="1546" width="3" style="1" customWidth="1"/>
    <col min="1547" max="1547" width="3.6640625" style="1" customWidth="1"/>
    <col min="1548" max="1548" width="23" style="1" customWidth="1"/>
    <col min="1549" max="1550" width="17.83203125" style="1" bestFit="1" customWidth="1"/>
    <col min="1551" max="1551" width="15.6640625" style="1" bestFit="1" customWidth="1"/>
    <col min="1552" max="1552" width="13.83203125" style="1" bestFit="1" customWidth="1"/>
    <col min="1553" max="1553" width="13.5" style="1" bestFit="1" customWidth="1"/>
    <col min="1554" max="1790" width="10.83203125" style="1"/>
    <col min="1791" max="1791" width="3.5" style="1" customWidth="1"/>
    <col min="1792" max="1792" width="25.6640625" style="1" bestFit="1" customWidth="1"/>
    <col min="1793" max="1793" width="16.83203125" style="1" customWidth="1"/>
    <col min="1794" max="1794" width="17.1640625" style="1" bestFit="1" customWidth="1"/>
    <col min="1795" max="1795" width="19" style="1" bestFit="1" customWidth="1"/>
    <col min="1796" max="1796" width="2.5" style="1" customWidth="1"/>
    <col min="1797" max="1797" width="3" style="1" customWidth="1"/>
    <col min="1798" max="1798" width="38.1640625" style="1" bestFit="1" customWidth="1"/>
    <col min="1799" max="1799" width="3.5" style="1" customWidth="1"/>
    <col min="1800" max="1800" width="18.33203125" style="1" bestFit="1" customWidth="1"/>
    <col min="1801" max="1801" width="15.5" style="1" bestFit="1" customWidth="1"/>
    <col min="1802" max="1802" width="3" style="1" customWidth="1"/>
    <col min="1803" max="1803" width="3.6640625" style="1" customWidth="1"/>
    <col min="1804" max="1804" width="23" style="1" customWidth="1"/>
    <col min="1805" max="1806" width="17.83203125" style="1" bestFit="1" customWidth="1"/>
    <col min="1807" max="1807" width="15.6640625" style="1" bestFit="1" customWidth="1"/>
    <col min="1808" max="1808" width="13.83203125" style="1" bestFit="1" customWidth="1"/>
    <col min="1809" max="1809" width="13.5" style="1" bestFit="1" customWidth="1"/>
    <col min="1810" max="2046" width="10.83203125" style="1"/>
    <col min="2047" max="2047" width="3.5" style="1" customWidth="1"/>
    <col min="2048" max="2048" width="25.6640625" style="1" bestFit="1" customWidth="1"/>
    <col min="2049" max="2049" width="16.83203125" style="1" customWidth="1"/>
    <col min="2050" max="2050" width="17.1640625" style="1" bestFit="1" customWidth="1"/>
    <col min="2051" max="2051" width="19" style="1" bestFit="1" customWidth="1"/>
    <col min="2052" max="2052" width="2.5" style="1" customWidth="1"/>
    <col min="2053" max="2053" width="3" style="1" customWidth="1"/>
    <col min="2054" max="2054" width="38.1640625" style="1" bestFit="1" customWidth="1"/>
    <col min="2055" max="2055" width="3.5" style="1" customWidth="1"/>
    <col min="2056" max="2056" width="18.33203125" style="1" bestFit="1" customWidth="1"/>
    <col min="2057" max="2057" width="15.5" style="1" bestFit="1" customWidth="1"/>
    <col min="2058" max="2058" width="3" style="1" customWidth="1"/>
    <col min="2059" max="2059" width="3.6640625" style="1" customWidth="1"/>
    <col min="2060" max="2060" width="23" style="1" customWidth="1"/>
    <col min="2061" max="2062" width="17.83203125" style="1" bestFit="1" customWidth="1"/>
    <col min="2063" max="2063" width="15.6640625" style="1" bestFit="1" customWidth="1"/>
    <col min="2064" max="2064" width="13.83203125" style="1" bestFit="1" customWidth="1"/>
    <col min="2065" max="2065" width="13.5" style="1" bestFit="1" customWidth="1"/>
    <col min="2066" max="2302" width="10.83203125" style="1"/>
    <col min="2303" max="2303" width="3.5" style="1" customWidth="1"/>
    <col min="2304" max="2304" width="25.6640625" style="1" bestFit="1" customWidth="1"/>
    <col min="2305" max="2305" width="16.83203125" style="1" customWidth="1"/>
    <col min="2306" max="2306" width="17.1640625" style="1" bestFit="1" customWidth="1"/>
    <col min="2307" max="2307" width="19" style="1" bestFit="1" customWidth="1"/>
    <col min="2308" max="2308" width="2.5" style="1" customWidth="1"/>
    <col min="2309" max="2309" width="3" style="1" customWidth="1"/>
    <col min="2310" max="2310" width="38.1640625" style="1" bestFit="1" customWidth="1"/>
    <col min="2311" max="2311" width="3.5" style="1" customWidth="1"/>
    <col min="2312" max="2312" width="18.33203125" style="1" bestFit="1" customWidth="1"/>
    <col min="2313" max="2313" width="15.5" style="1" bestFit="1" customWidth="1"/>
    <col min="2314" max="2314" width="3" style="1" customWidth="1"/>
    <col min="2315" max="2315" width="3.6640625" style="1" customWidth="1"/>
    <col min="2316" max="2316" width="23" style="1" customWidth="1"/>
    <col min="2317" max="2318" width="17.83203125" style="1" bestFit="1" customWidth="1"/>
    <col min="2319" max="2319" width="15.6640625" style="1" bestFit="1" customWidth="1"/>
    <col min="2320" max="2320" width="13.83203125" style="1" bestFit="1" customWidth="1"/>
    <col min="2321" max="2321" width="13.5" style="1" bestFit="1" customWidth="1"/>
    <col min="2322" max="2558" width="10.83203125" style="1"/>
    <col min="2559" max="2559" width="3.5" style="1" customWidth="1"/>
    <col min="2560" max="2560" width="25.6640625" style="1" bestFit="1" customWidth="1"/>
    <col min="2561" max="2561" width="16.83203125" style="1" customWidth="1"/>
    <col min="2562" max="2562" width="17.1640625" style="1" bestFit="1" customWidth="1"/>
    <col min="2563" max="2563" width="19" style="1" bestFit="1" customWidth="1"/>
    <col min="2564" max="2564" width="2.5" style="1" customWidth="1"/>
    <col min="2565" max="2565" width="3" style="1" customWidth="1"/>
    <col min="2566" max="2566" width="38.1640625" style="1" bestFit="1" customWidth="1"/>
    <col min="2567" max="2567" width="3.5" style="1" customWidth="1"/>
    <col min="2568" max="2568" width="18.33203125" style="1" bestFit="1" customWidth="1"/>
    <col min="2569" max="2569" width="15.5" style="1" bestFit="1" customWidth="1"/>
    <col min="2570" max="2570" width="3" style="1" customWidth="1"/>
    <col min="2571" max="2571" width="3.6640625" style="1" customWidth="1"/>
    <col min="2572" max="2572" width="23" style="1" customWidth="1"/>
    <col min="2573" max="2574" width="17.83203125" style="1" bestFit="1" customWidth="1"/>
    <col min="2575" max="2575" width="15.6640625" style="1" bestFit="1" customWidth="1"/>
    <col min="2576" max="2576" width="13.83203125" style="1" bestFit="1" customWidth="1"/>
    <col min="2577" max="2577" width="13.5" style="1" bestFit="1" customWidth="1"/>
    <col min="2578" max="2814" width="10.83203125" style="1"/>
    <col min="2815" max="2815" width="3.5" style="1" customWidth="1"/>
    <col min="2816" max="2816" width="25.6640625" style="1" bestFit="1" customWidth="1"/>
    <col min="2817" max="2817" width="16.83203125" style="1" customWidth="1"/>
    <col min="2818" max="2818" width="17.1640625" style="1" bestFit="1" customWidth="1"/>
    <col min="2819" max="2819" width="19" style="1" bestFit="1" customWidth="1"/>
    <col min="2820" max="2820" width="2.5" style="1" customWidth="1"/>
    <col min="2821" max="2821" width="3" style="1" customWidth="1"/>
    <col min="2822" max="2822" width="38.1640625" style="1" bestFit="1" customWidth="1"/>
    <col min="2823" max="2823" width="3.5" style="1" customWidth="1"/>
    <col min="2824" max="2824" width="18.33203125" style="1" bestFit="1" customWidth="1"/>
    <col min="2825" max="2825" width="15.5" style="1" bestFit="1" customWidth="1"/>
    <col min="2826" max="2826" width="3" style="1" customWidth="1"/>
    <col min="2827" max="2827" width="3.6640625" style="1" customWidth="1"/>
    <col min="2828" max="2828" width="23" style="1" customWidth="1"/>
    <col min="2829" max="2830" width="17.83203125" style="1" bestFit="1" customWidth="1"/>
    <col min="2831" max="2831" width="15.6640625" style="1" bestFit="1" customWidth="1"/>
    <col min="2832" max="2832" width="13.83203125" style="1" bestFit="1" customWidth="1"/>
    <col min="2833" max="2833" width="13.5" style="1" bestFit="1" customWidth="1"/>
    <col min="2834" max="3070" width="10.83203125" style="1"/>
    <col min="3071" max="3071" width="3.5" style="1" customWidth="1"/>
    <col min="3072" max="3072" width="25.6640625" style="1" bestFit="1" customWidth="1"/>
    <col min="3073" max="3073" width="16.83203125" style="1" customWidth="1"/>
    <col min="3074" max="3074" width="17.1640625" style="1" bestFit="1" customWidth="1"/>
    <col min="3075" max="3075" width="19" style="1" bestFit="1" customWidth="1"/>
    <col min="3076" max="3076" width="2.5" style="1" customWidth="1"/>
    <col min="3077" max="3077" width="3" style="1" customWidth="1"/>
    <col min="3078" max="3078" width="38.1640625" style="1" bestFit="1" customWidth="1"/>
    <col min="3079" max="3079" width="3.5" style="1" customWidth="1"/>
    <col min="3080" max="3080" width="18.33203125" style="1" bestFit="1" customWidth="1"/>
    <col min="3081" max="3081" width="15.5" style="1" bestFit="1" customWidth="1"/>
    <col min="3082" max="3082" width="3" style="1" customWidth="1"/>
    <col min="3083" max="3083" width="3.6640625" style="1" customWidth="1"/>
    <col min="3084" max="3084" width="23" style="1" customWidth="1"/>
    <col min="3085" max="3086" width="17.83203125" style="1" bestFit="1" customWidth="1"/>
    <col min="3087" max="3087" width="15.6640625" style="1" bestFit="1" customWidth="1"/>
    <col min="3088" max="3088" width="13.83203125" style="1" bestFit="1" customWidth="1"/>
    <col min="3089" max="3089" width="13.5" style="1" bestFit="1" customWidth="1"/>
    <col min="3090" max="3326" width="10.83203125" style="1"/>
    <col min="3327" max="3327" width="3.5" style="1" customWidth="1"/>
    <col min="3328" max="3328" width="25.6640625" style="1" bestFit="1" customWidth="1"/>
    <col min="3329" max="3329" width="16.83203125" style="1" customWidth="1"/>
    <col min="3330" max="3330" width="17.1640625" style="1" bestFit="1" customWidth="1"/>
    <col min="3331" max="3331" width="19" style="1" bestFit="1" customWidth="1"/>
    <col min="3332" max="3332" width="2.5" style="1" customWidth="1"/>
    <col min="3333" max="3333" width="3" style="1" customWidth="1"/>
    <col min="3334" max="3334" width="38.1640625" style="1" bestFit="1" customWidth="1"/>
    <col min="3335" max="3335" width="3.5" style="1" customWidth="1"/>
    <col min="3336" max="3336" width="18.33203125" style="1" bestFit="1" customWidth="1"/>
    <col min="3337" max="3337" width="15.5" style="1" bestFit="1" customWidth="1"/>
    <col min="3338" max="3338" width="3" style="1" customWidth="1"/>
    <col min="3339" max="3339" width="3.6640625" style="1" customWidth="1"/>
    <col min="3340" max="3340" width="23" style="1" customWidth="1"/>
    <col min="3341" max="3342" width="17.83203125" style="1" bestFit="1" customWidth="1"/>
    <col min="3343" max="3343" width="15.6640625" style="1" bestFit="1" customWidth="1"/>
    <col min="3344" max="3344" width="13.83203125" style="1" bestFit="1" customWidth="1"/>
    <col min="3345" max="3345" width="13.5" style="1" bestFit="1" customWidth="1"/>
    <col min="3346" max="3582" width="10.83203125" style="1"/>
    <col min="3583" max="3583" width="3.5" style="1" customWidth="1"/>
    <col min="3584" max="3584" width="25.6640625" style="1" bestFit="1" customWidth="1"/>
    <col min="3585" max="3585" width="16.83203125" style="1" customWidth="1"/>
    <col min="3586" max="3586" width="17.1640625" style="1" bestFit="1" customWidth="1"/>
    <col min="3587" max="3587" width="19" style="1" bestFit="1" customWidth="1"/>
    <col min="3588" max="3588" width="2.5" style="1" customWidth="1"/>
    <col min="3589" max="3589" width="3" style="1" customWidth="1"/>
    <col min="3590" max="3590" width="38.1640625" style="1" bestFit="1" customWidth="1"/>
    <col min="3591" max="3591" width="3.5" style="1" customWidth="1"/>
    <col min="3592" max="3592" width="18.33203125" style="1" bestFit="1" customWidth="1"/>
    <col min="3593" max="3593" width="15.5" style="1" bestFit="1" customWidth="1"/>
    <col min="3594" max="3594" width="3" style="1" customWidth="1"/>
    <col min="3595" max="3595" width="3.6640625" style="1" customWidth="1"/>
    <col min="3596" max="3596" width="23" style="1" customWidth="1"/>
    <col min="3597" max="3598" width="17.83203125" style="1" bestFit="1" customWidth="1"/>
    <col min="3599" max="3599" width="15.6640625" style="1" bestFit="1" customWidth="1"/>
    <col min="3600" max="3600" width="13.83203125" style="1" bestFit="1" customWidth="1"/>
    <col min="3601" max="3601" width="13.5" style="1" bestFit="1" customWidth="1"/>
    <col min="3602" max="3838" width="10.83203125" style="1"/>
    <col min="3839" max="3839" width="3.5" style="1" customWidth="1"/>
    <col min="3840" max="3840" width="25.6640625" style="1" bestFit="1" customWidth="1"/>
    <col min="3841" max="3841" width="16.83203125" style="1" customWidth="1"/>
    <col min="3842" max="3842" width="17.1640625" style="1" bestFit="1" customWidth="1"/>
    <col min="3843" max="3843" width="19" style="1" bestFit="1" customWidth="1"/>
    <col min="3844" max="3844" width="2.5" style="1" customWidth="1"/>
    <col min="3845" max="3845" width="3" style="1" customWidth="1"/>
    <col min="3846" max="3846" width="38.1640625" style="1" bestFit="1" customWidth="1"/>
    <col min="3847" max="3847" width="3.5" style="1" customWidth="1"/>
    <col min="3848" max="3848" width="18.33203125" style="1" bestFit="1" customWidth="1"/>
    <col min="3849" max="3849" width="15.5" style="1" bestFit="1" customWidth="1"/>
    <col min="3850" max="3850" width="3" style="1" customWidth="1"/>
    <col min="3851" max="3851" width="3.6640625" style="1" customWidth="1"/>
    <col min="3852" max="3852" width="23" style="1" customWidth="1"/>
    <col min="3853" max="3854" width="17.83203125" style="1" bestFit="1" customWidth="1"/>
    <col min="3855" max="3855" width="15.6640625" style="1" bestFit="1" customWidth="1"/>
    <col min="3856" max="3856" width="13.83203125" style="1" bestFit="1" customWidth="1"/>
    <col min="3857" max="3857" width="13.5" style="1" bestFit="1" customWidth="1"/>
    <col min="3858" max="4094" width="10.83203125" style="1"/>
    <col min="4095" max="4095" width="3.5" style="1" customWidth="1"/>
    <col min="4096" max="4096" width="25.6640625" style="1" bestFit="1" customWidth="1"/>
    <col min="4097" max="4097" width="16.83203125" style="1" customWidth="1"/>
    <col min="4098" max="4098" width="17.1640625" style="1" bestFit="1" customWidth="1"/>
    <col min="4099" max="4099" width="19" style="1" bestFit="1" customWidth="1"/>
    <col min="4100" max="4100" width="2.5" style="1" customWidth="1"/>
    <col min="4101" max="4101" width="3" style="1" customWidth="1"/>
    <col min="4102" max="4102" width="38.1640625" style="1" bestFit="1" customWidth="1"/>
    <col min="4103" max="4103" width="3.5" style="1" customWidth="1"/>
    <col min="4104" max="4104" width="18.33203125" style="1" bestFit="1" customWidth="1"/>
    <col min="4105" max="4105" width="15.5" style="1" bestFit="1" customWidth="1"/>
    <col min="4106" max="4106" width="3" style="1" customWidth="1"/>
    <col min="4107" max="4107" width="3.6640625" style="1" customWidth="1"/>
    <col min="4108" max="4108" width="23" style="1" customWidth="1"/>
    <col min="4109" max="4110" width="17.83203125" style="1" bestFit="1" customWidth="1"/>
    <col min="4111" max="4111" width="15.6640625" style="1" bestFit="1" customWidth="1"/>
    <col min="4112" max="4112" width="13.83203125" style="1" bestFit="1" customWidth="1"/>
    <col min="4113" max="4113" width="13.5" style="1" bestFit="1" customWidth="1"/>
    <col min="4114" max="4350" width="10.83203125" style="1"/>
    <col min="4351" max="4351" width="3.5" style="1" customWidth="1"/>
    <col min="4352" max="4352" width="25.6640625" style="1" bestFit="1" customWidth="1"/>
    <col min="4353" max="4353" width="16.83203125" style="1" customWidth="1"/>
    <col min="4354" max="4354" width="17.1640625" style="1" bestFit="1" customWidth="1"/>
    <col min="4355" max="4355" width="19" style="1" bestFit="1" customWidth="1"/>
    <col min="4356" max="4356" width="2.5" style="1" customWidth="1"/>
    <col min="4357" max="4357" width="3" style="1" customWidth="1"/>
    <col min="4358" max="4358" width="38.1640625" style="1" bestFit="1" customWidth="1"/>
    <col min="4359" max="4359" width="3.5" style="1" customWidth="1"/>
    <col min="4360" max="4360" width="18.33203125" style="1" bestFit="1" customWidth="1"/>
    <col min="4361" max="4361" width="15.5" style="1" bestFit="1" customWidth="1"/>
    <col min="4362" max="4362" width="3" style="1" customWidth="1"/>
    <col min="4363" max="4363" width="3.6640625" style="1" customWidth="1"/>
    <col min="4364" max="4364" width="23" style="1" customWidth="1"/>
    <col min="4365" max="4366" width="17.83203125" style="1" bestFit="1" customWidth="1"/>
    <col min="4367" max="4367" width="15.6640625" style="1" bestFit="1" customWidth="1"/>
    <col min="4368" max="4368" width="13.83203125" style="1" bestFit="1" customWidth="1"/>
    <col min="4369" max="4369" width="13.5" style="1" bestFit="1" customWidth="1"/>
    <col min="4370" max="4606" width="10.83203125" style="1"/>
    <col min="4607" max="4607" width="3.5" style="1" customWidth="1"/>
    <col min="4608" max="4608" width="25.6640625" style="1" bestFit="1" customWidth="1"/>
    <col min="4609" max="4609" width="16.83203125" style="1" customWidth="1"/>
    <col min="4610" max="4610" width="17.1640625" style="1" bestFit="1" customWidth="1"/>
    <col min="4611" max="4611" width="19" style="1" bestFit="1" customWidth="1"/>
    <col min="4612" max="4612" width="2.5" style="1" customWidth="1"/>
    <col min="4613" max="4613" width="3" style="1" customWidth="1"/>
    <col min="4614" max="4614" width="38.1640625" style="1" bestFit="1" customWidth="1"/>
    <col min="4615" max="4615" width="3.5" style="1" customWidth="1"/>
    <col min="4616" max="4616" width="18.33203125" style="1" bestFit="1" customWidth="1"/>
    <col min="4617" max="4617" width="15.5" style="1" bestFit="1" customWidth="1"/>
    <col min="4618" max="4618" width="3" style="1" customWidth="1"/>
    <col min="4619" max="4619" width="3.6640625" style="1" customWidth="1"/>
    <col min="4620" max="4620" width="23" style="1" customWidth="1"/>
    <col min="4621" max="4622" width="17.83203125" style="1" bestFit="1" customWidth="1"/>
    <col min="4623" max="4623" width="15.6640625" style="1" bestFit="1" customWidth="1"/>
    <col min="4624" max="4624" width="13.83203125" style="1" bestFit="1" customWidth="1"/>
    <col min="4625" max="4625" width="13.5" style="1" bestFit="1" customWidth="1"/>
    <col min="4626" max="4862" width="10.83203125" style="1"/>
    <col min="4863" max="4863" width="3.5" style="1" customWidth="1"/>
    <col min="4864" max="4864" width="25.6640625" style="1" bestFit="1" customWidth="1"/>
    <col min="4865" max="4865" width="16.83203125" style="1" customWidth="1"/>
    <col min="4866" max="4866" width="17.1640625" style="1" bestFit="1" customWidth="1"/>
    <col min="4867" max="4867" width="19" style="1" bestFit="1" customWidth="1"/>
    <col min="4868" max="4868" width="2.5" style="1" customWidth="1"/>
    <col min="4869" max="4869" width="3" style="1" customWidth="1"/>
    <col min="4870" max="4870" width="38.1640625" style="1" bestFit="1" customWidth="1"/>
    <col min="4871" max="4871" width="3.5" style="1" customWidth="1"/>
    <col min="4872" max="4872" width="18.33203125" style="1" bestFit="1" customWidth="1"/>
    <col min="4873" max="4873" width="15.5" style="1" bestFit="1" customWidth="1"/>
    <col min="4874" max="4874" width="3" style="1" customWidth="1"/>
    <col min="4875" max="4875" width="3.6640625" style="1" customWidth="1"/>
    <col min="4876" max="4876" width="23" style="1" customWidth="1"/>
    <col min="4877" max="4878" width="17.83203125" style="1" bestFit="1" customWidth="1"/>
    <col min="4879" max="4879" width="15.6640625" style="1" bestFit="1" customWidth="1"/>
    <col min="4880" max="4880" width="13.83203125" style="1" bestFit="1" customWidth="1"/>
    <col min="4881" max="4881" width="13.5" style="1" bestFit="1" customWidth="1"/>
    <col min="4882" max="5118" width="10.83203125" style="1"/>
    <col min="5119" max="5119" width="3.5" style="1" customWidth="1"/>
    <col min="5120" max="5120" width="25.6640625" style="1" bestFit="1" customWidth="1"/>
    <col min="5121" max="5121" width="16.83203125" style="1" customWidth="1"/>
    <col min="5122" max="5122" width="17.1640625" style="1" bestFit="1" customWidth="1"/>
    <col min="5123" max="5123" width="19" style="1" bestFit="1" customWidth="1"/>
    <col min="5124" max="5124" width="2.5" style="1" customWidth="1"/>
    <col min="5125" max="5125" width="3" style="1" customWidth="1"/>
    <col min="5126" max="5126" width="38.1640625" style="1" bestFit="1" customWidth="1"/>
    <col min="5127" max="5127" width="3.5" style="1" customWidth="1"/>
    <col min="5128" max="5128" width="18.33203125" style="1" bestFit="1" customWidth="1"/>
    <col min="5129" max="5129" width="15.5" style="1" bestFit="1" customWidth="1"/>
    <col min="5130" max="5130" width="3" style="1" customWidth="1"/>
    <col min="5131" max="5131" width="3.6640625" style="1" customWidth="1"/>
    <col min="5132" max="5132" width="23" style="1" customWidth="1"/>
    <col min="5133" max="5134" width="17.83203125" style="1" bestFit="1" customWidth="1"/>
    <col min="5135" max="5135" width="15.6640625" style="1" bestFit="1" customWidth="1"/>
    <col min="5136" max="5136" width="13.83203125" style="1" bestFit="1" customWidth="1"/>
    <col min="5137" max="5137" width="13.5" style="1" bestFit="1" customWidth="1"/>
    <col min="5138" max="5374" width="10.83203125" style="1"/>
    <col min="5375" max="5375" width="3.5" style="1" customWidth="1"/>
    <col min="5376" max="5376" width="25.6640625" style="1" bestFit="1" customWidth="1"/>
    <col min="5377" max="5377" width="16.83203125" style="1" customWidth="1"/>
    <col min="5378" max="5378" width="17.1640625" style="1" bestFit="1" customWidth="1"/>
    <col min="5379" max="5379" width="19" style="1" bestFit="1" customWidth="1"/>
    <col min="5380" max="5380" width="2.5" style="1" customWidth="1"/>
    <col min="5381" max="5381" width="3" style="1" customWidth="1"/>
    <col min="5382" max="5382" width="38.1640625" style="1" bestFit="1" customWidth="1"/>
    <col min="5383" max="5383" width="3.5" style="1" customWidth="1"/>
    <col min="5384" max="5384" width="18.33203125" style="1" bestFit="1" customWidth="1"/>
    <col min="5385" max="5385" width="15.5" style="1" bestFit="1" customWidth="1"/>
    <col min="5386" max="5386" width="3" style="1" customWidth="1"/>
    <col min="5387" max="5387" width="3.6640625" style="1" customWidth="1"/>
    <col min="5388" max="5388" width="23" style="1" customWidth="1"/>
    <col min="5389" max="5390" width="17.83203125" style="1" bestFit="1" customWidth="1"/>
    <col min="5391" max="5391" width="15.6640625" style="1" bestFit="1" customWidth="1"/>
    <col min="5392" max="5392" width="13.83203125" style="1" bestFit="1" customWidth="1"/>
    <col min="5393" max="5393" width="13.5" style="1" bestFit="1" customWidth="1"/>
    <col min="5394" max="5630" width="10.83203125" style="1"/>
    <col min="5631" max="5631" width="3.5" style="1" customWidth="1"/>
    <col min="5632" max="5632" width="25.6640625" style="1" bestFit="1" customWidth="1"/>
    <col min="5633" max="5633" width="16.83203125" style="1" customWidth="1"/>
    <col min="5634" max="5634" width="17.1640625" style="1" bestFit="1" customWidth="1"/>
    <col min="5635" max="5635" width="19" style="1" bestFit="1" customWidth="1"/>
    <col min="5636" max="5636" width="2.5" style="1" customWidth="1"/>
    <col min="5637" max="5637" width="3" style="1" customWidth="1"/>
    <col min="5638" max="5638" width="38.1640625" style="1" bestFit="1" customWidth="1"/>
    <col min="5639" max="5639" width="3.5" style="1" customWidth="1"/>
    <col min="5640" max="5640" width="18.33203125" style="1" bestFit="1" customWidth="1"/>
    <col min="5641" max="5641" width="15.5" style="1" bestFit="1" customWidth="1"/>
    <col min="5642" max="5642" width="3" style="1" customWidth="1"/>
    <col min="5643" max="5643" width="3.6640625" style="1" customWidth="1"/>
    <col min="5644" max="5644" width="23" style="1" customWidth="1"/>
    <col min="5645" max="5646" width="17.83203125" style="1" bestFit="1" customWidth="1"/>
    <col min="5647" max="5647" width="15.6640625" style="1" bestFit="1" customWidth="1"/>
    <col min="5648" max="5648" width="13.83203125" style="1" bestFit="1" customWidth="1"/>
    <col min="5649" max="5649" width="13.5" style="1" bestFit="1" customWidth="1"/>
    <col min="5650" max="5886" width="10.83203125" style="1"/>
    <col min="5887" max="5887" width="3.5" style="1" customWidth="1"/>
    <col min="5888" max="5888" width="25.6640625" style="1" bestFit="1" customWidth="1"/>
    <col min="5889" max="5889" width="16.83203125" style="1" customWidth="1"/>
    <col min="5890" max="5890" width="17.1640625" style="1" bestFit="1" customWidth="1"/>
    <col min="5891" max="5891" width="19" style="1" bestFit="1" customWidth="1"/>
    <col min="5892" max="5892" width="2.5" style="1" customWidth="1"/>
    <col min="5893" max="5893" width="3" style="1" customWidth="1"/>
    <col min="5894" max="5894" width="38.1640625" style="1" bestFit="1" customWidth="1"/>
    <col min="5895" max="5895" width="3.5" style="1" customWidth="1"/>
    <col min="5896" max="5896" width="18.33203125" style="1" bestFit="1" customWidth="1"/>
    <col min="5897" max="5897" width="15.5" style="1" bestFit="1" customWidth="1"/>
    <col min="5898" max="5898" width="3" style="1" customWidth="1"/>
    <col min="5899" max="5899" width="3.6640625" style="1" customWidth="1"/>
    <col min="5900" max="5900" width="23" style="1" customWidth="1"/>
    <col min="5901" max="5902" width="17.83203125" style="1" bestFit="1" customWidth="1"/>
    <col min="5903" max="5903" width="15.6640625" style="1" bestFit="1" customWidth="1"/>
    <col min="5904" max="5904" width="13.83203125" style="1" bestFit="1" customWidth="1"/>
    <col min="5905" max="5905" width="13.5" style="1" bestFit="1" customWidth="1"/>
    <col min="5906" max="6142" width="10.83203125" style="1"/>
    <col min="6143" max="6143" width="3.5" style="1" customWidth="1"/>
    <col min="6144" max="6144" width="25.6640625" style="1" bestFit="1" customWidth="1"/>
    <col min="6145" max="6145" width="16.83203125" style="1" customWidth="1"/>
    <col min="6146" max="6146" width="17.1640625" style="1" bestFit="1" customWidth="1"/>
    <col min="6147" max="6147" width="19" style="1" bestFit="1" customWidth="1"/>
    <col min="6148" max="6148" width="2.5" style="1" customWidth="1"/>
    <col min="6149" max="6149" width="3" style="1" customWidth="1"/>
    <col min="6150" max="6150" width="38.1640625" style="1" bestFit="1" customWidth="1"/>
    <col min="6151" max="6151" width="3.5" style="1" customWidth="1"/>
    <col min="6152" max="6152" width="18.33203125" style="1" bestFit="1" customWidth="1"/>
    <col min="6153" max="6153" width="15.5" style="1" bestFit="1" customWidth="1"/>
    <col min="6154" max="6154" width="3" style="1" customWidth="1"/>
    <col min="6155" max="6155" width="3.6640625" style="1" customWidth="1"/>
    <col min="6156" max="6156" width="23" style="1" customWidth="1"/>
    <col min="6157" max="6158" width="17.83203125" style="1" bestFit="1" customWidth="1"/>
    <col min="6159" max="6159" width="15.6640625" style="1" bestFit="1" customWidth="1"/>
    <col min="6160" max="6160" width="13.83203125" style="1" bestFit="1" customWidth="1"/>
    <col min="6161" max="6161" width="13.5" style="1" bestFit="1" customWidth="1"/>
    <col min="6162" max="6398" width="10.83203125" style="1"/>
    <col min="6399" max="6399" width="3.5" style="1" customWidth="1"/>
    <col min="6400" max="6400" width="25.6640625" style="1" bestFit="1" customWidth="1"/>
    <col min="6401" max="6401" width="16.83203125" style="1" customWidth="1"/>
    <col min="6402" max="6402" width="17.1640625" style="1" bestFit="1" customWidth="1"/>
    <col min="6403" max="6403" width="19" style="1" bestFit="1" customWidth="1"/>
    <col min="6404" max="6404" width="2.5" style="1" customWidth="1"/>
    <col min="6405" max="6405" width="3" style="1" customWidth="1"/>
    <col min="6406" max="6406" width="38.1640625" style="1" bestFit="1" customWidth="1"/>
    <col min="6407" max="6407" width="3.5" style="1" customWidth="1"/>
    <col min="6408" max="6408" width="18.33203125" style="1" bestFit="1" customWidth="1"/>
    <col min="6409" max="6409" width="15.5" style="1" bestFit="1" customWidth="1"/>
    <col min="6410" max="6410" width="3" style="1" customWidth="1"/>
    <col min="6411" max="6411" width="3.6640625" style="1" customWidth="1"/>
    <col min="6412" max="6412" width="23" style="1" customWidth="1"/>
    <col min="6413" max="6414" width="17.83203125" style="1" bestFit="1" customWidth="1"/>
    <col min="6415" max="6415" width="15.6640625" style="1" bestFit="1" customWidth="1"/>
    <col min="6416" max="6416" width="13.83203125" style="1" bestFit="1" customWidth="1"/>
    <col min="6417" max="6417" width="13.5" style="1" bestFit="1" customWidth="1"/>
    <col min="6418" max="6654" width="10.83203125" style="1"/>
    <col min="6655" max="6655" width="3.5" style="1" customWidth="1"/>
    <col min="6656" max="6656" width="25.6640625" style="1" bestFit="1" customWidth="1"/>
    <col min="6657" max="6657" width="16.83203125" style="1" customWidth="1"/>
    <col min="6658" max="6658" width="17.1640625" style="1" bestFit="1" customWidth="1"/>
    <col min="6659" max="6659" width="19" style="1" bestFit="1" customWidth="1"/>
    <col min="6660" max="6660" width="2.5" style="1" customWidth="1"/>
    <col min="6661" max="6661" width="3" style="1" customWidth="1"/>
    <col min="6662" max="6662" width="38.1640625" style="1" bestFit="1" customWidth="1"/>
    <col min="6663" max="6663" width="3.5" style="1" customWidth="1"/>
    <col min="6664" max="6664" width="18.33203125" style="1" bestFit="1" customWidth="1"/>
    <col min="6665" max="6665" width="15.5" style="1" bestFit="1" customWidth="1"/>
    <col min="6666" max="6666" width="3" style="1" customWidth="1"/>
    <col min="6667" max="6667" width="3.6640625" style="1" customWidth="1"/>
    <col min="6668" max="6668" width="23" style="1" customWidth="1"/>
    <col min="6669" max="6670" width="17.83203125" style="1" bestFit="1" customWidth="1"/>
    <col min="6671" max="6671" width="15.6640625" style="1" bestFit="1" customWidth="1"/>
    <col min="6672" max="6672" width="13.83203125" style="1" bestFit="1" customWidth="1"/>
    <col min="6673" max="6673" width="13.5" style="1" bestFit="1" customWidth="1"/>
    <col min="6674" max="6910" width="10.83203125" style="1"/>
    <col min="6911" max="6911" width="3.5" style="1" customWidth="1"/>
    <col min="6912" max="6912" width="25.6640625" style="1" bestFit="1" customWidth="1"/>
    <col min="6913" max="6913" width="16.83203125" style="1" customWidth="1"/>
    <col min="6914" max="6914" width="17.1640625" style="1" bestFit="1" customWidth="1"/>
    <col min="6915" max="6915" width="19" style="1" bestFit="1" customWidth="1"/>
    <col min="6916" max="6916" width="2.5" style="1" customWidth="1"/>
    <col min="6917" max="6917" width="3" style="1" customWidth="1"/>
    <col min="6918" max="6918" width="38.1640625" style="1" bestFit="1" customWidth="1"/>
    <col min="6919" max="6919" width="3.5" style="1" customWidth="1"/>
    <col min="6920" max="6920" width="18.33203125" style="1" bestFit="1" customWidth="1"/>
    <col min="6921" max="6921" width="15.5" style="1" bestFit="1" customWidth="1"/>
    <col min="6922" max="6922" width="3" style="1" customWidth="1"/>
    <col min="6923" max="6923" width="3.6640625" style="1" customWidth="1"/>
    <col min="6924" max="6924" width="23" style="1" customWidth="1"/>
    <col min="6925" max="6926" width="17.83203125" style="1" bestFit="1" customWidth="1"/>
    <col min="6927" max="6927" width="15.6640625" style="1" bestFit="1" customWidth="1"/>
    <col min="6928" max="6928" width="13.83203125" style="1" bestFit="1" customWidth="1"/>
    <col min="6929" max="6929" width="13.5" style="1" bestFit="1" customWidth="1"/>
    <col min="6930" max="7166" width="10.83203125" style="1"/>
    <col min="7167" max="7167" width="3.5" style="1" customWidth="1"/>
    <col min="7168" max="7168" width="25.6640625" style="1" bestFit="1" customWidth="1"/>
    <col min="7169" max="7169" width="16.83203125" style="1" customWidth="1"/>
    <col min="7170" max="7170" width="17.1640625" style="1" bestFit="1" customWidth="1"/>
    <col min="7171" max="7171" width="19" style="1" bestFit="1" customWidth="1"/>
    <col min="7172" max="7172" width="2.5" style="1" customWidth="1"/>
    <col min="7173" max="7173" width="3" style="1" customWidth="1"/>
    <col min="7174" max="7174" width="38.1640625" style="1" bestFit="1" customWidth="1"/>
    <col min="7175" max="7175" width="3.5" style="1" customWidth="1"/>
    <col min="7176" max="7176" width="18.33203125" style="1" bestFit="1" customWidth="1"/>
    <col min="7177" max="7177" width="15.5" style="1" bestFit="1" customWidth="1"/>
    <col min="7178" max="7178" width="3" style="1" customWidth="1"/>
    <col min="7179" max="7179" width="3.6640625" style="1" customWidth="1"/>
    <col min="7180" max="7180" width="23" style="1" customWidth="1"/>
    <col min="7181" max="7182" width="17.83203125" style="1" bestFit="1" customWidth="1"/>
    <col min="7183" max="7183" width="15.6640625" style="1" bestFit="1" customWidth="1"/>
    <col min="7184" max="7184" width="13.83203125" style="1" bestFit="1" customWidth="1"/>
    <col min="7185" max="7185" width="13.5" style="1" bestFit="1" customWidth="1"/>
    <col min="7186" max="7422" width="10.83203125" style="1"/>
    <col min="7423" max="7423" width="3.5" style="1" customWidth="1"/>
    <col min="7424" max="7424" width="25.6640625" style="1" bestFit="1" customWidth="1"/>
    <col min="7425" max="7425" width="16.83203125" style="1" customWidth="1"/>
    <col min="7426" max="7426" width="17.1640625" style="1" bestFit="1" customWidth="1"/>
    <col min="7427" max="7427" width="19" style="1" bestFit="1" customWidth="1"/>
    <col min="7428" max="7428" width="2.5" style="1" customWidth="1"/>
    <col min="7429" max="7429" width="3" style="1" customWidth="1"/>
    <col min="7430" max="7430" width="38.1640625" style="1" bestFit="1" customWidth="1"/>
    <col min="7431" max="7431" width="3.5" style="1" customWidth="1"/>
    <col min="7432" max="7432" width="18.33203125" style="1" bestFit="1" customWidth="1"/>
    <col min="7433" max="7433" width="15.5" style="1" bestFit="1" customWidth="1"/>
    <col min="7434" max="7434" width="3" style="1" customWidth="1"/>
    <col min="7435" max="7435" width="3.6640625" style="1" customWidth="1"/>
    <col min="7436" max="7436" width="23" style="1" customWidth="1"/>
    <col min="7437" max="7438" width="17.83203125" style="1" bestFit="1" customWidth="1"/>
    <col min="7439" max="7439" width="15.6640625" style="1" bestFit="1" customWidth="1"/>
    <col min="7440" max="7440" width="13.83203125" style="1" bestFit="1" customWidth="1"/>
    <col min="7441" max="7441" width="13.5" style="1" bestFit="1" customWidth="1"/>
    <col min="7442" max="7678" width="10.83203125" style="1"/>
    <col min="7679" max="7679" width="3.5" style="1" customWidth="1"/>
    <col min="7680" max="7680" width="25.6640625" style="1" bestFit="1" customWidth="1"/>
    <col min="7681" max="7681" width="16.83203125" style="1" customWidth="1"/>
    <col min="7682" max="7682" width="17.1640625" style="1" bestFit="1" customWidth="1"/>
    <col min="7683" max="7683" width="19" style="1" bestFit="1" customWidth="1"/>
    <col min="7684" max="7684" width="2.5" style="1" customWidth="1"/>
    <col min="7685" max="7685" width="3" style="1" customWidth="1"/>
    <col min="7686" max="7686" width="38.1640625" style="1" bestFit="1" customWidth="1"/>
    <col min="7687" max="7687" width="3.5" style="1" customWidth="1"/>
    <col min="7688" max="7688" width="18.33203125" style="1" bestFit="1" customWidth="1"/>
    <col min="7689" max="7689" width="15.5" style="1" bestFit="1" customWidth="1"/>
    <col min="7690" max="7690" width="3" style="1" customWidth="1"/>
    <col min="7691" max="7691" width="3.6640625" style="1" customWidth="1"/>
    <col min="7692" max="7692" width="23" style="1" customWidth="1"/>
    <col min="7693" max="7694" width="17.83203125" style="1" bestFit="1" customWidth="1"/>
    <col min="7695" max="7695" width="15.6640625" style="1" bestFit="1" customWidth="1"/>
    <col min="7696" max="7696" width="13.83203125" style="1" bestFit="1" customWidth="1"/>
    <col min="7697" max="7697" width="13.5" style="1" bestFit="1" customWidth="1"/>
    <col min="7698" max="7934" width="10.83203125" style="1"/>
    <col min="7935" max="7935" width="3.5" style="1" customWidth="1"/>
    <col min="7936" max="7936" width="25.6640625" style="1" bestFit="1" customWidth="1"/>
    <col min="7937" max="7937" width="16.83203125" style="1" customWidth="1"/>
    <col min="7938" max="7938" width="17.1640625" style="1" bestFit="1" customWidth="1"/>
    <col min="7939" max="7939" width="19" style="1" bestFit="1" customWidth="1"/>
    <col min="7940" max="7940" width="2.5" style="1" customWidth="1"/>
    <col min="7941" max="7941" width="3" style="1" customWidth="1"/>
    <col min="7942" max="7942" width="38.1640625" style="1" bestFit="1" customWidth="1"/>
    <col min="7943" max="7943" width="3.5" style="1" customWidth="1"/>
    <col min="7944" max="7944" width="18.33203125" style="1" bestFit="1" customWidth="1"/>
    <col min="7945" max="7945" width="15.5" style="1" bestFit="1" customWidth="1"/>
    <col min="7946" max="7946" width="3" style="1" customWidth="1"/>
    <col min="7947" max="7947" width="3.6640625" style="1" customWidth="1"/>
    <col min="7948" max="7948" width="23" style="1" customWidth="1"/>
    <col min="7949" max="7950" width="17.83203125" style="1" bestFit="1" customWidth="1"/>
    <col min="7951" max="7951" width="15.6640625" style="1" bestFit="1" customWidth="1"/>
    <col min="7952" max="7952" width="13.83203125" style="1" bestFit="1" customWidth="1"/>
    <col min="7953" max="7953" width="13.5" style="1" bestFit="1" customWidth="1"/>
    <col min="7954" max="8190" width="10.83203125" style="1"/>
    <col min="8191" max="8191" width="3.5" style="1" customWidth="1"/>
    <col min="8192" max="8192" width="25.6640625" style="1" bestFit="1" customWidth="1"/>
    <col min="8193" max="8193" width="16.83203125" style="1" customWidth="1"/>
    <col min="8194" max="8194" width="17.1640625" style="1" bestFit="1" customWidth="1"/>
    <col min="8195" max="8195" width="19" style="1" bestFit="1" customWidth="1"/>
    <col min="8196" max="8196" width="2.5" style="1" customWidth="1"/>
    <col min="8197" max="8197" width="3" style="1" customWidth="1"/>
    <col min="8198" max="8198" width="38.1640625" style="1" bestFit="1" customWidth="1"/>
    <col min="8199" max="8199" width="3.5" style="1" customWidth="1"/>
    <col min="8200" max="8200" width="18.33203125" style="1" bestFit="1" customWidth="1"/>
    <col min="8201" max="8201" width="15.5" style="1" bestFit="1" customWidth="1"/>
    <col min="8202" max="8202" width="3" style="1" customWidth="1"/>
    <col min="8203" max="8203" width="3.6640625" style="1" customWidth="1"/>
    <col min="8204" max="8204" width="23" style="1" customWidth="1"/>
    <col min="8205" max="8206" width="17.83203125" style="1" bestFit="1" customWidth="1"/>
    <col min="8207" max="8207" width="15.6640625" style="1" bestFit="1" customWidth="1"/>
    <col min="8208" max="8208" width="13.83203125" style="1" bestFit="1" customWidth="1"/>
    <col min="8209" max="8209" width="13.5" style="1" bestFit="1" customWidth="1"/>
    <col min="8210" max="8446" width="10.83203125" style="1"/>
    <col min="8447" max="8447" width="3.5" style="1" customWidth="1"/>
    <col min="8448" max="8448" width="25.6640625" style="1" bestFit="1" customWidth="1"/>
    <col min="8449" max="8449" width="16.83203125" style="1" customWidth="1"/>
    <col min="8450" max="8450" width="17.1640625" style="1" bestFit="1" customWidth="1"/>
    <col min="8451" max="8451" width="19" style="1" bestFit="1" customWidth="1"/>
    <col min="8452" max="8452" width="2.5" style="1" customWidth="1"/>
    <col min="8453" max="8453" width="3" style="1" customWidth="1"/>
    <col min="8454" max="8454" width="38.1640625" style="1" bestFit="1" customWidth="1"/>
    <col min="8455" max="8455" width="3.5" style="1" customWidth="1"/>
    <col min="8456" max="8456" width="18.33203125" style="1" bestFit="1" customWidth="1"/>
    <col min="8457" max="8457" width="15.5" style="1" bestFit="1" customWidth="1"/>
    <col min="8458" max="8458" width="3" style="1" customWidth="1"/>
    <col min="8459" max="8459" width="3.6640625" style="1" customWidth="1"/>
    <col min="8460" max="8460" width="23" style="1" customWidth="1"/>
    <col min="8461" max="8462" width="17.83203125" style="1" bestFit="1" customWidth="1"/>
    <col min="8463" max="8463" width="15.6640625" style="1" bestFit="1" customWidth="1"/>
    <col min="8464" max="8464" width="13.83203125" style="1" bestFit="1" customWidth="1"/>
    <col min="8465" max="8465" width="13.5" style="1" bestFit="1" customWidth="1"/>
    <col min="8466" max="8702" width="10.83203125" style="1"/>
    <col min="8703" max="8703" width="3.5" style="1" customWidth="1"/>
    <col min="8704" max="8704" width="25.6640625" style="1" bestFit="1" customWidth="1"/>
    <col min="8705" max="8705" width="16.83203125" style="1" customWidth="1"/>
    <col min="8706" max="8706" width="17.1640625" style="1" bestFit="1" customWidth="1"/>
    <col min="8707" max="8707" width="19" style="1" bestFit="1" customWidth="1"/>
    <col min="8708" max="8708" width="2.5" style="1" customWidth="1"/>
    <col min="8709" max="8709" width="3" style="1" customWidth="1"/>
    <col min="8710" max="8710" width="38.1640625" style="1" bestFit="1" customWidth="1"/>
    <col min="8711" max="8711" width="3.5" style="1" customWidth="1"/>
    <col min="8712" max="8712" width="18.33203125" style="1" bestFit="1" customWidth="1"/>
    <col min="8713" max="8713" width="15.5" style="1" bestFit="1" customWidth="1"/>
    <col min="8714" max="8714" width="3" style="1" customWidth="1"/>
    <col min="8715" max="8715" width="3.6640625" style="1" customWidth="1"/>
    <col min="8716" max="8716" width="23" style="1" customWidth="1"/>
    <col min="8717" max="8718" width="17.83203125" style="1" bestFit="1" customWidth="1"/>
    <col min="8719" max="8719" width="15.6640625" style="1" bestFit="1" customWidth="1"/>
    <col min="8720" max="8720" width="13.83203125" style="1" bestFit="1" customWidth="1"/>
    <col min="8721" max="8721" width="13.5" style="1" bestFit="1" customWidth="1"/>
    <col min="8722" max="8958" width="10.83203125" style="1"/>
    <col min="8959" max="8959" width="3.5" style="1" customWidth="1"/>
    <col min="8960" max="8960" width="25.6640625" style="1" bestFit="1" customWidth="1"/>
    <col min="8961" max="8961" width="16.83203125" style="1" customWidth="1"/>
    <col min="8962" max="8962" width="17.1640625" style="1" bestFit="1" customWidth="1"/>
    <col min="8963" max="8963" width="19" style="1" bestFit="1" customWidth="1"/>
    <col min="8964" max="8964" width="2.5" style="1" customWidth="1"/>
    <col min="8965" max="8965" width="3" style="1" customWidth="1"/>
    <col min="8966" max="8966" width="38.1640625" style="1" bestFit="1" customWidth="1"/>
    <col min="8967" max="8967" width="3.5" style="1" customWidth="1"/>
    <col min="8968" max="8968" width="18.33203125" style="1" bestFit="1" customWidth="1"/>
    <col min="8969" max="8969" width="15.5" style="1" bestFit="1" customWidth="1"/>
    <col min="8970" max="8970" width="3" style="1" customWidth="1"/>
    <col min="8971" max="8971" width="3.6640625" style="1" customWidth="1"/>
    <col min="8972" max="8972" width="23" style="1" customWidth="1"/>
    <col min="8973" max="8974" width="17.83203125" style="1" bestFit="1" customWidth="1"/>
    <col min="8975" max="8975" width="15.6640625" style="1" bestFit="1" customWidth="1"/>
    <col min="8976" max="8976" width="13.83203125" style="1" bestFit="1" customWidth="1"/>
    <col min="8977" max="8977" width="13.5" style="1" bestFit="1" customWidth="1"/>
    <col min="8978" max="9214" width="10.83203125" style="1"/>
    <col min="9215" max="9215" width="3.5" style="1" customWidth="1"/>
    <col min="9216" max="9216" width="25.6640625" style="1" bestFit="1" customWidth="1"/>
    <col min="9217" max="9217" width="16.83203125" style="1" customWidth="1"/>
    <col min="9218" max="9218" width="17.1640625" style="1" bestFit="1" customWidth="1"/>
    <col min="9219" max="9219" width="19" style="1" bestFit="1" customWidth="1"/>
    <col min="9220" max="9220" width="2.5" style="1" customWidth="1"/>
    <col min="9221" max="9221" width="3" style="1" customWidth="1"/>
    <col min="9222" max="9222" width="38.1640625" style="1" bestFit="1" customWidth="1"/>
    <col min="9223" max="9223" width="3.5" style="1" customWidth="1"/>
    <col min="9224" max="9224" width="18.33203125" style="1" bestFit="1" customWidth="1"/>
    <col min="9225" max="9225" width="15.5" style="1" bestFit="1" customWidth="1"/>
    <col min="9226" max="9226" width="3" style="1" customWidth="1"/>
    <col min="9227" max="9227" width="3.6640625" style="1" customWidth="1"/>
    <col min="9228" max="9228" width="23" style="1" customWidth="1"/>
    <col min="9229" max="9230" width="17.83203125" style="1" bestFit="1" customWidth="1"/>
    <col min="9231" max="9231" width="15.6640625" style="1" bestFit="1" customWidth="1"/>
    <col min="9232" max="9232" width="13.83203125" style="1" bestFit="1" customWidth="1"/>
    <col min="9233" max="9233" width="13.5" style="1" bestFit="1" customWidth="1"/>
    <col min="9234" max="9470" width="10.83203125" style="1"/>
    <col min="9471" max="9471" width="3.5" style="1" customWidth="1"/>
    <col min="9472" max="9472" width="25.6640625" style="1" bestFit="1" customWidth="1"/>
    <col min="9473" max="9473" width="16.83203125" style="1" customWidth="1"/>
    <col min="9474" max="9474" width="17.1640625" style="1" bestFit="1" customWidth="1"/>
    <col min="9475" max="9475" width="19" style="1" bestFit="1" customWidth="1"/>
    <col min="9476" max="9476" width="2.5" style="1" customWidth="1"/>
    <col min="9477" max="9477" width="3" style="1" customWidth="1"/>
    <col min="9478" max="9478" width="38.1640625" style="1" bestFit="1" customWidth="1"/>
    <col min="9479" max="9479" width="3.5" style="1" customWidth="1"/>
    <col min="9480" max="9480" width="18.33203125" style="1" bestFit="1" customWidth="1"/>
    <col min="9481" max="9481" width="15.5" style="1" bestFit="1" customWidth="1"/>
    <col min="9482" max="9482" width="3" style="1" customWidth="1"/>
    <col min="9483" max="9483" width="3.6640625" style="1" customWidth="1"/>
    <col min="9484" max="9484" width="23" style="1" customWidth="1"/>
    <col min="9485" max="9486" width="17.83203125" style="1" bestFit="1" customWidth="1"/>
    <col min="9487" max="9487" width="15.6640625" style="1" bestFit="1" customWidth="1"/>
    <col min="9488" max="9488" width="13.83203125" style="1" bestFit="1" customWidth="1"/>
    <col min="9489" max="9489" width="13.5" style="1" bestFit="1" customWidth="1"/>
    <col min="9490" max="9726" width="10.83203125" style="1"/>
    <col min="9727" max="9727" width="3.5" style="1" customWidth="1"/>
    <col min="9728" max="9728" width="25.6640625" style="1" bestFit="1" customWidth="1"/>
    <col min="9729" max="9729" width="16.83203125" style="1" customWidth="1"/>
    <col min="9730" max="9730" width="17.1640625" style="1" bestFit="1" customWidth="1"/>
    <col min="9731" max="9731" width="19" style="1" bestFit="1" customWidth="1"/>
    <col min="9732" max="9732" width="2.5" style="1" customWidth="1"/>
    <col min="9733" max="9733" width="3" style="1" customWidth="1"/>
    <col min="9734" max="9734" width="38.1640625" style="1" bestFit="1" customWidth="1"/>
    <col min="9735" max="9735" width="3.5" style="1" customWidth="1"/>
    <col min="9736" max="9736" width="18.33203125" style="1" bestFit="1" customWidth="1"/>
    <col min="9737" max="9737" width="15.5" style="1" bestFit="1" customWidth="1"/>
    <col min="9738" max="9738" width="3" style="1" customWidth="1"/>
    <col min="9739" max="9739" width="3.6640625" style="1" customWidth="1"/>
    <col min="9740" max="9740" width="23" style="1" customWidth="1"/>
    <col min="9741" max="9742" width="17.83203125" style="1" bestFit="1" customWidth="1"/>
    <col min="9743" max="9743" width="15.6640625" style="1" bestFit="1" customWidth="1"/>
    <col min="9744" max="9744" width="13.83203125" style="1" bestFit="1" customWidth="1"/>
    <col min="9745" max="9745" width="13.5" style="1" bestFit="1" customWidth="1"/>
    <col min="9746" max="9982" width="10.83203125" style="1"/>
    <col min="9983" max="9983" width="3.5" style="1" customWidth="1"/>
    <col min="9984" max="9984" width="25.6640625" style="1" bestFit="1" customWidth="1"/>
    <col min="9985" max="9985" width="16.83203125" style="1" customWidth="1"/>
    <col min="9986" max="9986" width="17.1640625" style="1" bestFit="1" customWidth="1"/>
    <col min="9987" max="9987" width="19" style="1" bestFit="1" customWidth="1"/>
    <col min="9988" max="9988" width="2.5" style="1" customWidth="1"/>
    <col min="9989" max="9989" width="3" style="1" customWidth="1"/>
    <col min="9990" max="9990" width="38.1640625" style="1" bestFit="1" customWidth="1"/>
    <col min="9991" max="9991" width="3.5" style="1" customWidth="1"/>
    <col min="9992" max="9992" width="18.33203125" style="1" bestFit="1" customWidth="1"/>
    <col min="9993" max="9993" width="15.5" style="1" bestFit="1" customWidth="1"/>
    <col min="9994" max="9994" width="3" style="1" customWidth="1"/>
    <col min="9995" max="9995" width="3.6640625" style="1" customWidth="1"/>
    <col min="9996" max="9996" width="23" style="1" customWidth="1"/>
    <col min="9997" max="9998" width="17.83203125" style="1" bestFit="1" customWidth="1"/>
    <col min="9999" max="9999" width="15.6640625" style="1" bestFit="1" customWidth="1"/>
    <col min="10000" max="10000" width="13.83203125" style="1" bestFit="1" customWidth="1"/>
    <col min="10001" max="10001" width="13.5" style="1" bestFit="1" customWidth="1"/>
    <col min="10002" max="10238" width="10.83203125" style="1"/>
    <col min="10239" max="10239" width="3.5" style="1" customWidth="1"/>
    <col min="10240" max="10240" width="25.6640625" style="1" bestFit="1" customWidth="1"/>
    <col min="10241" max="10241" width="16.83203125" style="1" customWidth="1"/>
    <col min="10242" max="10242" width="17.1640625" style="1" bestFit="1" customWidth="1"/>
    <col min="10243" max="10243" width="19" style="1" bestFit="1" customWidth="1"/>
    <col min="10244" max="10244" width="2.5" style="1" customWidth="1"/>
    <col min="10245" max="10245" width="3" style="1" customWidth="1"/>
    <col min="10246" max="10246" width="38.1640625" style="1" bestFit="1" customWidth="1"/>
    <col min="10247" max="10247" width="3.5" style="1" customWidth="1"/>
    <col min="10248" max="10248" width="18.33203125" style="1" bestFit="1" customWidth="1"/>
    <col min="10249" max="10249" width="15.5" style="1" bestFit="1" customWidth="1"/>
    <col min="10250" max="10250" width="3" style="1" customWidth="1"/>
    <col min="10251" max="10251" width="3.6640625" style="1" customWidth="1"/>
    <col min="10252" max="10252" width="23" style="1" customWidth="1"/>
    <col min="10253" max="10254" width="17.83203125" style="1" bestFit="1" customWidth="1"/>
    <col min="10255" max="10255" width="15.6640625" style="1" bestFit="1" customWidth="1"/>
    <col min="10256" max="10256" width="13.83203125" style="1" bestFit="1" customWidth="1"/>
    <col min="10257" max="10257" width="13.5" style="1" bestFit="1" customWidth="1"/>
    <col min="10258" max="10494" width="10.83203125" style="1"/>
    <col min="10495" max="10495" width="3.5" style="1" customWidth="1"/>
    <col min="10496" max="10496" width="25.6640625" style="1" bestFit="1" customWidth="1"/>
    <col min="10497" max="10497" width="16.83203125" style="1" customWidth="1"/>
    <col min="10498" max="10498" width="17.1640625" style="1" bestFit="1" customWidth="1"/>
    <col min="10499" max="10499" width="19" style="1" bestFit="1" customWidth="1"/>
    <col min="10500" max="10500" width="2.5" style="1" customWidth="1"/>
    <col min="10501" max="10501" width="3" style="1" customWidth="1"/>
    <col min="10502" max="10502" width="38.1640625" style="1" bestFit="1" customWidth="1"/>
    <col min="10503" max="10503" width="3.5" style="1" customWidth="1"/>
    <col min="10504" max="10504" width="18.33203125" style="1" bestFit="1" customWidth="1"/>
    <col min="10505" max="10505" width="15.5" style="1" bestFit="1" customWidth="1"/>
    <col min="10506" max="10506" width="3" style="1" customWidth="1"/>
    <col min="10507" max="10507" width="3.6640625" style="1" customWidth="1"/>
    <col min="10508" max="10508" width="23" style="1" customWidth="1"/>
    <col min="10509" max="10510" width="17.83203125" style="1" bestFit="1" customWidth="1"/>
    <col min="10511" max="10511" width="15.6640625" style="1" bestFit="1" customWidth="1"/>
    <col min="10512" max="10512" width="13.83203125" style="1" bestFit="1" customWidth="1"/>
    <col min="10513" max="10513" width="13.5" style="1" bestFit="1" customWidth="1"/>
    <col min="10514" max="10750" width="10.83203125" style="1"/>
    <col min="10751" max="10751" width="3.5" style="1" customWidth="1"/>
    <col min="10752" max="10752" width="25.6640625" style="1" bestFit="1" customWidth="1"/>
    <col min="10753" max="10753" width="16.83203125" style="1" customWidth="1"/>
    <col min="10754" max="10754" width="17.1640625" style="1" bestFit="1" customWidth="1"/>
    <col min="10755" max="10755" width="19" style="1" bestFit="1" customWidth="1"/>
    <col min="10756" max="10756" width="2.5" style="1" customWidth="1"/>
    <col min="10757" max="10757" width="3" style="1" customWidth="1"/>
    <col min="10758" max="10758" width="38.1640625" style="1" bestFit="1" customWidth="1"/>
    <col min="10759" max="10759" width="3.5" style="1" customWidth="1"/>
    <col min="10760" max="10760" width="18.33203125" style="1" bestFit="1" customWidth="1"/>
    <col min="10761" max="10761" width="15.5" style="1" bestFit="1" customWidth="1"/>
    <col min="10762" max="10762" width="3" style="1" customWidth="1"/>
    <col min="10763" max="10763" width="3.6640625" style="1" customWidth="1"/>
    <col min="10764" max="10764" width="23" style="1" customWidth="1"/>
    <col min="10765" max="10766" width="17.83203125" style="1" bestFit="1" customWidth="1"/>
    <col min="10767" max="10767" width="15.6640625" style="1" bestFit="1" customWidth="1"/>
    <col min="10768" max="10768" width="13.83203125" style="1" bestFit="1" customWidth="1"/>
    <col min="10769" max="10769" width="13.5" style="1" bestFit="1" customWidth="1"/>
    <col min="10770" max="11006" width="10.83203125" style="1"/>
    <col min="11007" max="11007" width="3.5" style="1" customWidth="1"/>
    <col min="11008" max="11008" width="25.6640625" style="1" bestFit="1" customWidth="1"/>
    <col min="11009" max="11009" width="16.83203125" style="1" customWidth="1"/>
    <col min="11010" max="11010" width="17.1640625" style="1" bestFit="1" customWidth="1"/>
    <col min="11011" max="11011" width="19" style="1" bestFit="1" customWidth="1"/>
    <col min="11012" max="11012" width="2.5" style="1" customWidth="1"/>
    <col min="11013" max="11013" width="3" style="1" customWidth="1"/>
    <col min="11014" max="11014" width="38.1640625" style="1" bestFit="1" customWidth="1"/>
    <col min="11015" max="11015" width="3.5" style="1" customWidth="1"/>
    <col min="11016" max="11016" width="18.33203125" style="1" bestFit="1" customWidth="1"/>
    <col min="11017" max="11017" width="15.5" style="1" bestFit="1" customWidth="1"/>
    <col min="11018" max="11018" width="3" style="1" customWidth="1"/>
    <col min="11019" max="11019" width="3.6640625" style="1" customWidth="1"/>
    <col min="11020" max="11020" width="23" style="1" customWidth="1"/>
    <col min="11021" max="11022" width="17.83203125" style="1" bestFit="1" customWidth="1"/>
    <col min="11023" max="11023" width="15.6640625" style="1" bestFit="1" customWidth="1"/>
    <col min="11024" max="11024" width="13.83203125" style="1" bestFit="1" customWidth="1"/>
    <col min="11025" max="11025" width="13.5" style="1" bestFit="1" customWidth="1"/>
    <col min="11026" max="11262" width="10.83203125" style="1"/>
    <col min="11263" max="11263" width="3.5" style="1" customWidth="1"/>
    <col min="11264" max="11264" width="25.6640625" style="1" bestFit="1" customWidth="1"/>
    <col min="11265" max="11265" width="16.83203125" style="1" customWidth="1"/>
    <col min="11266" max="11266" width="17.1640625" style="1" bestFit="1" customWidth="1"/>
    <col min="11267" max="11267" width="19" style="1" bestFit="1" customWidth="1"/>
    <col min="11268" max="11268" width="2.5" style="1" customWidth="1"/>
    <col min="11269" max="11269" width="3" style="1" customWidth="1"/>
    <col min="11270" max="11270" width="38.1640625" style="1" bestFit="1" customWidth="1"/>
    <col min="11271" max="11271" width="3.5" style="1" customWidth="1"/>
    <col min="11272" max="11272" width="18.33203125" style="1" bestFit="1" customWidth="1"/>
    <col min="11273" max="11273" width="15.5" style="1" bestFit="1" customWidth="1"/>
    <col min="11274" max="11274" width="3" style="1" customWidth="1"/>
    <col min="11275" max="11275" width="3.6640625" style="1" customWidth="1"/>
    <col min="11276" max="11276" width="23" style="1" customWidth="1"/>
    <col min="11277" max="11278" width="17.83203125" style="1" bestFit="1" customWidth="1"/>
    <col min="11279" max="11279" width="15.6640625" style="1" bestFit="1" customWidth="1"/>
    <col min="11280" max="11280" width="13.83203125" style="1" bestFit="1" customWidth="1"/>
    <col min="11281" max="11281" width="13.5" style="1" bestFit="1" customWidth="1"/>
    <col min="11282" max="11518" width="10.83203125" style="1"/>
    <col min="11519" max="11519" width="3.5" style="1" customWidth="1"/>
    <col min="11520" max="11520" width="25.6640625" style="1" bestFit="1" customWidth="1"/>
    <col min="11521" max="11521" width="16.83203125" style="1" customWidth="1"/>
    <col min="11522" max="11522" width="17.1640625" style="1" bestFit="1" customWidth="1"/>
    <col min="11523" max="11523" width="19" style="1" bestFit="1" customWidth="1"/>
    <col min="11524" max="11524" width="2.5" style="1" customWidth="1"/>
    <col min="11525" max="11525" width="3" style="1" customWidth="1"/>
    <col min="11526" max="11526" width="38.1640625" style="1" bestFit="1" customWidth="1"/>
    <col min="11527" max="11527" width="3.5" style="1" customWidth="1"/>
    <col min="11528" max="11528" width="18.33203125" style="1" bestFit="1" customWidth="1"/>
    <col min="11529" max="11529" width="15.5" style="1" bestFit="1" customWidth="1"/>
    <col min="11530" max="11530" width="3" style="1" customWidth="1"/>
    <col min="11531" max="11531" width="3.6640625" style="1" customWidth="1"/>
    <col min="11532" max="11532" width="23" style="1" customWidth="1"/>
    <col min="11533" max="11534" width="17.83203125" style="1" bestFit="1" customWidth="1"/>
    <col min="11535" max="11535" width="15.6640625" style="1" bestFit="1" customWidth="1"/>
    <col min="11536" max="11536" width="13.83203125" style="1" bestFit="1" customWidth="1"/>
    <col min="11537" max="11537" width="13.5" style="1" bestFit="1" customWidth="1"/>
    <col min="11538" max="11774" width="10.83203125" style="1"/>
    <col min="11775" max="11775" width="3.5" style="1" customWidth="1"/>
    <col min="11776" max="11776" width="25.6640625" style="1" bestFit="1" customWidth="1"/>
    <col min="11777" max="11777" width="16.83203125" style="1" customWidth="1"/>
    <col min="11778" max="11778" width="17.1640625" style="1" bestFit="1" customWidth="1"/>
    <col min="11779" max="11779" width="19" style="1" bestFit="1" customWidth="1"/>
    <col min="11780" max="11780" width="2.5" style="1" customWidth="1"/>
    <col min="11781" max="11781" width="3" style="1" customWidth="1"/>
    <col min="11782" max="11782" width="38.1640625" style="1" bestFit="1" customWidth="1"/>
    <col min="11783" max="11783" width="3.5" style="1" customWidth="1"/>
    <col min="11784" max="11784" width="18.33203125" style="1" bestFit="1" customWidth="1"/>
    <col min="11785" max="11785" width="15.5" style="1" bestFit="1" customWidth="1"/>
    <col min="11786" max="11786" width="3" style="1" customWidth="1"/>
    <col min="11787" max="11787" width="3.6640625" style="1" customWidth="1"/>
    <col min="11788" max="11788" width="23" style="1" customWidth="1"/>
    <col min="11789" max="11790" width="17.83203125" style="1" bestFit="1" customWidth="1"/>
    <col min="11791" max="11791" width="15.6640625" style="1" bestFit="1" customWidth="1"/>
    <col min="11792" max="11792" width="13.83203125" style="1" bestFit="1" customWidth="1"/>
    <col min="11793" max="11793" width="13.5" style="1" bestFit="1" customWidth="1"/>
    <col min="11794" max="12030" width="10.83203125" style="1"/>
    <col min="12031" max="12031" width="3.5" style="1" customWidth="1"/>
    <col min="12032" max="12032" width="25.6640625" style="1" bestFit="1" customWidth="1"/>
    <col min="12033" max="12033" width="16.83203125" style="1" customWidth="1"/>
    <col min="12034" max="12034" width="17.1640625" style="1" bestFit="1" customWidth="1"/>
    <col min="12035" max="12035" width="19" style="1" bestFit="1" customWidth="1"/>
    <col min="12036" max="12036" width="2.5" style="1" customWidth="1"/>
    <col min="12037" max="12037" width="3" style="1" customWidth="1"/>
    <col min="12038" max="12038" width="38.1640625" style="1" bestFit="1" customWidth="1"/>
    <col min="12039" max="12039" width="3.5" style="1" customWidth="1"/>
    <col min="12040" max="12040" width="18.33203125" style="1" bestFit="1" customWidth="1"/>
    <col min="12041" max="12041" width="15.5" style="1" bestFit="1" customWidth="1"/>
    <col min="12042" max="12042" width="3" style="1" customWidth="1"/>
    <col min="12043" max="12043" width="3.6640625" style="1" customWidth="1"/>
    <col min="12044" max="12044" width="23" style="1" customWidth="1"/>
    <col min="12045" max="12046" width="17.83203125" style="1" bestFit="1" customWidth="1"/>
    <col min="12047" max="12047" width="15.6640625" style="1" bestFit="1" customWidth="1"/>
    <col min="12048" max="12048" width="13.83203125" style="1" bestFit="1" customWidth="1"/>
    <col min="12049" max="12049" width="13.5" style="1" bestFit="1" customWidth="1"/>
    <col min="12050" max="12286" width="10.83203125" style="1"/>
    <col min="12287" max="12287" width="3.5" style="1" customWidth="1"/>
    <col min="12288" max="12288" width="25.6640625" style="1" bestFit="1" customWidth="1"/>
    <col min="12289" max="12289" width="16.83203125" style="1" customWidth="1"/>
    <col min="12290" max="12290" width="17.1640625" style="1" bestFit="1" customWidth="1"/>
    <col min="12291" max="12291" width="19" style="1" bestFit="1" customWidth="1"/>
    <col min="12292" max="12292" width="2.5" style="1" customWidth="1"/>
    <col min="12293" max="12293" width="3" style="1" customWidth="1"/>
    <col min="12294" max="12294" width="38.1640625" style="1" bestFit="1" customWidth="1"/>
    <col min="12295" max="12295" width="3.5" style="1" customWidth="1"/>
    <col min="12296" max="12296" width="18.33203125" style="1" bestFit="1" customWidth="1"/>
    <col min="12297" max="12297" width="15.5" style="1" bestFit="1" customWidth="1"/>
    <col min="12298" max="12298" width="3" style="1" customWidth="1"/>
    <col min="12299" max="12299" width="3.6640625" style="1" customWidth="1"/>
    <col min="12300" max="12300" width="23" style="1" customWidth="1"/>
    <col min="12301" max="12302" width="17.83203125" style="1" bestFit="1" customWidth="1"/>
    <col min="12303" max="12303" width="15.6640625" style="1" bestFit="1" customWidth="1"/>
    <col min="12304" max="12304" width="13.83203125" style="1" bestFit="1" customWidth="1"/>
    <col min="12305" max="12305" width="13.5" style="1" bestFit="1" customWidth="1"/>
    <col min="12306" max="12542" width="10.83203125" style="1"/>
    <col min="12543" max="12543" width="3.5" style="1" customWidth="1"/>
    <col min="12544" max="12544" width="25.6640625" style="1" bestFit="1" customWidth="1"/>
    <col min="12545" max="12545" width="16.83203125" style="1" customWidth="1"/>
    <col min="12546" max="12546" width="17.1640625" style="1" bestFit="1" customWidth="1"/>
    <col min="12547" max="12547" width="19" style="1" bestFit="1" customWidth="1"/>
    <col min="12548" max="12548" width="2.5" style="1" customWidth="1"/>
    <col min="12549" max="12549" width="3" style="1" customWidth="1"/>
    <col min="12550" max="12550" width="38.1640625" style="1" bestFit="1" customWidth="1"/>
    <col min="12551" max="12551" width="3.5" style="1" customWidth="1"/>
    <col min="12552" max="12552" width="18.33203125" style="1" bestFit="1" customWidth="1"/>
    <col min="12553" max="12553" width="15.5" style="1" bestFit="1" customWidth="1"/>
    <col min="12554" max="12554" width="3" style="1" customWidth="1"/>
    <col min="12555" max="12555" width="3.6640625" style="1" customWidth="1"/>
    <col min="12556" max="12556" width="23" style="1" customWidth="1"/>
    <col min="12557" max="12558" width="17.83203125" style="1" bestFit="1" customWidth="1"/>
    <col min="12559" max="12559" width="15.6640625" style="1" bestFit="1" customWidth="1"/>
    <col min="12560" max="12560" width="13.83203125" style="1" bestFit="1" customWidth="1"/>
    <col min="12561" max="12561" width="13.5" style="1" bestFit="1" customWidth="1"/>
    <col min="12562" max="12798" width="10.83203125" style="1"/>
    <col min="12799" max="12799" width="3.5" style="1" customWidth="1"/>
    <col min="12800" max="12800" width="25.6640625" style="1" bestFit="1" customWidth="1"/>
    <col min="12801" max="12801" width="16.83203125" style="1" customWidth="1"/>
    <col min="12802" max="12802" width="17.1640625" style="1" bestFit="1" customWidth="1"/>
    <col min="12803" max="12803" width="19" style="1" bestFit="1" customWidth="1"/>
    <col min="12804" max="12804" width="2.5" style="1" customWidth="1"/>
    <col min="12805" max="12805" width="3" style="1" customWidth="1"/>
    <col min="12806" max="12806" width="38.1640625" style="1" bestFit="1" customWidth="1"/>
    <col min="12807" max="12807" width="3.5" style="1" customWidth="1"/>
    <col min="12808" max="12808" width="18.33203125" style="1" bestFit="1" customWidth="1"/>
    <col min="12809" max="12809" width="15.5" style="1" bestFit="1" customWidth="1"/>
    <col min="12810" max="12810" width="3" style="1" customWidth="1"/>
    <col min="12811" max="12811" width="3.6640625" style="1" customWidth="1"/>
    <col min="12812" max="12812" width="23" style="1" customWidth="1"/>
    <col min="12813" max="12814" width="17.83203125" style="1" bestFit="1" customWidth="1"/>
    <col min="12815" max="12815" width="15.6640625" style="1" bestFit="1" customWidth="1"/>
    <col min="12816" max="12816" width="13.83203125" style="1" bestFit="1" customWidth="1"/>
    <col min="12817" max="12817" width="13.5" style="1" bestFit="1" customWidth="1"/>
    <col min="12818" max="13054" width="10.83203125" style="1"/>
    <col min="13055" max="13055" width="3.5" style="1" customWidth="1"/>
    <col min="13056" max="13056" width="25.6640625" style="1" bestFit="1" customWidth="1"/>
    <col min="13057" max="13057" width="16.83203125" style="1" customWidth="1"/>
    <col min="13058" max="13058" width="17.1640625" style="1" bestFit="1" customWidth="1"/>
    <col min="13059" max="13059" width="19" style="1" bestFit="1" customWidth="1"/>
    <col min="13060" max="13060" width="2.5" style="1" customWidth="1"/>
    <col min="13061" max="13061" width="3" style="1" customWidth="1"/>
    <col min="13062" max="13062" width="38.1640625" style="1" bestFit="1" customWidth="1"/>
    <col min="13063" max="13063" width="3.5" style="1" customWidth="1"/>
    <col min="13064" max="13064" width="18.33203125" style="1" bestFit="1" customWidth="1"/>
    <col min="13065" max="13065" width="15.5" style="1" bestFit="1" customWidth="1"/>
    <col min="13066" max="13066" width="3" style="1" customWidth="1"/>
    <col min="13067" max="13067" width="3.6640625" style="1" customWidth="1"/>
    <col min="13068" max="13068" width="23" style="1" customWidth="1"/>
    <col min="13069" max="13070" width="17.83203125" style="1" bestFit="1" customWidth="1"/>
    <col min="13071" max="13071" width="15.6640625" style="1" bestFit="1" customWidth="1"/>
    <col min="13072" max="13072" width="13.83203125" style="1" bestFit="1" customWidth="1"/>
    <col min="13073" max="13073" width="13.5" style="1" bestFit="1" customWidth="1"/>
    <col min="13074" max="13310" width="10.83203125" style="1"/>
    <col min="13311" max="13311" width="3.5" style="1" customWidth="1"/>
    <col min="13312" max="13312" width="25.6640625" style="1" bestFit="1" customWidth="1"/>
    <col min="13313" max="13313" width="16.83203125" style="1" customWidth="1"/>
    <col min="13314" max="13314" width="17.1640625" style="1" bestFit="1" customWidth="1"/>
    <col min="13315" max="13315" width="19" style="1" bestFit="1" customWidth="1"/>
    <col min="13316" max="13316" width="2.5" style="1" customWidth="1"/>
    <col min="13317" max="13317" width="3" style="1" customWidth="1"/>
    <col min="13318" max="13318" width="38.1640625" style="1" bestFit="1" customWidth="1"/>
    <col min="13319" max="13319" width="3.5" style="1" customWidth="1"/>
    <col min="13320" max="13320" width="18.33203125" style="1" bestFit="1" customWidth="1"/>
    <col min="13321" max="13321" width="15.5" style="1" bestFit="1" customWidth="1"/>
    <col min="13322" max="13322" width="3" style="1" customWidth="1"/>
    <col min="13323" max="13323" width="3.6640625" style="1" customWidth="1"/>
    <col min="13324" max="13324" width="23" style="1" customWidth="1"/>
    <col min="13325" max="13326" width="17.83203125" style="1" bestFit="1" customWidth="1"/>
    <col min="13327" max="13327" width="15.6640625" style="1" bestFit="1" customWidth="1"/>
    <col min="13328" max="13328" width="13.83203125" style="1" bestFit="1" customWidth="1"/>
    <col min="13329" max="13329" width="13.5" style="1" bestFit="1" customWidth="1"/>
    <col min="13330" max="13566" width="10.83203125" style="1"/>
    <col min="13567" max="13567" width="3.5" style="1" customWidth="1"/>
    <col min="13568" max="13568" width="25.6640625" style="1" bestFit="1" customWidth="1"/>
    <col min="13569" max="13569" width="16.83203125" style="1" customWidth="1"/>
    <col min="13570" max="13570" width="17.1640625" style="1" bestFit="1" customWidth="1"/>
    <col min="13571" max="13571" width="19" style="1" bestFit="1" customWidth="1"/>
    <col min="13572" max="13572" width="2.5" style="1" customWidth="1"/>
    <col min="13573" max="13573" width="3" style="1" customWidth="1"/>
    <col min="13574" max="13574" width="38.1640625" style="1" bestFit="1" customWidth="1"/>
    <col min="13575" max="13575" width="3.5" style="1" customWidth="1"/>
    <col min="13576" max="13576" width="18.33203125" style="1" bestFit="1" customWidth="1"/>
    <col min="13577" max="13577" width="15.5" style="1" bestFit="1" customWidth="1"/>
    <col min="13578" max="13578" width="3" style="1" customWidth="1"/>
    <col min="13579" max="13579" width="3.6640625" style="1" customWidth="1"/>
    <col min="13580" max="13580" width="23" style="1" customWidth="1"/>
    <col min="13581" max="13582" width="17.83203125" style="1" bestFit="1" customWidth="1"/>
    <col min="13583" max="13583" width="15.6640625" style="1" bestFit="1" customWidth="1"/>
    <col min="13584" max="13584" width="13.83203125" style="1" bestFit="1" customWidth="1"/>
    <col min="13585" max="13585" width="13.5" style="1" bestFit="1" customWidth="1"/>
    <col min="13586" max="13822" width="10.83203125" style="1"/>
    <col min="13823" max="13823" width="3.5" style="1" customWidth="1"/>
    <col min="13824" max="13824" width="25.6640625" style="1" bestFit="1" customWidth="1"/>
    <col min="13825" max="13825" width="16.83203125" style="1" customWidth="1"/>
    <col min="13826" max="13826" width="17.1640625" style="1" bestFit="1" customWidth="1"/>
    <col min="13827" max="13827" width="19" style="1" bestFit="1" customWidth="1"/>
    <col min="13828" max="13828" width="2.5" style="1" customWidth="1"/>
    <col min="13829" max="13829" width="3" style="1" customWidth="1"/>
    <col min="13830" max="13830" width="38.1640625" style="1" bestFit="1" customWidth="1"/>
    <col min="13831" max="13831" width="3.5" style="1" customWidth="1"/>
    <col min="13832" max="13832" width="18.33203125" style="1" bestFit="1" customWidth="1"/>
    <col min="13833" max="13833" width="15.5" style="1" bestFit="1" customWidth="1"/>
    <col min="13834" max="13834" width="3" style="1" customWidth="1"/>
    <col min="13835" max="13835" width="3.6640625" style="1" customWidth="1"/>
    <col min="13836" max="13836" width="23" style="1" customWidth="1"/>
    <col min="13837" max="13838" width="17.83203125" style="1" bestFit="1" customWidth="1"/>
    <col min="13839" max="13839" width="15.6640625" style="1" bestFit="1" customWidth="1"/>
    <col min="13840" max="13840" width="13.83203125" style="1" bestFit="1" customWidth="1"/>
    <col min="13841" max="13841" width="13.5" style="1" bestFit="1" customWidth="1"/>
    <col min="13842" max="14078" width="10.83203125" style="1"/>
    <col min="14079" max="14079" width="3.5" style="1" customWidth="1"/>
    <col min="14080" max="14080" width="25.6640625" style="1" bestFit="1" customWidth="1"/>
    <col min="14081" max="14081" width="16.83203125" style="1" customWidth="1"/>
    <col min="14082" max="14082" width="17.1640625" style="1" bestFit="1" customWidth="1"/>
    <col min="14083" max="14083" width="19" style="1" bestFit="1" customWidth="1"/>
    <col min="14084" max="14084" width="2.5" style="1" customWidth="1"/>
    <col min="14085" max="14085" width="3" style="1" customWidth="1"/>
    <col min="14086" max="14086" width="38.1640625" style="1" bestFit="1" customWidth="1"/>
    <col min="14087" max="14087" width="3.5" style="1" customWidth="1"/>
    <col min="14088" max="14088" width="18.33203125" style="1" bestFit="1" customWidth="1"/>
    <col min="14089" max="14089" width="15.5" style="1" bestFit="1" customWidth="1"/>
    <col min="14090" max="14090" width="3" style="1" customWidth="1"/>
    <col min="14091" max="14091" width="3.6640625" style="1" customWidth="1"/>
    <col min="14092" max="14092" width="23" style="1" customWidth="1"/>
    <col min="14093" max="14094" width="17.83203125" style="1" bestFit="1" customWidth="1"/>
    <col min="14095" max="14095" width="15.6640625" style="1" bestFit="1" customWidth="1"/>
    <col min="14096" max="14096" width="13.83203125" style="1" bestFit="1" customWidth="1"/>
    <col min="14097" max="14097" width="13.5" style="1" bestFit="1" customWidth="1"/>
    <col min="14098" max="14334" width="10.83203125" style="1"/>
    <col min="14335" max="14335" width="3.5" style="1" customWidth="1"/>
    <col min="14336" max="14336" width="25.6640625" style="1" bestFit="1" customWidth="1"/>
    <col min="14337" max="14337" width="16.83203125" style="1" customWidth="1"/>
    <col min="14338" max="14338" width="17.1640625" style="1" bestFit="1" customWidth="1"/>
    <col min="14339" max="14339" width="19" style="1" bestFit="1" customWidth="1"/>
    <col min="14340" max="14340" width="2.5" style="1" customWidth="1"/>
    <col min="14341" max="14341" width="3" style="1" customWidth="1"/>
    <col min="14342" max="14342" width="38.1640625" style="1" bestFit="1" customWidth="1"/>
    <col min="14343" max="14343" width="3.5" style="1" customWidth="1"/>
    <col min="14344" max="14344" width="18.33203125" style="1" bestFit="1" customWidth="1"/>
    <col min="14345" max="14345" width="15.5" style="1" bestFit="1" customWidth="1"/>
    <col min="14346" max="14346" width="3" style="1" customWidth="1"/>
    <col min="14347" max="14347" width="3.6640625" style="1" customWidth="1"/>
    <col min="14348" max="14348" width="23" style="1" customWidth="1"/>
    <col min="14349" max="14350" width="17.83203125" style="1" bestFit="1" customWidth="1"/>
    <col min="14351" max="14351" width="15.6640625" style="1" bestFit="1" customWidth="1"/>
    <col min="14352" max="14352" width="13.83203125" style="1" bestFit="1" customWidth="1"/>
    <col min="14353" max="14353" width="13.5" style="1" bestFit="1" customWidth="1"/>
    <col min="14354" max="14590" width="10.83203125" style="1"/>
    <col min="14591" max="14591" width="3.5" style="1" customWidth="1"/>
    <col min="14592" max="14592" width="25.6640625" style="1" bestFit="1" customWidth="1"/>
    <col min="14593" max="14593" width="16.83203125" style="1" customWidth="1"/>
    <col min="14594" max="14594" width="17.1640625" style="1" bestFit="1" customWidth="1"/>
    <col min="14595" max="14595" width="19" style="1" bestFit="1" customWidth="1"/>
    <col min="14596" max="14596" width="2.5" style="1" customWidth="1"/>
    <col min="14597" max="14597" width="3" style="1" customWidth="1"/>
    <col min="14598" max="14598" width="38.1640625" style="1" bestFit="1" customWidth="1"/>
    <col min="14599" max="14599" width="3.5" style="1" customWidth="1"/>
    <col min="14600" max="14600" width="18.33203125" style="1" bestFit="1" customWidth="1"/>
    <col min="14601" max="14601" width="15.5" style="1" bestFit="1" customWidth="1"/>
    <col min="14602" max="14602" width="3" style="1" customWidth="1"/>
    <col min="14603" max="14603" width="3.6640625" style="1" customWidth="1"/>
    <col min="14604" max="14604" width="23" style="1" customWidth="1"/>
    <col min="14605" max="14606" width="17.83203125" style="1" bestFit="1" customWidth="1"/>
    <col min="14607" max="14607" width="15.6640625" style="1" bestFit="1" customWidth="1"/>
    <col min="14608" max="14608" width="13.83203125" style="1" bestFit="1" customWidth="1"/>
    <col min="14609" max="14609" width="13.5" style="1" bestFit="1" customWidth="1"/>
    <col min="14610" max="14846" width="10.83203125" style="1"/>
    <col min="14847" max="14847" width="3.5" style="1" customWidth="1"/>
    <col min="14848" max="14848" width="25.6640625" style="1" bestFit="1" customWidth="1"/>
    <col min="14849" max="14849" width="16.83203125" style="1" customWidth="1"/>
    <col min="14850" max="14850" width="17.1640625" style="1" bestFit="1" customWidth="1"/>
    <col min="14851" max="14851" width="19" style="1" bestFit="1" customWidth="1"/>
    <col min="14852" max="14852" width="2.5" style="1" customWidth="1"/>
    <col min="14853" max="14853" width="3" style="1" customWidth="1"/>
    <col min="14854" max="14854" width="38.1640625" style="1" bestFit="1" customWidth="1"/>
    <col min="14855" max="14855" width="3.5" style="1" customWidth="1"/>
    <col min="14856" max="14856" width="18.33203125" style="1" bestFit="1" customWidth="1"/>
    <col min="14857" max="14857" width="15.5" style="1" bestFit="1" customWidth="1"/>
    <col min="14858" max="14858" width="3" style="1" customWidth="1"/>
    <col min="14859" max="14859" width="3.6640625" style="1" customWidth="1"/>
    <col min="14860" max="14860" width="23" style="1" customWidth="1"/>
    <col min="14861" max="14862" width="17.83203125" style="1" bestFit="1" customWidth="1"/>
    <col min="14863" max="14863" width="15.6640625" style="1" bestFit="1" customWidth="1"/>
    <col min="14864" max="14864" width="13.83203125" style="1" bestFit="1" customWidth="1"/>
    <col min="14865" max="14865" width="13.5" style="1" bestFit="1" customWidth="1"/>
    <col min="14866" max="15102" width="10.83203125" style="1"/>
    <col min="15103" max="15103" width="3.5" style="1" customWidth="1"/>
    <col min="15104" max="15104" width="25.6640625" style="1" bestFit="1" customWidth="1"/>
    <col min="15105" max="15105" width="16.83203125" style="1" customWidth="1"/>
    <col min="15106" max="15106" width="17.1640625" style="1" bestFit="1" customWidth="1"/>
    <col min="15107" max="15107" width="19" style="1" bestFit="1" customWidth="1"/>
    <col min="15108" max="15108" width="2.5" style="1" customWidth="1"/>
    <col min="15109" max="15109" width="3" style="1" customWidth="1"/>
    <col min="15110" max="15110" width="38.1640625" style="1" bestFit="1" customWidth="1"/>
    <col min="15111" max="15111" width="3.5" style="1" customWidth="1"/>
    <col min="15112" max="15112" width="18.33203125" style="1" bestFit="1" customWidth="1"/>
    <col min="15113" max="15113" width="15.5" style="1" bestFit="1" customWidth="1"/>
    <col min="15114" max="15114" width="3" style="1" customWidth="1"/>
    <col min="15115" max="15115" width="3.6640625" style="1" customWidth="1"/>
    <col min="15116" max="15116" width="23" style="1" customWidth="1"/>
    <col min="15117" max="15118" width="17.83203125" style="1" bestFit="1" customWidth="1"/>
    <col min="15119" max="15119" width="15.6640625" style="1" bestFit="1" customWidth="1"/>
    <col min="15120" max="15120" width="13.83203125" style="1" bestFit="1" customWidth="1"/>
    <col min="15121" max="15121" width="13.5" style="1" bestFit="1" customWidth="1"/>
    <col min="15122" max="15358" width="10.83203125" style="1"/>
    <col min="15359" max="15359" width="3.5" style="1" customWidth="1"/>
    <col min="15360" max="15360" width="25.6640625" style="1" bestFit="1" customWidth="1"/>
    <col min="15361" max="15361" width="16.83203125" style="1" customWidth="1"/>
    <col min="15362" max="15362" width="17.1640625" style="1" bestFit="1" customWidth="1"/>
    <col min="15363" max="15363" width="19" style="1" bestFit="1" customWidth="1"/>
    <col min="15364" max="15364" width="2.5" style="1" customWidth="1"/>
    <col min="15365" max="15365" width="3" style="1" customWidth="1"/>
    <col min="15366" max="15366" width="38.1640625" style="1" bestFit="1" customWidth="1"/>
    <col min="15367" max="15367" width="3.5" style="1" customWidth="1"/>
    <col min="15368" max="15368" width="18.33203125" style="1" bestFit="1" customWidth="1"/>
    <col min="15369" max="15369" width="15.5" style="1" bestFit="1" customWidth="1"/>
    <col min="15370" max="15370" width="3" style="1" customWidth="1"/>
    <col min="15371" max="15371" width="3.6640625" style="1" customWidth="1"/>
    <col min="15372" max="15372" width="23" style="1" customWidth="1"/>
    <col min="15373" max="15374" width="17.83203125" style="1" bestFit="1" customWidth="1"/>
    <col min="15375" max="15375" width="15.6640625" style="1" bestFit="1" customWidth="1"/>
    <col min="15376" max="15376" width="13.83203125" style="1" bestFit="1" customWidth="1"/>
    <col min="15377" max="15377" width="13.5" style="1" bestFit="1" customWidth="1"/>
    <col min="15378" max="15614" width="10.83203125" style="1"/>
    <col min="15615" max="15615" width="3.5" style="1" customWidth="1"/>
    <col min="15616" max="15616" width="25.6640625" style="1" bestFit="1" customWidth="1"/>
    <col min="15617" max="15617" width="16.83203125" style="1" customWidth="1"/>
    <col min="15618" max="15618" width="17.1640625" style="1" bestFit="1" customWidth="1"/>
    <col min="15619" max="15619" width="19" style="1" bestFit="1" customWidth="1"/>
    <col min="15620" max="15620" width="2.5" style="1" customWidth="1"/>
    <col min="15621" max="15621" width="3" style="1" customWidth="1"/>
    <col min="15622" max="15622" width="38.1640625" style="1" bestFit="1" customWidth="1"/>
    <col min="15623" max="15623" width="3.5" style="1" customWidth="1"/>
    <col min="15624" max="15624" width="18.33203125" style="1" bestFit="1" customWidth="1"/>
    <col min="15625" max="15625" width="15.5" style="1" bestFit="1" customWidth="1"/>
    <col min="15626" max="15626" width="3" style="1" customWidth="1"/>
    <col min="15627" max="15627" width="3.6640625" style="1" customWidth="1"/>
    <col min="15628" max="15628" width="23" style="1" customWidth="1"/>
    <col min="15629" max="15630" width="17.83203125" style="1" bestFit="1" customWidth="1"/>
    <col min="15631" max="15631" width="15.6640625" style="1" bestFit="1" customWidth="1"/>
    <col min="15632" max="15632" width="13.83203125" style="1" bestFit="1" customWidth="1"/>
    <col min="15633" max="15633" width="13.5" style="1" bestFit="1" customWidth="1"/>
    <col min="15634" max="15870" width="10.83203125" style="1"/>
    <col min="15871" max="15871" width="3.5" style="1" customWidth="1"/>
    <col min="15872" max="15872" width="25.6640625" style="1" bestFit="1" customWidth="1"/>
    <col min="15873" max="15873" width="16.83203125" style="1" customWidth="1"/>
    <col min="15874" max="15874" width="17.1640625" style="1" bestFit="1" customWidth="1"/>
    <col min="15875" max="15875" width="19" style="1" bestFit="1" customWidth="1"/>
    <col min="15876" max="15876" width="2.5" style="1" customWidth="1"/>
    <col min="15877" max="15877" width="3" style="1" customWidth="1"/>
    <col min="15878" max="15878" width="38.1640625" style="1" bestFit="1" customWidth="1"/>
    <col min="15879" max="15879" width="3.5" style="1" customWidth="1"/>
    <col min="15880" max="15880" width="18.33203125" style="1" bestFit="1" customWidth="1"/>
    <col min="15881" max="15881" width="15.5" style="1" bestFit="1" customWidth="1"/>
    <col min="15882" max="15882" width="3" style="1" customWidth="1"/>
    <col min="15883" max="15883" width="3.6640625" style="1" customWidth="1"/>
    <col min="15884" max="15884" width="23" style="1" customWidth="1"/>
    <col min="15885" max="15886" width="17.83203125" style="1" bestFit="1" customWidth="1"/>
    <col min="15887" max="15887" width="15.6640625" style="1" bestFit="1" customWidth="1"/>
    <col min="15888" max="15888" width="13.83203125" style="1" bestFit="1" customWidth="1"/>
    <col min="15889" max="15889" width="13.5" style="1" bestFit="1" customWidth="1"/>
    <col min="15890" max="16126" width="10.83203125" style="1"/>
    <col min="16127" max="16127" width="3.5" style="1" customWidth="1"/>
    <col min="16128" max="16128" width="25.6640625" style="1" bestFit="1" customWidth="1"/>
    <col min="16129" max="16129" width="16.83203125" style="1" customWidth="1"/>
    <col min="16130" max="16130" width="17.1640625" style="1" bestFit="1" customWidth="1"/>
    <col min="16131" max="16131" width="19" style="1" bestFit="1" customWidth="1"/>
    <col min="16132" max="16132" width="2.5" style="1" customWidth="1"/>
    <col min="16133" max="16133" width="3" style="1" customWidth="1"/>
    <col min="16134" max="16134" width="38.1640625" style="1" bestFit="1" customWidth="1"/>
    <col min="16135" max="16135" width="3.5" style="1" customWidth="1"/>
    <col min="16136" max="16136" width="18.33203125" style="1" bestFit="1" customWidth="1"/>
    <col min="16137" max="16137" width="15.5" style="1" bestFit="1" customWidth="1"/>
    <col min="16138" max="16138" width="3" style="1" customWidth="1"/>
    <col min="16139" max="16139" width="3.6640625" style="1" customWidth="1"/>
    <col min="16140" max="16140" width="23" style="1" customWidth="1"/>
    <col min="16141" max="16142" width="17.83203125" style="1" bestFit="1" customWidth="1"/>
    <col min="16143" max="16143" width="15.6640625" style="1" bestFit="1" customWidth="1"/>
    <col min="16144" max="16144" width="13.83203125" style="1" bestFit="1" customWidth="1"/>
    <col min="16145" max="16145" width="13.5" style="1" bestFit="1" customWidth="1"/>
    <col min="16146" max="16384" width="10.83203125" style="1"/>
  </cols>
  <sheetData>
    <row r="1" spans="1:16" ht="53" customHeight="1" x14ac:dyDescent="0.2">
      <c r="A1" s="10"/>
      <c r="B1" s="10"/>
      <c r="C1" s="10"/>
      <c r="D1" s="10"/>
      <c r="E1" s="10"/>
      <c r="F1" s="10"/>
      <c r="G1" s="10"/>
      <c r="H1" s="10"/>
      <c r="I1" s="10"/>
      <c r="J1"/>
      <c r="K1"/>
      <c r="L1"/>
    </row>
    <row r="2" spans="1:16" ht="17" customHeight="1" x14ac:dyDescent="0.2">
      <c r="A2" s="10"/>
      <c r="B2" s="292"/>
      <c r="C2" s="293"/>
      <c r="D2" s="293"/>
      <c r="E2" s="293"/>
      <c r="F2" s="293"/>
      <c r="G2" s="293"/>
      <c r="H2" s="293"/>
      <c r="I2" s="293"/>
      <c r="J2" s="294"/>
      <c r="K2"/>
      <c r="L2"/>
      <c r="M2" s="2"/>
      <c r="N2" s="2"/>
    </row>
    <row r="3" spans="1:16" ht="30" customHeight="1" x14ac:dyDescent="0.2">
      <c r="A3" s="10"/>
      <c r="B3" s="331"/>
      <c r="C3" s="332"/>
      <c r="D3" s="332"/>
      <c r="E3" s="332"/>
      <c r="F3" s="332"/>
      <c r="G3" s="332"/>
      <c r="H3" s="332"/>
      <c r="I3" s="332"/>
      <c r="J3" s="294"/>
      <c r="K3"/>
      <c r="L3"/>
      <c r="P3" s="4"/>
    </row>
    <row r="4" spans="1:16" ht="17" customHeight="1" x14ac:dyDescent="0.2">
      <c r="A4" s="10"/>
      <c r="B4" s="293"/>
      <c r="C4" s="293"/>
      <c r="D4" s="293"/>
      <c r="E4" s="293"/>
      <c r="F4" s="293"/>
      <c r="G4" s="293"/>
      <c r="H4" s="293"/>
      <c r="I4" s="293"/>
      <c r="J4" s="294"/>
      <c r="K4"/>
      <c r="L4"/>
    </row>
    <row r="5" spans="1:16" x14ac:dyDescent="0.2">
      <c r="A5" s="10"/>
      <c r="B5" s="295"/>
      <c r="C5" s="295"/>
      <c r="D5" s="295"/>
      <c r="E5" s="295"/>
      <c r="F5" s="295"/>
      <c r="G5" s="295"/>
      <c r="H5" s="295"/>
      <c r="I5" s="295"/>
      <c r="J5" s="294"/>
      <c r="K5"/>
      <c r="L5"/>
    </row>
    <row r="6" spans="1:16" x14ac:dyDescent="0.2">
      <c r="A6" s="10"/>
      <c r="B6" s="296"/>
      <c r="C6" s="297"/>
      <c r="D6" s="297"/>
      <c r="E6" s="297"/>
      <c r="F6" s="297"/>
      <c r="G6" s="297"/>
      <c r="H6" s="297"/>
      <c r="I6" s="297"/>
      <c r="J6" s="294"/>
      <c r="K6"/>
      <c r="L6"/>
    </row>
    <row r="7" spans="1:16" x14ac:dyDescent="0.2">
      <c r="A7" s="10"/>
      <c r="B7" s="298"/>
      <c r="C7" s="299"/>
      <c r="D7" s="300"/>
      <c r="E7" s="301"/>
      <c r="F7" s="298"/>
      <c r="G7" s="298"/>
      <c r="H7" s="298"/>
      <c r="I7" s="298"/>
      <c r="J7" s="294"/>
      <c r="K7"/>
      <c r="L7"/>
    </row>
    <row r="8" spans="1:16" x14ac:dyDescent="0.2">
      <c r="A8" s="10"/>
      <c r="B8" s="298"/>
      <c r="C8" s="299"/>
      <c r="D8" s="300"/>
      <c r="E8" s="301"/>
      <c r="F8" s="298"/>
      <c r="G8" s="298"/>
      <c r="H8" s="298"/>
      <c r="I8" s="298"/>
      <c r="J8" s="294"/>
      <c r="K8"/>
      <c r="L8"/>
    </row>
    <row r="9" spans="1:16" x14ac:dyDescent="0.2">
      <c r="A9" s="10"/>
      <c r="B9" s="298"/>
      <c r="C9" s="299"/>
      <c r="D9" s="300"/>
      <c r="E9" s="301"/>
      <c r="F9" s="298"/>
      <c r="G9" s="298"/>
      <c r="H9" s="298"/>
      <c r="I9" s="298"/>
      <c r="J9" s="294"/>
      <c r="K9"/>
      <c r="L9"/>
    </row>
    <row r="10" spans="1:16" x14ac:dyDescent="0.2">
      <c r="A10" s="10"/>
      <c r="B10" s="298"/>
      <c r="C10" s="299"/>
      <c r="D10" s="300"/>
      <c r="E10" s="301"/>
      <c r="F10" s="298"/>
      <c r="G10" s="298"/>
      <c r="H10" s="298"/>
      <c r="I10" s="298"/>
      <c r="J10" s="294"/>
      <c r="K10"/>
      <c r="L10"/>
      <c r="M10" s="3"/>
    </row>
    <row r="11" spans="1:16" x14ac:dyDescent="0.2">
      <c r="A11" s="10"/>
      <c r="B11" s="302"/>
      <c r="C11" s="303"/>
      <c r="D11" s="304"/>
      <c r="E11" s="305"/>
      <c r="F11" s="302"/>
      <c r="G11" s="302"/>
      <c r="H11" s="302"/>
      <c r="I11" s="302"/>
      <c r="J11" s="294"/>
      <c r="K11"/>
      <c r="L11"/>
      <c r="M11" s="3"/>
    </row>
    <row r="12" spans="1:16" x14ac:dyDescent="0.2">
      <c r="A12" s="10"/>
      <c r="B12" s="298"/>
      <c r="C12" s="298"/>
      <c r="D12" s="298"/>
      <c r="E12" s="298"/>
      <c r="F12" s="298"/>
      <c r="G12" s="298"/>
      <c r="H12" s="298"/>
      <c r="I12" s="298"/>
      <c r="J12" s="294"/>
      <c r="K12"/>
      <c r="L12"/>
      <c r="M12" s="3"/>
    </row>
    <row r="13" spans="1:16" x14ac:dyDescent="0.2">
      <c r="A13" s="10"/>
      <c r="B13" s="295"/>
      <c r="C13" s="295"/>
      <c r="D13" s="295"/>
      <c r="E13" s="295"/>
      <c r="F13" s="295"/>
      <c r="G13" s="295"/>
      <c r="H13" s="295"/>
      <c r="I13" s="295"/>
      <c r="J13" s="294"/>
      <c r="K13"/>
      <c r="L13"/>
    </row>
    <row r="14" spans="1:16" x14ac:dyDescent="0.2">
      <c r="A14" s="10"/>
      <c r="B14" s="296"/>
      <c r="C14" s="297"/>
      <c r="D14" s="297"/>
      <c r="E14" s="297"/>
      <c r="F14" s="297"/>
      <c r="G14" s="297"/>
      <c r="H14" s="297"/>
      <c r="I14" s="297"/>
      <c r="J14" s="294"/>
      <c r="K14"/>
      <c r="L14"/>
      <c r="M14" s="3"/>
    </row>
    <row r="15" spans="1:16" x14ac:dyDescent="0.2">
      <c r="A15" s="10"/>
      <c r="B15" s="298"/>
      <c r="C15" s="306"/>
      <c r="D15" s="299"/>
      <c r="E15" s="298"/>
      <c r="F15" s="298"/>
      <c r="G15" s="298"/>
      <c r="H15" s="298"/>
      <c r="I15" s="298"/>
      <c r="J15" s="294"/>
      <c r="K15"/>
      <c r="L15"/>
      <c r="M15" s="3"/>
    </row>
    <row r="16" spans="1:16" x14ac:dyDescent="0.2">
      <c r="A16" s="10"/>
      <c r="B16" s="298"/>
      <c r="C16" s="306"/>
      <c r="D16" s="299"/>
      <c r="E16" s="298"/>
      <c r="F16" s="298"/>
      <c r="G16" s="298"/>
      <c r="H16" s="298"/>
      <c r="I16" s="298"/>
      <c r="J16" s="294"/>
      <c r="K16"/>
      <c r="L16"/>
    </row>
    <row r="17" spans="1:13" x14ac:dyDescent="0.2">
      <c r="A17" s="10"/>
      <c r="B17" s="298"/>
      <c r="C17" s="306"/>
      <c r="D17" s="299"/>
      <c r="E17" s="298"/>
      <c r="F17" s="298"/>
      <c r="G17" s="298"/>
      <c r="H17" s="298"/>
      <c r="I17" s="298"/>
      <c r="J17" s="294"/>
      <c r="K17"/>
      <c r="L17"/>
      <c r="M17" s="3"/>
    </row>
    <row r="18" spans="1:13" x14ac:dyDescent="0.2">
      <c r="A18" s="10"/>
      <c r="B18" s="298"/>
      <c r="C18" s="306"/>
      <c r="D18" s="299"/>
      <c r="E18" s="298"/>
      <c r="F18" s="298"/>
      <c r="G18" s="298"/>
      <c r="H18" s="298"/>
      <c r="I18" s="298"/>
      <c r="J18" s="294"/>
      <c r="K18"/>
      <c r="L18"/>
      <c r="M18" s="3"/>
    </row>
    <row r="19" spans="1:13" x14ac:dyDescent="0.2">
      <c r="A19" s="10"/>
      <c r="B19" s="298"/>
      <c r="C19" s="298"/>
      <c r="D19" s="298"/>
      <c r="E19" s="298"/>
      <c r="F19" s="298"/>
      <c r="G19" s="298"/>
      <c r="H19" s="298"/>
      <c r="I19" s="298"/>
      <c r="J19" s="294"/>
      <c r="K19"/>
      <c r="L19"/>
    </row>
    <row r="20" spans="1:13" x14ac:dyDescent="0.2">
      <c r="A20" s="10"/>
      <c r="B20" s="295"/>
      <c r="C20" s="295"/>
      <c r="D20" s="295"/>
      <c r="E20" s="295"/>
      <c r="F20" s="295"/>
      <c r="G20" s="295"/>
      <c r="H20" s="295"/>
      <c r="I20" s="295"/>
      <c r="J20" s="294"/>
      <c r="K20"/>
      <c r="L20"/>
    </row>
    <row r="21" spans="1:13" x14ac:dyDescent="0.2">
      <c r="A21" s="10"/>
      <c r="B21" s="296"/>
      <c r="C21" s="297"/>
      <c r="D21" s="297"/>
      <c r="E21" s="297"/>
      <c r="F21" s="297"/>
      <c r="G21" s="297"/>
      <c r="H21" s="297"/>
      <c r="I21" s="297"/>
      <c r="J21" s="294"/>
      <c r="K21"/>
      <c r="L21"/>
    </row>
    <row r="22" spans="1:13" x14ac:dyDescent="0.2">
      <c r="A22" s="10"/>
      <c r="B22" s="298"/>
      <c r="C22" s="299"/>
      <c r="D22" s="300"/>
      <c r="E22" s="298"/>
      <c r="F22" s="298"/>
      <c r="G22" s="298"/>
      <c r="H22" s="298"/>
      <c r="I22" s="298"/>
      <c r="J22" s="294"/>
      <c r="K22"/>
      <c r="L22"/>
    </row>
    <row r="23" spans="1:13" x14ac:dyDescent="0.2">
      <c r="A23" s="10"/>
      <c r="B23" s="298"/>
      <c r="C23" s="299"/>
      <c r="D23" s="300"/>
      <c r="E23" s="298"/>
      <c r="F23" s="298"/>
      <c r="G23" s="298"/>
      <c r="H23" s="298"/>
      <c r="I23" s="298"/>
      <c r="J23" s="294"/>
      <c r="K23"/>
      <c r="L23"/>
    </row>
    <row r="24" spans="1:13" x14ac:dyDescent="0.2">
      <c r="A24" s="10"/>
      <c r="B24" s="298"/>
      <c r="C24" s="299"/>
      <c r="D24" s="300"/>
      <c r="E24" s="298"/>
      <c r="F24" s="298"/>
      <c r="G24" s="298"/>
      <c r="H24" s="298"/>
      <c r="I24" s="298"/>
      <c r="J24" s="294"/>
      <c r="K24"/>
      <c r="L24"/>
    </row>
    <row r="25" spans="1:13" x14ac:dyDescent="0.2">
      <c r="A25" s="10"/>
      <c r="B25" s="298"/>
      <c r="C25" s="299"/>
      <c r="D25" s="300"/>
      <c r="E25" s="298"/>
      <c r="F25" s="298"/>
      <c r="G25" s="298"/>
      <c r="H25" s="298"/>
      <c r="I25" s="298"/>
      <c r="J25" s="294"/>
      <c r="K25"/>
      <c r="L25"/>
    </row>
    <row r="26" spans="1:13" x14ac:dyDescent="0.2">
      <c r="A26" s="10"/>
      <c r="B26" s="298"/>
      <c r="C26" s="299"/>
      <c r="D26" s="300"/>
      <c r="E26" s="298"/>
      <c r="F26" s="298"/>
      <c r="G26" s="298"/>
      <c r="H26" s="298"/>
      <c r="I26" s="298"/>
      <c r="J26" s="294"/>
      <c r="K26"/>
      <c r="L26"/>
    </row>
    <row r="27" spans="1:13" x14ac:dyDescent="0.2">
      <c r="A27" s="10"/>
      <c r="B27" s="302"/>
      <c r="C27" s="303"/>
      <c r="D27" s="304"/>
      <c r="E27" s="302"/>
      <c r="F27" s="302"/>
      <c r="G27" s="302"/>
      <c r="H27" s="302"/>
      <c r="I27" s="302"/>
      <c r="J27" s="294"/>
      <c r="K27"/>
      <c r="L27"/>
    </row>
    <row r="28" spans="1:13" x14ac:dyDescent="0.2">
      <c r="A28" s="10"/>
      <c r="B28" s="298"/>
      <c r="C28" s="306"/>
      <c r="D28" s="298"/>
      <c r="E28" s="298"/>
      <c r="F28" s="298"/>
      <c r="G28" s="298"/>
      <c r="H28" s="298"/>
      <c r="I28" s="298"/>
      <c r="J28" s="294"/>
      <c r="K28"/>
      <c r="L28"/>
    </row>
    <row r="29" spans="1:13" x14ac:dyDescent="0.2">
      <c r="A29" s="10"/>
      <c r="B29" s="298"/>
      <c r="C29" s="298"/>
      <c r="D29" s="298"/>
      <c r="E29" s="298"/>
      <c r="F29" s="298"/>
      <c r="G29" s="298"/>
      <c r="H29" s="298"/>
      <c r="I29" s="298"/>
      <c r="J29" s="294"/>
      <c r="K29"/>
      <c r="L29"/>
    </row>
    <row r="30" spans="1:13" x14ac:dyDescent="0.2">
      <c r="A30" s="10"/>
      <c r="B30" s="295"/>
      <c r="C30" s="295"/>
      <c r="D30" s="295"/>
      <c r="E30" s="295"/>
      <c r="F30" s="295"/>
      <c r="G30" s="295"/>
      <c r="H30" s="295"/>
      <c r="I30" s="295"/>
      <c r="J30" s="294"/>
      <c r="K30"/>
      <c r="L30"/>
    </row>
    <row r="31" spans="1:13" x14ac:dyDescent="0.2">
      <c r="A31" s="10"/>
      <c r="B31" s="296"/>
      <c r="C31" s="297"/>
      <c r="D31" s="297"/>
      <c r="E31" s="297"/>
      <c r="F31" s="297"/>
      <c r="G31" s="297"/>
      <c r="H31" s="297"/>
      <c r="I31" s="297"/>
      <c r="J31" s="294"/>
      <c r="K31"/>
      <c r="L31"/>
    </row>
    <row r="32" spans="1:13" x14ac:dyDescent="0.2">
      <c r="A32" s="10"/>
      <c r="B32" s="298"/>
      <c r="C32" s="307"/>
      <c r="D32" s="308"/>
      <c r="E32" s="299"/>
      <c r="F32" s="299"/>
      <c r="G32" s="307"/>
      <c r="H32" s="309"/>
      <c r="I32" s="299"/>
      <c r="J32" s="294"/>
      <c r="K32"/>
      <c r="L32"/>
    </row>
    <row r="33" spans="1:12" x14ac:dyDescent="0.2">
      <c r="A33" s="10"/>
      <c r="B33" s="298"/>
      <c r="C33" s="307"/>
      <c r="D33" s="308"/>
      <c r="E33" s="299"/>
      <c r="F33" s="299"/>
      <c r="G33" s="307"/>
      <c r="H33" s="309"/>
      <c r="I33" s="299"/>
      <c r="J33" s="294"/>
      <c r="K33"/>
      <c r="L33"/>
    </row>
    <row r="34" spans="1:12" x14ac:dyDescent="0.2">
      <c r="A34" s="10"/>
      <c r="B34" s="298"/>
      <c r="C34" s="307"/>
      <c r="D34" s="308"/>
      <c r="E34" s="299"/>
      <c r="F34" s="299"/>
      <c r="G34" s="307"/>
      <c r="H34" s="309"/>
      <c r="I34" s="299"/>
      <c r="J34" s="294"/>
      <c r="K34"/>
      <c r="L34"/>
    </row>
    <row r="35" spans="1:12" x14ac:dyDescent="0.2">
      <c r="A35" s="10"/>
      <c r="B35" s="298"/>
      <c r="C35" s="307"/>
      <c r="D35" s="308"/>
      <c r="E35" s="299"/>
      <c r="F35" s="299"/>
      <c r="G35" s="307"/>
      <c r="H35" s="309"/>
      <c r="I35" s="299"/>
      <c r="J35" s="294"/>
      <c r="K35"/>
      <c r="L35"/>
    </row>
    <row r="36" spans="1:12" x14ac:dyDescent="0.2">
      <c r="A36" s="10"/>
      <c r="B36" s="298"/>
      <c r="C36" s="307"/>
      <c r="D36" s="308"/>
      <c r="E36" s="299"/>
      <c r="F36" s="299"/>
      <c r="G36" s="307"/>
      <c r="H36" s="309"/>
      <c r="I36" s="299"/>
      <c r="J36" s="294"/>
      <c r="K36"/>
      <c r="L36"/>
    </row>
    <row r="37" spans="1:12" x14ac:dyDescent="0.2">
      <c r="A37" s="10"/>
      <c r="B37" s="298"/>
      <c r="C37" s="307"/>
      <c r="D37" s="308"/>
      <c r="E37" s="299"/>
      <c r="F37" s="299"/>
      <c r="G37" s="307"/>
      <c r="H37" s="309"/>
      <c r="I37" s="299"/>
      <c r="J37" s="294"/>
      <c r="K37"/>
      <c r="L37"/>
    </row>
    <row r="38" spans="1:12" x14ac:dyDescent="0.2">
      <c r="A38" s="10"/>
      <c r="B38" s="298"/>
      <c r="C38" s="307"/>
      <c r="D38" s="308"/>
      <c r="E38" s="299"/>
      <c r="F38" s="299"/>
      <c r="G38" s="307"/>
      <c r="H38" s="309"/>
      <c r="I38" s="299"/>
      <c r="J38" s="294"/>
      <c r="K38"/>
      <c r="L38"/>
    </row>
    <row r="39" spans="1:12" x14ac:dyDescent="0.2">
      <c r="A39" s="10"/>
      <c r="B39" s="298"/>
      <c r="C39" s="307"/>
      <c r="D39" s="308"/>
      <c r="E39" s="299"/>
      <c r="F39" s="299"/>
      <c r="G39" s="307"/>
      <c r="H39" s="309"/>
      <c r="I39" s="299"/>
      <c r="J39" s="294"/>
      <c r="K39"/>
      <c r="L39"/>
    </row>
    <row r="40" spans="1:12" x14ac:dyDescent="0.2">
      <c r="A40" s="10"/>
      <c r="B40" s="298"/>
      <c r="C40" s="307"/>
      <c r="D40" s="308"/>
      <c r="E40" s="299"/>
      <c r="F40" s="299"/>
      <c r="G40" s="307"/>
      <c r="H40" s="309"/>
      <c r="I40" s="299"/>
      <c r="J40" s="294"/>
      <c r="K40"/>
      <c r="L40"/>
    </row>
    <row r="41" spans="1:12" s="9" customFormat="1" ht="15" x14ac:dyDescent="0.2">
      <c r="A41" s="10"/>
      <c r="B41" s="298"/>
      <c r="C41" s="307"/>
      <c r="D41" s="308"/>
      <c r="E41" s="299"/>
      <c r="F41" s="299"/>
      <c r="G41" s="307"/>
      <c r="H41" s="309"/>
      <c r="I41" s="299"/>
      <c r="J41" s="294"/>
      <c r="K41"/>
      <c r="L41"/>
    </row>
    <row r="42" spans="1:12" s="9" customFormat="1" ht="19" customHeight="1" x14ac:dyDescent="0.2">
      <c r="A42" s="10"/>
      <c r="B42" s="298"/>
      <c r="C42" s="307"/>
      <c r="D42" s="308"/>
      <c r="E42" s="299"/>
      <c r="F42" s="299"/>
      <c r="G42" s="307"/>
      <c r="H42" s="309"/>
      <c r="I42" s="299"/>
      <c r="J42" s="294"/>
      <c r="K42"/>
      <c r="L42"/>
    </row>
    <row r="43" spans="1:12" s="9" customFormat="1" ht="15" x14ac:dyDescent="0.2">
      <c r="A43" s="10"/>
      <c r="B43" s="298"/>
      <c r="C43" s="307"/>
      <c r="D43" s="308"/>
      <c r="E43" s="299"/>
      <c r="F43" s="299"/>
      <c r="G43" s="307"/>
      <c r="H43" s="309"/>
      <c r="I43" s="299"/>
      <c r="J43" s="294"/>
      <c r="K43"/>
      <c r="L43"/>
    </row>
    <row r="44" spans="1:12" s="9" customFormat="1" ht="15" x14ac:dyDescent="0.2">
      <c r="A44" s="10"/>
      <c r="B44" s="298"/>
      <c r="C44" s="307"/>
      <c r="D44" s="308"/>
      <c r="E44" s="299"/>
      <c r="F44" s="299"/>
      <c r="G44" s="307"/>
      <c r="H44" s="309"/>
      <c r="I44" s="299"/>
      <c r="J44" s="294"/>
      <c r="K44"/>
      <c r="L44"/>
    </row>
    <row r="45" spans="1:12" s="9" customFormat="1" ht="15" x14ac:dyDescent="0.2">
      <c r="A45" s="10"/>
      <c r="B45" s="298"/>
      <c r="C45" s="307"/>
      <c r="D45" s="308"/>
      <c r="E45" s="299"/>
      <c r="F45" s="299"/>
      <c r="G45" s="307"/>
      <c r="H45" s="309"/>
      <c r="I45" s="299"/>
      <c r="J45" s="294"/>
      <c r="K45"/>
      <c r="L45"/>
    </row>
    <row r="46" spans="1:12" s="9" customFormat="1" ht="15" x14ac:dyDescent="0.2">
      <c r="A46" s="10"/>
      <c r="B46" s="298"/>
      <c r="C46" s="307"/>
      <c r="D46" s="308"/>
      <c r="E46" s="299"/>
      <c r="F46" s="299"/>
      <c r="G46" s="307"/>
      <c r="H46" s="309"/>
      <c r="I46" s="299"/>
      <c r="J46" s="294"/>
      <c r="K46"/>
      <c r="L46"/>
    </row>
    <row r="47" spans="1:12" s="9" customFormat="1" ht="15" x14ac:dyDescent="0.2">
      <c r="A47" s="10"/>
      <c r="B47" s="302"/>
      <c r="C47" s="302"/>
      <c r="D47" s="302"/>
      <c r="E47" s="303"/>
      <c r="F47" s="303"/>
      <c r="G47" s="302"/>
      <c r="H47" s="302"/>
      <c r="I47" s="303"/>
      <c r="J47" s="294"/>
      <c r="K47"/>
      <c r="L47"/>
    </row>
    <row r="48" spans="1:12" s="9" customFormat="1" ht="15" x14ac:dyDescent="0.2">
      <c r="A48" s="10"/>
      <c r="B48" s="302"/>
      <c r="C48" s="302"/>
      <c r="D48" s="302"/>
      <c r="E48" s="303"/>
      <c r="F48" s="303"/>
      <c r="G48" s="302"/>
      <c r="H48" s="302"/>
      <c r="I48" s="303"/>
      <c r="J48" s="294"/>
      <c r="K48"/>
      <c r="L48"/>
    </row>
    <row r="49" spans="1:12" s="9" customFormat="1" ht="15" x14ac:dyDescent="0.2">
      <c r="A49" s="10"/>
      <c r="B49" s="310"/>
      <c r="C49" s="310"/>
      <c r="D49" s="310"/>
      <c r="E49" s="310"/>
      <c r="F49" s="310"/>
      <c r="G49" s="310"/>
      <c r="H49" s="310"/>
      <c r="I49" s="310"/>
      <c r="J49" s="294"/>
      <c r="K49"/>
      <c r="L49"/>
    </row>
    <row r="50" spans="1:12" customFormat="1" ht="15" x14ac:dyDescent="0.2">
      <c r="A50" s="10"/>
      <c r="B50" s="298"/>
      <c r="C50" s="298"/>
      <c r="D50" s="298"/>
      <c r="E50" s="298"/>
      <c r="F50" s="298"/>
      <c r="G50" s="298"/>
      <c r="H50" s="298"/>
      <c r="I50" s="298"/>
      <c r="J50" s="294"/>
    </row>
    <row r="51" spans="1:12" s="9" customFormat="1" ht="15" x14ac:dyDescent="0.2">
      <c r="A51" s="10"/>
      <c r="B51" s="298"/>
      <c r="C51" s="298"/>
      <c r="D51" s="298"/>
      <c r="E51" s="298"/>
      <c r="F51" s="298"/>
      <c r="G51" s="298"/>
      <c r="H51" s="298"/>
      <c r="I51" s="298"/>
      <c r="J51" s="294"/>
      <c r="K51"/>
      <c r="L51"/>
    </row>
    <row r="52" spans="1:12" s="9" customFormat="1" ht="15" x14ac:dyDescent="0.2">
      <c r="A52" s="10"/>
      <c r="B52" s="295"/>
      <c r="C52" s="295"/>
      <c r="D52" s="295"/>
      <c r="E52" s="295"/>
      <c r="F52" s="295"/>
      <c r="G52" s="295"/>
      <c r="H52" s="295"/>
      <c r="I52" s="295"/>
      <c r="J52" s="294"/>
      <c r="K52"/>
      <c r="L52"/>
    </row>
    <row r="53" spans="1:12" s="9" customFormat="1" ht="15" x14ac:dyDescent="0.2">
      <c r="A53" s="10"/>
      <c r="B53" s="296"/>
      <c r="C53" s="297"/>
      <c r="D53" s="297"/>
      <c r="E53" s="297"/>
      <c r="F53" s="297"/>
      <c r="G53" s="297"/>
      <c r="H53" s="297"/>
      <c r="I53" s="297"/>
      <c r="J53" s="294"/>
      <c r="K53"/>
      <c r="L53"/>
    </row>
    <row r="54" spans="1:12" x14ac:dyDescent="0.2">
      <c r="A54" s="10"/>
      <c r="B54" s="298"/>
      <c r="C54" s="298"/>
      <c r="D54" s="308"/>
      <c r="E54" s="299"/>
      <c r="F54" s="298"/>
      <c r="G54" s="298"/>
      <c r="H54" s="298"/>
      <c r="I54" s="298"/>
      <c r="J54" s="294"/>
      <c r="K54"/>
      <c r="L54"/>
    </row>
    <row r="55" spans="1:12" x14ac:dyDescent="0.2">
      <c r="A55" s="10"/>
      <c r="B55" s="298"/>
      <c r="C55" s="298"/>
      <c r="D55" s="308"/>
      <c r="E55" s="299"/>
      <c r="F55" s="298"/>
      <c r="G55" s="298"/>
      <c r="H55" s="298"/>
      <c r="I55" s="298"/>
      <c r="J55" s="294"/>
      <c r="K55"/>
      <c r="L55"/>
    </row>
    <row r="56" spans="1:12" x14ac:dyDescent="0.2">
      <c r="A56" s="10"/>
      <c r="B56" s="298"/>
      <c r="C56" s="298"/>
      <c r="D56" s="308"/>
      <c r="E56" s="299"/>
      <c r="F56" s="298"/>
      <c r="G56" s="298"/>
      <c r="H56" s="298"/>
      <c r="I56" s="298"/>
      <c r="J56" s="294"/>
      <c r="K56"/>
      <c r="L56"/>
    </row>
    <row r="57" spans="1:12" x14ac:dyDescent="0.2">
      <c r="A57" s="10"/>
      <c r="B57" s="302"/>
      <c r="C57" s="302"/>
      <c r="D57" s="302"/>
      <c r="E57" s="303"/>
      <c r="F57" s="302"/>
      <c r="G57" s="302"/>
      <c r="H57" s="302"/>
      <c r="I57" s="302"/>
      <c r="J57" s="294"/>
      <c r="K57"/>
      <c r="L57"/>
    </row>
    <row r="58" spans="1:12" x14ac:dyDescent="0.2">
      <c r="A58" s="10"/>
      <c r="B58" s="298"/>
      <c r="C58" s="298"/>
      <c r="D58" s="298"/>
      <c r="E58" s="298"/>
      <c r="F58" s="298"/>
      <c r="G58" s="298"/>
      <c r="H58" s="298"/>
      <c r="I58" s="298"/>
      <c r="J58" s="294"/>
      <c r="K58"/>
      <c r="L58"/>
    </row>
    <row r="59" spans="1:12" x14ac:dyDescent="0.2">
      <c r="A59" s="10"/>
      <c r="B59" s="295"/>
      <c r="C59" s="295"/>
      <c r="D59" s="295"/>
      <c r="E59" s="295"/>
      <c r="F59" s="295"/>
      <c r="G59" s="295"/>
      <c r="H59" s="295"/>
      <c r="I59" s="295"/>
      <c r="J59" s="294"/>
      <c r="K59"/>
      <c r="L59"/>
    </row>
    <row r="60" spans="1:12" x14ac:dyDescent="0.2">
      <c r="A60" s="10"/>
      <c r="B60" s="296"/>
      <c r="C60" s="297"/>
      <c r="D60" s="297"/>
      <c r="E60" s="297"/>
      <c r="F60" s="297"/>
      <c r="G60" s="297"/>
      <c r="H60" s="297"/>
      <c r="I60" s="297"/>
      <c r="J60" s="294"/>
      <c r="K60"/>
      <c r="L60"/>
    </row>
    <row r="61" spans="1:12" ht="56" customHeight="1" x14ac:dyDescent="0.2">
      <c r="A61" s="10"/>
      <c r="B61" s="298"/>
      <c r="C61" s="299"/>
      <c r="D61" s="308"/>
      <c r="E61" s="308"/>
      <c r="F61" s="333"/>
      <c r="G61" s="333"/>
      <c r="H61" s="333"/>
      <c r="I61" s="333"/>
      <c r="J61" s="294"/>
      <c r="K61"/>
      <c r="L61"/>
    </row>
    <row r="62" spans="1:12" x14ac:dyDescent="0.2">
      <c r="A62" s="10"/>
      <c r="B62" s="298"/>
      <c r="C62" s="299"/>
      <c r="D62" s="308"/>
      <c r="E62" s="308"/>
      <c r="F62" s="333"/>
      <c r="G62" s="333"/>
      <c r="H62" s="333"/>
      <c r="I62" s="333"/>
      <c r="J62" s="294"/>
      <c r="K62"/>
      <c r="L62"/>
    </row>
    <row r="63" spans="1:12" x14ac:dyDescent="0.2">
      <c r="A63" s="10"/>
      <c r="B63" s="298"/>
      <c r="C63" s="299"/>
      <c r="D63" s="308"/>
      <c r="E63" s="308"/>
      <c r="F63" s="333"/>
      <c r="G63" s="333"/>
      <c r="H63" s="333"/>
      <c r="I63" s="333"/>
      <c r="J63" s="294"/>
      <c r="K63"/>
      <c r="L63"/>
    </row>
    <row r="64" spans="1:12" x14ac:dyDescent="0.2">
      <c r="A64" s="10"/>
      <c r="B64" s="298"/>
      <c r="C64" s="299"/>
      <c r="D64" s="308"/>
      <c r="E64" s="308"/>
      <c r="F64" s="333"/>
      <c r="G64" s="333"/>
      <c r="H64" s="333"/>
      <c r="I64" s="333"/>
      <c r="J64" s="294"/>
      <c r="K64"/>
      <c r="L64"/>
    </row>
    <row r="65" spans="1:12" x14ac:dyDescent="0.2">
      <c r="A65" s="10"/>
      <c r="B65" s="298"/>
      <c r="C65" s="298"/>
      <c r="D65" s="298"/>
      <c r="E65" s="298"/>
      <c r="F65" s="298"/>
      <c r="G65" s="298"/>
      <c r="H65" s="298"/>
      <c r="I65" s="298"/>
      <c r="J65" s="294"/>
      <c r="K65"/>
      <c r="L65"/>
    </row>
    <row r="66" spans="1:12" x14ac:dyDescent="0.2">
      <c r="A66" s="10"/>
      <c r="B66" s="295"/>
      <c r="C66" s="295"/>
      <c r="D66" s="295"/>
      <c r="E66" s="295"/>
      <c r="F66" s="295"/>
      <c r="G66" s="295"/>
      <c r="H66" s="295"/>
      <c r="I66" s="295"/>
      <c r="J66" s="294"/>
      <c r="K66"/>
      <c r="L66"/>
    </row>
    <row r="67" spans="1:12" x14ac:dyDescent="0.2">
      <c r="A67" s="10"/>
      <c r="B67" s="296"/>
      <c r="C67" s="297"/>
      <c r="D67" s="297"/>
      <c r="E67" s="297"/>
      <c r="F67" s="297"/>
      <c r="G67" s="297"/>
      <c r="H67" s="297"/>
      <c r="I67" s="297"/>
      <c r="J67" s="294"/>
      <c r="K67"/>
      <c r="L67"/>
    </row>
    <row r="68" spans="1:12" x14ac:dyDescent="0.2">
      <c r="A68" s="10"/>
      <c r="B68" s="298"/>
      <c r="C68" s="311"/>
      <c r="D68" s="298"/>
      <c r="E68" s="298"/>
      <c r="F68" s="298"/>
      <c r="G68" s="298"/>
      <c r="H68" s="298"/>
      <c r="I68" s="298"/>
      <c r="J68" s="294"/>
      <c r="K68"/>
      <c r="L68"/>
    </row>
    <row r="69" spans="1:12" x14ac:dyDescent="0.2">
      <c r="A69" s="10"/>
      <c r="B69" s="298"/>
      <c r="C69" s="311"/>
      <c r="D69" s="298"/>
      <c r="E69" s="298"/>
      <c r="F69" s="298"/>
      <c r="G69" s="298"/>
      <c r="H69" s="298"/>
      <c r="I69" s="298"/>
      <c r="J69" s="294"/>
      <c r="K69"/>
      <c r="L69"/>
    </row>
    <row r="70" spans="1:12" x14ac:dyDescent="0.2">
      <c r="A70" s="10"/>
      <c r="B70" s="298"/>
      <c r="C70" s="311"/>
      <c r="D70" s="298"/>
      <c r="E70" s="298"/>
      <c r="F70" s="298"/>
      <c r="G70" s="298"/>
      <c r="H70" s="298"/>
      <c r="I70" s="298"/>
      <c r="J70" s="294"/>
      <c r="K70"/>
      <c r="L70"/>
    </row>
    <row r="71" spans="1:12" x14ac:dyDescent="0.2">
      <c r="A71" s="10"/>
      <c r="B71" s="15"/>
      <c r="C71" s="15"/>
      <c r="D71" s="15"/>
      <c r="E71" s="15"/>
      <c r="F71" s="15"/>
      <c r="G71" s="15"/>
      <c r="H71" s="15"/>
      <c r="I71" s="15"/>
      <c r="J71"/>
      <c r="K71"/>
      <c r="L71"/>
    </row>
    <row r="72" spans="1:12" x14ac:dyDescent="0.2">
      <c r="B72" s="291"/>
      <c r="C72" s="291"/>
      <c r="D72" s="291"/>
      <c r="E72" s="291"/>
      <c r="F72" s="291"/>
      <c r="G72" s="291"/>
      <c r="H72" s="291"/>
      <c r="I72" s="291"/>
    </row>
  </sheetData>
  <mergeCells count="5">
    <mergeCell ref="B3:I3"/>
    <mergeCell ref="F61:I61"/>
    <mergeCell ref="F62:I62"/>
    <mergeCell ref="F63:I63"/>
    <mergeCell ref="F64:I64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11618-497A-BD4A-A834-BD657F0F554A}">
  <dimension ref="A1:AE95"/>
  <sheetViews>
    <sheetView showGridLines="0" tabSelected="1" zoomScale="123" zoomScaleNormal="123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17" sqref="E17"/>
    </sheetView>
  </sheetViews>
  <sheetFormatPr baseColWidth="10" defaultRowHeight="15" x14ac:dyDescent="0.2"/>
  <cols>
    <col min="1" max="1" width="1.6640625" customWidth="1"/>
    <col min="2" max="2" width="38.33203125" customWidth="1"/>
    <col min="3" max="5" width="12.1640625" customWidth="1"/>
    <col min="6" max="6" width="12.5" customWidth="1"/>
    <col min="7" max="8" width="9.1640625" customWidth="1"/>
    <col min="9" max="29" width="11" customWidth="1"/>
    <col min="30" max="30" width="38.33203125" customWidth="1"/>
  </cols>
  <sheetData>
    <row r="1" spans="1:31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17" x14ac:dyDescent="0.2">
      <c r="A2" s="10"/>
      <c r="B2" s="246" t="s">
        <v>956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x14ac:dyDescent="0.2">
      <c r="A3" s="10"/>
      <c r="B3" s="23" t="s">
        <v>996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spans="1:3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</row>
    <row r="5" spans="1:31" x14ac:dyDescent="0.2">
      <c r="A5" s="10"/>
      <c r="B5" s="24" t="s">
        <v>957</v>
      </c>
      <c r="C5" s="24"/>
      <c r="D5" s="24"/>
      <c r="E5" s="24"/>
      <c r="F5" s="24"/>
      <c r="G5" s="24"/>
      <c r="H5" s="24"/>
      <c r="I5" s="24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31" x14ac:dyDescent="0.2">
      <c r="A6" s="10"/>
      <c r="B6" s="10"/>
      <c r="C6" s="10" t="s">
        <v>958</v>
      </c>
      <c r="D6" s="10"/>
      <c r="E6" s="10"/>
      <c r="F6" s="10"/>
      <c r="G6" s="10"/>
      <c r="H6" s="39">
        <v>0.09</v>
      </c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31" x14ac:dyDescent="0.2">
      <c r="A7" s="10"/>
      <c r="B7" s="10"/>
      <c r="C7" s="23" t="s">
        <v>997</v>
      </c>
      <c r="D7" s="23"/>
      <c r="E7" s="2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31" x14ac:dyDescent="0.2">
      <c r="A8" s="10"/>
      <c r="B8" s="10"/>
      <c r="C8" s="10" t="s">
        <v>1011</v>
      </c>
      <c r="D8" s="10"/>
      <c r="E8" s="10"/>
      <c r="F8" s="10"/>
      <c r="G8" s="10"/>
      <c r="H8" s="58">
        <v>85000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 x14ac:dyDescent="0.2">
      <c r="A9" s="10"/>
      <c r="B9" s="10"/>
      <c r="C9" s="10" t="s">
        <v>1012</v>
      </c>
      <c r="D9" s="10"/>
      <c r="E9" s="10"/>
      <c r="F9" s="10"/>
      <c r="G9" s="10"/>
      <c r="H9" s="58">
        <v>15000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31" ht="30" customHeight="1" x14ac:dyDescent="0.2">
      <c r="A10" s="10"/>
      <c r="B10" s="247" t="s">
        <v>959</v>
      </c>
      <c r="C10" s="282" t="s">
        <v>1007</v>
      </c>
      <c r="D10" s="282" t="s">
        <v>1008</v>
      </c>
      <c r="E10" s="282" t="s">
        <v>1006</v>
      </c>
      <c r="F10" s="282" t="s">
        <v>960</v>
      </c>
      <c r="G10" s="282" t="s">
        <v>961</v>
      </c>
      <c r="H10" s="282" t="s">
        <v>963</v>
      </c>
      <c r="I10" s="282" t="s">
        <v>964</v>
      </c>
      <c r="J10" s="282">
        <v>2026</v>
      </c>
      <c r="K10" s="282">
        <f t="shared" ref="K10:AC10" si="0">J10+1</f>
        <v>2027</v>
      </c>
      <c r="L10" s="282">
        <f t="shared" si="0"/>
        <v>2028</v>
      </c>
      <c r="M10" s="282">
        <f t="shared" si="0"/>
        <v>2029</v>
      </c>
      <c r="N10" s="282">
        <f t="shared" si="0"/>
        <v>2030</v>
      </c>
      <c r="O10" s="282">
        <f t="shared" si="0"/>
        <v>2031</v>
      </c>
      <c r="P10" s="282">
        <f t="shared" si="0"/>
        <v>2032</v>
      </c>
      <c r="Q10" s="282">
        <f t="shared" si="0"/>
        <v>2033</v>
      </c>
      <c r="R10" s="282">
        <f t="shared" si="0"/>
        <v>2034</v>
      </c>
      <c r="S10" s="282">
        <f t="shared" si="0"/>
        <v>2035</v>
      </c>
      <c r="T10" s="282">
        <f t="shared" si="0"/>
        <v>2036</v>
      </c>
      <c r="U10" s="282">
        <f t="shared" si="0"/>
        <v>2037</v>
      </c>
      <c r="V10" s="282">
        <f t="shared" si="0"/>
        <v>2038</v>
      </c>
      <c r="W10" s="282">
        <f t="shared" si="0"/>
        <v>2039</v>
      </c>
      <c r="X10" s="282">
        <f t="shared" si="0"/>
        <v>2040</v>
      </c>
      <c r="Y10" s="282">
        <f t="shared" si="0"/>
        <v>2041</v>
      </c>
      <c r="Z10" s="282">
        <f t="shared" si="0"/>
        <v>2042</v>
      </c>
      <c r="AA10" s="282">
        <f t="shared" si="0"/>
        <v>2043</v>
      </c>
      <c r="AB10" s="282">
        <f t="shared" si="0"/>
        <v>2044</v>
      </c>
      <c r="AC10" s="282">
        <f t="shared" si="0"/>
        <v>2045</v>
      </c>
      <c r="AD10" s="282" t="s">
        <v>28</v>
      </c>
      <c r="AE10" s="282" t="s">
        <v>962</v>
      </c>
    </row>
    <row r="11" spans="1:31" x14ac:dyDescent="0.2">
      <c r="A11" s="10"/>
      <c r="B11" s="24" t="s">
        <v>965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x14ac:dyDescent="0.2">
      <c r="A12" s="10"/>
      <c r="B12" s="10" t="s">
        <v>1010</v>
      </c>
      <c r="C12" s="284" t="str">
        <f>"-"</f>
        <v>-</v>
      </c>
      <c r="D12" s="289" t="s">
        <v>30</v>
      </c>
      <c r="E12" s="290">
        <f>-MIN(0,J12)</f>
        <v>100000</v>
      </c>
      <c r="F12" s="312" t="s">
        <v>130</v>
      </c>
      <c r="G12" s="249">
        <v>1</v>
      </c>
      <c r="H12" s="249" t="s">
        <v>969</v>
      </c>
      <c r="I12" s="248" cm="1">
        <f t="array" ref="I12">IFERROR(INDEX($J$10:$AC$10,MATCH(TRUE,INDEX(J12:AC12&lt;&gt;0,0),0)),"-")</f>
        <v>2026</v>
      </c>
      <c r="J12" s="41">
        <f>-($H$8+$H$9)</f>
        <v>-100000</v>
      </c>
      <c r="K12" s="41">
        <v>0</v>
      </c>
      <c r="L12" s="41">
        <v>0</v>
      </c>
      <c r="M12" s="41">
        <v>0</v>
      </c>
      <c r="N12" s="41">
        <v>0</v>
      </c>
      <c r="O12" s="41">
        <v>0</v>
      </c>
      <c r="P12" s="41">
        <v>0</v>
      </c>
      <c r="Q12" s="41">
        <v>0</v>
      </c>
      <c r="R12" s="41">
        <v>0</v>
      </c>
      <c r="S12" s="41">
        <v>0</v>
      </c>
      <c r="T12" s="41">
        <v>0</v>
      </c>
      <c r="U12" s="41">
        <v>0</v>
      </c>
      <c r="V12" s="41">
        <v>0</v>
      </c>
      <c r="W12" s="41">
        <v>0</v>
      </c>
      <c r="X12" s="41">
        <v>0</v>
      </c>
      <c r="Y12" s="41">
        <v>0</v>
      </c>
      <c r="Z12" s="41">
        <v>0</v>
      </c>
      <c r="AA12" s="41">
        <v>0</v>
      </c>
      <c r="AB12" s="41">
        <v>0</v>
      </c>
      <c r="AC12" s="41">
        <v>0</v>
      </c>
      <c r="AD12" s="41">
        <v>0</v>
      </c>
      <c r="AE12" s="86" t="str">
        <f>"R$ "&amp;TEXT($H$8/1000,"0")&amp;" MM land + R$ "&amp;TEXT($H$9/1000,"0")&amp;" MM commission and costs"</f>
        <v>R$ 85 MM terreno + R$ 15 MM comissão e custos</v>
      </c>
    </row>
    <row r="13" spans="1:31" x14ac:dyDescent="0.2">
      <c r="A13" s="10"/>
      <c r="B13" s="10" t="s">
        <v>966</v>
      </c>
      <c r="C13" s="284">
        <f>IF(AND(ISERROR(IRR($J13:$AC13)),ISERROR(IRR($J13:$AD13))),"n/a",MAX(IFERROR(IRR($J13:$AC13),-99),IFERROR(IRR($J13:$AD13),-99)))</f>
        <v>8.3607277463832563E-2</v>
      </c>
      <c r="D13" s="289">
        <f>K70</f>
        <v>1.628457821230102</v>
      </c>
      <c r="E13" s="290">
        <f>H70</f>
        <v>222379.01542814809</v>
      </c>
      <c r="F13" s="312" t="s">
        <v>967</v>
      </c>
      <c r="G13" s="249">
        <v>1</v>
      </c>
      <c r="H13" s="249" t="s">
        <v>969</v>
      </c>
      <c r="I13" s="248" cm="1">
        <f t="array" ref="I13">IFERROR(INDEX($J$10:$AC$10,MATCH(TRUE,INDEX(J13:AC13&lt;&gt;0,0),0)),"-")</f>
        <v>2026</v>
      </c>
      <c r="J13" s="41" cm="1">
        <f t="array" ref="J13">SUMPRODUCT(('CLUB MED'!$G$6:$Z$6=J$10)*'CLUB MED'!$G$112:$Z$112)</f>
        <v>-84496.679603351207</v>
      </c>
      <c r="K13" s="41" cm="1">
        <f t="array" ref="K13">SUMPRODUCT(('CLUB MED'!$G$6:$Z$6=K$10)*'CLUB MED'!$G$112:$Z$112)</f>
        <v>-137882.3358247969</v>
      </c>
      <c r="L13" s="41" cm="1">
        <f t="array" ref="L13">SUMPRODUCT(('CLUB MED'!$G$6:$Z$6=L$10)*'CLUB MED'!$G$112:$Z$112)</f>
        <v>15400.898428148037</v>
      </c>
      <c r="M13" s="41" cm="1">
        <f t="array" ref="M13">SUMPRODUCT(('CLUB MED'!$G$6:$Z$6=M$10)*'CLUB MED'!$G$112:$Z$112)</f>
        <v>5095.6301659641667</v>
      </c>
      <c r="N13" s="41" cm="1">
        <f t="array" ref="N13">SUMPRODUCT(('CLUB MED'!$G$6:$Z$6=N$10)*'CLUB MED'!$G$112:$Z$112)</f>
        <v>1340.3613928841683</v>
      </c>
      <c r="O13" s="41" cm="1">
        <f t="array" ref="O13">SUMPRODUCT(('CLUB MED'!$G$6:$Z$6=O$10)*'CLUB MED'!$G$112:$Z$112)</f>
        <v>11237.428538985607</v>
      </c>
      <c r="P13" s="41" cm="1">
        <f t="array" ref="P13">SUMPRODUCT(('CLUB MED'!$G$6:$Z$6=P$10)*'CLUB MED'!$G$112:$Z$112)</f>
        <v>11952.795685087045</v>
      </c>
      <c r="Q13" s="41" cm="1">
        <f t="array" ref="Q13">SUMPRODUCT(('CLUB MED'!$G$6:$Z$6=Q$10)*'CLUB MED'!$G$112:$Z$112)</f>
        <v>13920.212831188486</v>
      </c>
      <c r="R13" s="41" cm="1">
        <f t="array" ref="R13">SUMPRODUCT(('CLUB MED'!$G$6:$Z$6=R$10)*'CLUB MED'!$G$112:$Z$112)</f>
        <v>14635.579977289924</v>
      </c>
      <c r="S13" s="41" cm="1">
        <f t="array" ref="S13">SUMPRODUCT(('CLUB MED'!$G$6:$Z$6=S$10)*'CLUB MED'!$G$112:$Z$112)</f>
        <v>15350.947123391363</v>
      </c>
      <c r="T13" s="41" cm="1">
        <f t="array" ref="T13">SUMPRODUCT(('CLUB MED'!$G$6:$Z$6=T$10)*'CLUB MED'!$G$112:$Z$112)</f>
        <v>16066.314269492805</v>
      </c>
      <c r="U13" s="41" cm="1">
        <f t="array" ref="U13">SUMPRODUCT(('CLUB MED'!$G$6:$Z$6=U$10)*'CLUB MED'!$G$112:$Z$112)</f>
        <v>16781.681415594241</v>
      </c>
      <c r="V13" s="41" cm="1">
        <f t="array" ref="V13">SUMPRODUCT(('CLUB MED'!$G$6:$Z$6=V$10)*'CLUB MED'!$G$112:$Z$112)</f>
        <v>17497.048561695679</v>
      </c>
      <c r="W13" s="41" cm="1">
        <f t="array" ref="W13">SUMPRODUCT(('CLUB MED'!$G$6:$Z$6=W$10)*'CLUB MED'!$G$112:$Z$112)</f>
        <v>18212.415707797125</v>
      </c>
      <c r="X13" s="41" cm="1">
        <f t="array" ref="X13">SUMPRODUCT(('CLUB MED'!$G$6:$Z$6=X$10)*'CLUB MED'!$G$112:$Z$112)</f>
        <v>18927.782853898578</v>
      </c>
      <c r="Y13" s="41" cm="1">
        <f t="array" ref="Y13">SUMPRODUCT(('CLUB MED'!$G$6:$Z$6=Y$10)*'CLUB MED'!$G$112:$Z$112)</f>
        <v>37143.15</v>
      </c>
      <c r="Z13" s="41" cm="1">
        <f t="array" ref="Z13">SUMPRODUCT(('CLUB MED'!$G$6:$Z$6=Z$10)*'CLUB MED'!$G$112:$Z$112)</f>
        <v>37143.15</v>
      </c>
      <c r="AA13" s="41" cm="1">
        <f t="array" ref="AA13">SUMPRODUCT(('CLUB MED'!$G$6:$Z$6=AA$10)*'CLUB MED'!$G$112:$Z$112)</f>
        <v>37143.15</v>
      </c>
      <c r="AB13" s="41" cm="1">
        <f t="array" ref="AB13">SUMPRODUCT(('CLUB MED'!$G$6:$Z$6=AB$10)*'CLUB MED'!$G$112:$Z$112)</f>
        <v>37143.15</v>
      </c>
      <c r="AC13" s="41" cm="1">
        <f t="array" ref="AC13">SUMPRODUCT(('CLUB MED'!$G$6:$Z$6=AC$10)*'CLUB MED'!$G$112:$Z$112)</f>
        <v>37143.15</v>
      </c>
      <c r="AD13" s="41">
        <f>'CLUB MED'!AA112</f>
        <v>371431.5</v>
      </c>
      <c r="AE13" s="86" t="s">
        <v>968</v>
      </c>
    </row>
    <row r="14" spans="1:31" x14ac:dyDescent="0.2">
      <c r="A14" s="10"/>
      <c r="B14" s="10" t="s">
        <v>970</v>
      </c>
      <c r="C14" s="284">
        <f>IF(AND(ISERROR(IRR($J14:$AC14)),ISERROR(IRR($J14:$AD14))),"n/a",MAX(IFERROR(IRR($J14:$AC14),-99),IFERROR(IRR($J14:$AD14),-99)))</f>
        <v>0.9146015045713165</v>
      </c>
      <c r="D14" s="289">
        <f>K71</f>
        <v>3.1606871177003635</v>
      </c>
      <c r="E14" s="290">
        <f>H71</f>
        <v>17488.540608423347</v>
      </c>
      <c r="F14" s="312" t="s">
        <v>971</v>
      </c>
      <c r="G14" s="249">
        <v>1</v>
      </c>
      <c r="H14" s="249" t="s">
        <v>969</v>
      </c>
      <c r="I14" s="248" cm="1">
        <f t="array" ref="I14">IFERROR(INDEX($J$10:$AC$10,MATCH(TRUE,INDEX(J14:AC14&lt;&gt;0,0),0)),"-")</f>
        <v>2026</v>
      </c>
      <c r="J14" s="41" cm="1">
        <f t="array" ref="J14">SUMPRODUCT((VILLAS!$I$111:$AB$111=J$10)*VILLAS!$I$115:$AB$115)</f>
        <v>-1200</v>
      </c>
      <c r="K14" s="41" cm="1">
        <f t="array" ref="K14">SUMPRODUCT((VILLAS!$I$111:$AB$111=K$10)*VILLAS!$I$115:$AB$115)</f>
        <v>-16288.540608423345</v>
      </c>
      <c r="L14" s="41" cm="1">
        <f t="array" ref="L14">SUMPRODUCT((VILLAS!$I$111:$AB$111=L$10)*VILLAS!$I$115:$AB$115)</f>
        <v>14055.415248423342</v>
      </c>
      <c r="M14" s="41" cm="1">
        <f t="array" ref="M14">SUMPRODUCT((VILLAS!$I$111:$AB$111=M$10)*VILLAS!$I$115:$AB$115)</f>
        <v>41220.389760000005</v>
      </c>
      <c r="N14" s="41" cm="1">
        <f t="array" ref="N14">SUMPRODUCT((VILLAS!$I$111:$AB$111=N$10)*VILLAS!$I$115:$AB$115)</f>
        <v>0</v>
      </c>
      <c r="O14" s="41" cm="1">
        <f t="array" ref="O14">SUMPRODUCT((VILLAS!$I$111:$AB$111=O$10)*VILLAS!$I$115:$AB$115)</f>
        <v>0</v>
      </c>
      <c r="P14" s="41" cm="1">
        <f t="array" ref="P14">SUMPRODUCT((VILLAS!$I$111:$AB$111=P$10)*VILLAS!$I$115:$AB$115)</f>
        <v>0</v>
      </c>
      <c r="Q14" s="41" cm="1">
        <f t="array" ref="Q14">SUMPRODUCT((VILLAS!$I$111:$AB$111=Q$10)*VILLAS!$I$115:$AB$115)</f>
        <v>0</v>
      </c>
      <c r="R14" s="41" cm="1">
        <f t="array" ref="R14">SUMPRODUCT((VILLAS!$I$111:$AB$111=R$10)*VILLAS!$I$115:$AB$115)</f>
        <v>0</v>
      </c>
      <c r="S14" s="41" cm="1">
        <f t="array" ref="S14">SUMPRODUCT((VILLAS!$I$111:$AB$111=S$10)*VILLAS!$I$115:$AB$115)</f>
        <v>0</v>
      </c>
      <c r="T14" s="41" cm="1">
        <f t="array" ref="T14">SUMPRODUCT((VILLAS!$I$111:$AB$111=T$10)*VILLAS!$I$115:$AB$115)</f>
        <v>0</v>
      </c>
      <c r="U14" s="41" cm="1">
        <f t="array" ref="U14">SUMPRODUCT((VILLAS!$I$111:$AB$111=U$10)*VILLAS!$I$115:$AB$115)</f>
        <v>0</v>
      </c>
      <c r="V14" s="41" cm="1">
        <f t="array" ref="V14">SUMPRODUCT((VILLAS!$I$111:$AB$111=V$10)*VILLAS!$I$115:$AB$115)</f>
        <v>0</v>
      </c>
      <c r="W14" s="41" cm="1">
        <f t="array" ref="W14">SUMPRODUCT((VILLAS!$I$111:$AB$111=W$10)*VILLAS!$I$115:$AB$115)</f>
        <v>0</v>
      </c>
      <c r="X14" s="41" cm="1">
        <f t="array" ref="X14">SUMPRODUCT((VILLAS!$I$111:$AB$111=X$10)*VILLAS!$I$115:$AB$115)</f>
        <v>0</v>
      </c>
      <c r="Y14" s="41" cm="1">
        <f t="array" ref="Y14">SUMPRODUCT((VILLAS!$I$111:$AB$111=Y$10)*VILLAS!$I$115:$AB$115)</f>
        <v>0</v>
      </c>
      <c r="Z14" s="41" cm="1">
        <f t="array" ref="Z14">SUMPRODUCT((VILLAS!$I$111:$AB$111=Z$10)*VILLAS!$I$115:$AB$115)</f>
        <v>0</v>
      </c>
      <c r="AA14" s="41" cm="1">
        <f t="array" ref="AA14">SUMPRODUCT((VILLAS!$I$111:$AB$111=AA$10)*VILLAS!$I$115:$AB$115)</f>
        <v>0</v>
      </c>
      <c r="AB14" s="41" cm="1">
        <f t="array" ref="AB14">SUMPRODUCT((VILLAS!$I$111:$AB$111=AB$10)*VILLAS!$I$115:$AB$115)</f>
        <v>0</v>
      </c>
      <c r="AC14" s="41" cm="1">
        <f t="array" ref="AC14">SUMPRODUCT((VILLAS!$I$111:$AB$111=AC$10)*VILLAS!$I$115:$AB$115)</f>
        <v>0</v>
      </c>
      <c r="AD14" s="41">
        <f>VILLAS!AC115</f>
        <v>0</v>
      </c>
      <c r="AE14" s="86" t="str">
        <f>VILLAS!$D$62</f>
        <v>Sem alavancagem</v>
      </c>
    </row>
    <row r="15" spans="1:31" x14ac:dyDescent="0.2">
      <c r="A15" s="10"/>
      <c r="B15" s="10" t="s">
        <v>972</v>
      </c>
      <c r="C15" s="284">
        <f>IF(AND(ISERROR(IRR($J15:$AC15)),ISERROR(IRR($J15:$AD15))),"n/a",MAX(IFERROR(IRR($J15:$AC15),-99),IFERROR(IRR($J15:$AD15),-99)))</f>
        <v>0.18020843150487265</v>
      </c>
      <c r="D15" s="289">
        <f>K72</f>
        <v>1.5862508346502995</v>
      </c>
      <c r="E15" s="290">
        <f>H72</f>
        <v>21767.200000000001</v>
      </c>
      <c r="F15" s="312" t="s">
        <v>973</v>
      </c>
      <c r="G15" s="249">
        <v>1</v>
      </c>
      <c r="H15" s="249" t="s">
        <v>969</v>
      </c>
      <c r="I15" s="248" cm="1">
        <f t="array" ref="I15">IFERROR(INDEX($J$10:$AC$10,MATCH(TRUE,INDEX(J15:AC15&lt;&gt;0,0),0)),"-")</f>
        <v>2027</v>
      </c>
      <c r="J15" s="41" cm="1">
        <f t="array" ref="J15">SUMPRODUCT(('MINI MALL'!$G$6:$Z$6=J$10)*'MINI MALL'!$G$132:$Z$132)</f>
        <v>0</v>
      </c>
      <c r="K15" s="41" cm="1">
        <f t="array" ref="K15">SUMPRODUCT(('MINI MALL'!$G$6:$Z$6=K$10)*'MINI MALL'!$G$132:$Z$132)</f>
        <v>-21767.200000000001</v>
      </c>
      <c r="L15" s="41" cm="1">
        <f t="array" ref="L15">SUMPRODUCT(('MINI MALL'!$G$6:$Z$6=L$10)*'MINI MALL'!$G$132:$Z$132)</f>
        <v>2226.3058679999999</v>
      </c>
      <c r="M15" s="41" cm="1">
        <f t="array" ref="M15">SUMPRODUCT(('MINI MALL'!$G$6:$Z$6=M$10)*'MINI MALL'!$G$132:$Z$132)</f>
        <v>2109.9153000000001</v>
      </c>
      <c r="N15" s="41" cm="1">
        <f t="array" ref="N15">SUMPRODUCT(('MINI MALL'!$G$6:$Z$6=N$10)*'MINI MALL'!$G$132:$Z$132)</f>
        <v>30192.018</v>
      </c>
      <c r="O15" s="41" cm="1">
        <f t="array" ref="O15">SUMPRODUCT(('MINI MALL'!$G$6:$Z$6=O$10)*'MINI MALL'!$G$132:$Z$132)</f>
        <v>0</v>
      </c>
      <c r="P15" s="41" cm="1">
        <f t="array" ref="P15">SUMPRODUCT(('MINI MALL'!$G$6:$Z$6=P$10)*'MINI MALL'!$G$132:$Z$132)</f>
        <v>0</v>
      </c>
      <c r="Q15" s="41" cm="1">
        <f t="array" ref="Q15">SUMPRODUCT(('MINI MALL'!$G$6:$Z$6=Q$10)*'MINI MALL'!$G$132:$Z$132)</f>
        <v>0</v>
      </c>
      <c r="R15" s="41" cm="1">
        <f t="array" ref="R15">SUMPRODUCT(('MINI MALL'!$G$6:$Z$6=R$10)*'MINI MALL'!$G$132:$Z$132)</f>
        <v>0</v>
      </c>
      <c r="S15" s="41" cm="1">
        <f t="array" ref="S15">SUMPRODUCT(('MINI MALL'!$G$6:$Z$6=S$10)*'MINI MALL'!$G$132:$Z$132)</f>
        <v>0</v>
      </c>
      <c r="T15" s="41" cm="1">
        <f t="array" ref="T15">SUMPRODUCT(('MINI MALL'!$G$6:$Z$6=T$10)*'MINI MALL'!$G$132:$Z$132)</f>
        <v>0</v>
      </c>
      <c r="U15" s="41" cm="1">
        <f t="array" ref="U15">SUMPRODUCT(('MINI MALL'!$G$6:$Z$6=U$10)*'MINI MALL'!$G$132:$Z$132)</f>
        <v>0</v>
      </c>
      <c r="V15" s="41" cm="1">
        <f t="array" ref="V15">SUMPRODUCT(('MINI MALL'!$G$6:$Z$6=V$10)*'MINI MALL'!$G$132:$Z$132)</f>
        <v>0</v>
      </c>
      <c r="W15" s="41" cm="1">
        <f t="array" ref="W15">SUMPRODUCT(('MINI MALL'!$G$6:$Z$6=W$10)*'MINI MALL'!$G$132:$Z$132)</f>
        <v>0</v>
      </c>
      <c r="X15" s="41" cm="1">
        <f t="array" ref="X15">SUMPRODUCT(('MINI MALL'!$G$6:$Z$6=X$10)*'MINI MALL'!$G$132:$Z$132)</f>
        <v>0</v>
      </c>
      <c r="Y15" s="41" cm="1">
        <f t="array" ref="Y15">SUMPRODUCT(('MINI MALL'!$G$6:$Z$6=Y$10)*'MINI MALL'!$G$132:$Z$132)</f>
        <v>0</v>
      </c>
      <c r="Z15" s="41" cm="1">
        <f t="array" ref="Z15">SUMPRODUCT(('MINI MALL'!$G$6:$Z$6=Z$10)*'MINI MALL'!$G$132:$Z$132)</f>
        <v>0</v>
      </c>
      <c r="AA15" s="41" cm="1">
        <f t="array" ref="AA15">SUMPRODUCT(('MINI MALL'!$G$6:$Z$6=AA$10)*'MINI MALL'!$G$132:$Z$132)</f>
        <v>0</v>
      </c>
      <c r="AB15" s="41" cm="1">
        <f t="array" ref="AB15">SUMPRODUCT(('MINI MALL'!$G$6:$Z$6=AB$10)*'MINI MALL'!$G$132:$Z$132)</f>
        <v>0</v>
      </c>
      <c r="AC15" s="41" cm="1">
        <f t="array" ref="AC15">SUMPRODUCT(('MINI MALL'!$G$6:$Z$6=AC$10)*'MINI MALL'!$G$132:$Z$132)</f>
        <v>0</v>
      </c>
      <c r="AD15" s="41">
        <f>'MINI MALL'!AA132</f>
        <v>0</v>
      </c>
      <c r="AE15" s="86" t="s">
        <v>1068</v>
      </c>
    </row>
    <row r="16" spans="1:31" x14ac:dyDescent="0.2">
      <c r="A16" s="10"/>
      <c r="B16" s="10" t="s">
        <v>975</v>
      </c>
      <c r="C16" s="284">
        <f>IF(AND(ISERROR(IRR($J16:$AC16)),ISERROR(IRR($J16:$AD16))),"n/a",MAX(IFERROR(IRR($J16:$AC16),-99),IFERROR(IRR($J16:$AD16),-99)))</f>
        <v>0.32136766226820779</v>
      </c>
      <c r="D16" s="289">
        <f>K73</f>
        <v>7.5832588052884615</v>
      </c>
      <c r="E16" s="290">
        <f>H73</f>
        <v>16640</v>
      </c>
      <c r="F16" s="312" t="s">
        <v>976</v>
      </c>
      <c r="G16" s="249">
        <v>1</v>
      </c>
      <c r="H16" s="249" t="s">
        <v>969</v>
      </c>
      <c r="I16" s="248" cm="1">
        <f t="array" ref="I16">IFERROR(INDEX($J$10:$AC$10,MATCH(TRUE,INDEX(J16:AC16&lt;&gt;0,0),0)),"-")</f>
        <v>2027</v>
      </c>
      <c r="J16" s="41" cm="1">
        <f t="array" ref="J16">SUMPRODUCT(('WDC WEDDINGS'!$G$6:$Z$6=J$10)*'WDC WEDDINGS'!$G$36:$Z$36)</f>
        <v>0</v>
      </c>
      <c r="K16" s="41" cm="1">
        <f t="array" ref="K16">SUMPRODUCT(('WDC WEDDINGS'!$G$6:$Z$6=K$10)*'WDC WEDDINGS'!$G$36:$Z$36)</f>
        <v>-16640</v>
      </c>
      <c r="L16" s="41" cm="1">
        <f t="array" ref="L16">SUMPRODUCT(('WDC WEDDINGS'!$G$6:$Z$6=L$10)*'WDC WEDDINGS'!$G$36:$Z$36)</f>
        <v>2659.9525300000009</v>
      </c>
      <c r="M16" s="41" cm="1">
        <f t="array" ref="M16">SUMPRODUCT(('WDC WEDDINGS'!$G$6:$Z$6=M$10)*'WDC WEDDINGS'!$G$36:$Z$36)</f>
        <v>3978.2646400000003</v>
      </c>
      <c r="N16" s="41" cm="1">
        <f t="array" ref="N16">SUMPRODUCT(('WDC WEDDINGS'!$G$6:$Z$6=N$10)*'WDC WEDDINGS'!$G$36:$Z$36)</f>
        <v>4995.8036700000002</v>
      </c>
      <c r="O16" s="41" cm="1">
        <f t="array" ref="O16">SUMPRODUCT(('WDC WEDDINGS'!$G$6:$Z$6=O$10)*'WDC WEDDINGS'!$G$36:$Z$36)</f>
        <v>6282.93768</v>
      </c>
      <c r="P16" s="41" cm="1">
        <f t="array" ref="P16">SUMPRODUCT(('WDC WEDDINGS'!$G$6:$Z$6=P$10)*'WDC WEDDINGS'!$G$36:$Z$36)</f>
        <v>7733.4620000000004</v>
      </c>
      <c r="Q16" s="41" cm="1">
        <f t="array" ref="Q16">SUMPRODUCT(('WDC WEDDINGS'!$G$6:$Z$6=Q$10)*'WDC WEDDINGS'!$G$36:$Z$36)</f>
        <v>7733.4620000000004</v>
      </c>
      <c r="R16" s="41" cm="1">
        <f t="array" ref="R16">SUMPRODUCT(('WDC WEDDINGS'!$G$6:$Z$6=R$10)*'WDC WEDDINGS'!$G$36:$Z$36)</f>
        <v>7733.4620000000004</v>
      </c>
      <c r="S16" s="41" cm="1">
        <f t="array" ref="S16">SUMPRODUCT(('WDC WEDDINGS'!$G$6:$Z$6=S$10)*'WDC WEDDINGS'!$G$36:$Z$36)</f>
        <v>7733.4620000000004</v>
      </c>
      <c r="T16" s="41" cm="1">
        <f t="array" ref="T16">SUMPRODUCT(('WDC WEDDINGS'!$G$6:$Z$6=T$10)*'WDC WEDDINGS'!$G$36:$Z$36)</f>
        <v>7733.4620000000004</v>
      </c>
      <c r="U16" s="41" cm="1">
        <f t="array" ref="U16">SUMPRODUCT(('WDC WEDDINGS'!$G$6:$Z$6=U$10)*'WDC WEDDINGS'!$G$36:$Z$36)</f>
        <v>7733.4620000000004</v>
      </c>
      <c r="V16" s="41" cm="1">
        <f t="array" ref="V16">SUMPRODUCT(('WDC WEDDINGS'!$G$6:$Z$6=V$10)*'WDC WEDDINGS'!$G$36:$Z$36)</f>
        <v>7733.4620000000004</v>
      </c>
      <c r="W16" s="41" cm="1">
        <f t="array" ref="W16">SUMPRODUCT(('WDC WEDDINGS'!$G$6:$Z$6=W$10)*'WDC WEDDINGS'!$G$36:$Z$36)</f>
        <v>7733.4620000000004</v>
      </c>
      <c r="X16" s="41" cm="1">
        <f t="array" ref="X16">SUMPRODUCT(('WDC WEDDINGS'!$G$6:$Z$6=X$10)*'WDC WEDDINGS'!$G$36:$Z$36)</f>
        <v>7733.4620000000004</v>
      </c>
      <c r="Y16" s="41" cm="1">
        <f t="array" ref="Y16">SUMPRODUCT(('WDC WEDDINGS'!$G$6:$Z$6=Y$10)*'WDC WEDDINGS'!$G$36:$Z$36)</f>
        <v>7733.4620000000004</v>
      </c>
      <c r="Z16" s="41" cm="1">
        <f t="array" ref="Z16">SUMPRODUCT(('WDC WEDDINGS'!$G$6:$Z$6=Z$10)*'WDC WEDDINGS'!$G$36:$Z$36)</f>
        <v>7733.4620000000004</v>
      </c>
      <c r="AA16" s="41" cm="1">
        <f t="array" ref="AA16">SUMPRODUCT(('WDC WEDDINGS'!$G$6:$Z$6=AA$10)*'WDC WEDDINGS'!$G$36:$Z$36)</f>
        <v>7733.4620000000004</v>
      </c>
      <c r="AB16" s="41" cm="1">
        <f t="array" ref="AB16">SUMPRODUCT(('WDC WEDDINGS'!$G$6:$Z$6=AB$10)*'WDC WEDDINGS'!$G$36:$Z$36)</f>
        <v>7733.4620000000004</v>
      </c>
      <c r="AC16" s="41" cm="1">
        <f t="array" ref="AC16">SUMPRODUCT(('WDC WEDDINGS'!$G$6:$Z$6=AC$10)*'WDC WEDDINGS'!$G$36:$Z$36)</f>
        <v>7733.4620000000004</v>
      </c>
      <c r="AD16" s="41">
        <f>'WDC WEDDINGS'!AA36</f>
        <v>77334.62</v>
      </c>
      <c r="AE16" s="86" t="s">
        <v>974</v>
      </c>
    </row>
    <row r="17" spans="1:31" x14ac:dyDescent="0.2">
      <c r="A17" s="10"/>
      <c r="B17" s="10" t="s">
        <v>977</v>
      </c>
      <c r="C17" s="284">
        <f>IF(AND(ISERROR(IRR($J17:$AC17)),ISERROR(IRR($J17:$AD17))),"n/a",MAX(IFERROR(IRR($J17:$AC17),-99),IFERROR(IRR($J17:$AD17),-99)))</f>
        <v>0.18005338922109515</v>
      </c>
      <c r="D17" s="289">
        <f>K74</f>
        <v>3.2977281924551196</v>
      </c>
      <c r="E17" s="290">
        <f>H74</f>
        <v>133277.70805000002</v>
      </c>
      <c r="F17" s="312" t="s">
        <v>978</v>
      </c>
      <c r="G17" s="249">
        <v>1</v>
      </c>
      <c r="H17" s="249" t="s">
        <v>969</v>
      </c>
      <c r="I17" s="248" cm="1">
        <f t="array" ref="I17">IFERROR(INDEX($J$10:$AC$10,MATCH(TRUE,INDEX(J17:AC17&lt;&gt;0,0),0)),"-")</f>
        <v>2028</v>
      </c>
      <c r="J17" s="41" cm="1">
        <f t="array" ref="J17">SUMPRODUCT(('SKI GRAMADO'!$G$6:$Z$6=J$10)*'SKI GRAMADO'!$G$132:$Z$132)</f>
        <v>0</v>
      </c>
      <c r="K17" s="41" cm="1">
        <f t="array" ref="K17">SUMPRODUCT(('SKI GRAMADO'!$G$6:$Z$6=K$10)*'SKI GRAMADO'!$G$132:$Z$132)</f>
        <v>0</v>
      </c>
      <c r="L17" s="41" cm="1">
        <f t="array" ref="L17">SUMPRODUCT(('SKI GRAMADO'!$G$6:$Z$6=L$10)*'SKI GRAMADO'!$G$132:$Z$132)</f>
        <v>-54400</v>
      </c>
      <c r="M17" s="41" cm="1">
        <f t="array" ref="M17">SUMPRODUCT(('SKI GRAMADO'!$G$6:$Z$6=M$10)*'SKI GRAMADO'!$G$132:$Z$132)</f>
        <v>-78877.708050000001</v>
      </c>
      <c r="N17" s="41" cm="1">
        <f t="array" ref="N17">SUMPRODUCT(('SKI GRAMADO'!$G$6:$Z$6=N$10)*'SKI GRAMADO'!$G$132:$Z$132)</f>
        <v>18012.613000000005</v>
      </c>
      <c r="O17" s="41" cm="1">
        <f t="array" ref="O17">SUMPRODUCT(('SKI GRAMADO'!$G$6:$Z$6=O$10)*'SKI GRAMADO'!$G$132:$Z$132)</f>
        <v>19057.608798981251</v>
      </c>
      <c r="P17" s="41" cm="1">
        <f t="array" ref="P17">SUMPRODUCT(('SKI GRAMADO'!$G$6:$Z$6=P$10)*'SKI GRAMADO'!$G$132:$Z$132)</f>
        <v>20143.598334202798</v>
      </c>
      <c r="Q17" s="41" cm="1">
        <f t="array" ref="Q17">SUMPRODUCT(('SKI GRAMADO'!$G$6:$Z$6=Q$10)*'SKI GRAMADO'!$G$132:$Z$132)</f>
        <v>21272.069929297872</v>
      </c>
      <c r="R17" s="41" cm="1">
        <f t="array" ref="R17">SUMPRODUCT(('SKI GRAMADO'!$G$6:$Z$6=R$10)*'SKI GRAMADO'!$G$132:$Z$132)</f>
        <v>22444.564864911354</v>
      </c>
      <c r="S17" s="41" cm="1">
        <f t="array" ref="S17">SUMPRODUCT(('SKI GRAMADO'!$G$6:$Z$6=S$10)*'SKI GRAMADO'!$G$132:$Z$132)</f>
        <v>23662.679252512065</v>
      </c>
      <c r="T17" s="41" cm="1">
        <f t="array" ref="T17">SUMPRODUCT(('SKI GRAMADO'!$G$6:$Z$6=T$10)*'SKI GRAMADO'!$G$132:$Z$132)</f>
        <v>24928.065974403398</v>
      </c>
      <c r="U17" s="41" cm="1">
        <f t="array" ref="U17">SUMPRODUCT(('SKI GRAMADO'!$G$6:$Z$6=U$10)*'SKI GRAMADO'!$G$132:$Z$132)</f>
        <v>26242.436692269799</v>
      </c>
      <c r="V17" s="41" cm="1">
        <f t="array" ref="V17">SUMPRODUCT(('SKI GRAMADO'!$G$6:$Z$6=V$10)*'SKI GRAMADO'!$G$132:$Z$132)</f>
        <v>27607.563926679501</v>
      </c>
      <c r="W17" s="41" cm="1">
        <f t="array" ref="W17">SUMPRODUCT(('SKI GRAMADO'!$G$6:$Z$6=W$10)*'SKI GRAMADO'!$G$132:$Z$132)</f>
        <v>29025.283210048481</v>
      </c>
      <c r="X17" s="41" cm="1">
        <f t="array" ref="X17">SUMPRODUCT(('SKI GRAMADO'!$G$6:$Z$6=X$10)*'SKI GRAMADO'!$G$132:$Z$132)</f>
        <v>30497.495315660741</v>
      </c>
      <c r="Y17" s="41" cm="1">
        <f t="array" ref="Y17">SUMPRODUCT(('SKI GRAMADO'!$G$6:$Z$6=Y$10)*'SKI GRAMADO'!$G$132:$Z$132)</f>
        <v>32026.168565429525</v>
      </c>
      <c r="Z17" s="41" cm="1">
        <f t="array" ref="Z17">SUMPRODUCT(('SKI GRAMADO'!$G$6:$Z$6=Z$10)*'SKI GRAMADO'!$G$132:$Z$132)</f>
        <v>33613.341219180817</v>
      </c>
      <c r="AA17" s="41" cm="1">
        <f t="array" ref="AA17">SUMPRODUCT(('SKI GRAMADO'!$G$6:$Z$6=AA$10)*'SKI GRAMADO'!$G$132:$Z$132)</f>
        <v>35261.123948336928</v>
      </c>
      <c r="AB17" s="41" cm="1">
        <f t="array" ref="AB17">SUMPRODUCT(('SKI GRAMADO'!$G$6:$Z$6=AB$10)*'SKI GRAMADO'!$G$132:$Z$132)</f>
        <v>36971.702396981731</v>
      </c>
      <c r="AC17" s="41" cm="1">
        <f t="array" ref="AC17">SUMPRODUCT(('SKI GRAMADO'!$G$6:$Z$6=AC$10)*'SKI GRAMADO'!$G$132:$Z$132)</f>
        <v>38747.339833391394</v>
      </c>
      <c r="AD17" s="41">
        <f>'SKI GRAMADO'!AA132</f>
        <v>387473.39833391394</v>
      </c>
      <c r="AE17" s="86" t="s">
        <v>979</v>
      </c>
    </row>
    <row r="18" spans="1:31" x14ac:dyDescent="0.2">
      <c r="A18" s="10"/>
      <c r="B18" s="24" t="s">
        <v>998</v>
      </c>
      <c r="C18" s="283"/>
      <c r="D18" s="26"/>
      <c r="E18" s="26"/>
      <c r="F18" s="170"/>
      <c r="G18" s="26"/>
      <c r="H18" s="26"/>
      <c r="I18" s="27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4"/>
    </row>
    <row r="19" spans="1:31" x14ac:dyDescent="0.2">
      <c r="A19" s="10"/>
      <c r="B19" s="10" t="s">
        <v>999</v>
      </c>
      <c r="C19" s="284">
        <f t="shared" ref="C19:C24" si="1">IF(AND(ISERROR(IRR($J19:$AC19)),ISERROR(IRR($J19:$AD19))),"n/a",MAX(IFERROR(IRR($J19:$AC19),-99),IFERROR(IRR($J19:$AD19),-99)))</f>
        <v>0.50684124956036158</v>
      </c>
      <c r="D19" s="289">
        <f t="shared" ref="D19:D24" si="2">K75</f>
        <v>2.6486602322392301</v>
      </c>
      <c r="E19" s="288">
        <f t="shared" ref="E19:E24" si="3">H75</f>
        <v>34671.133122637177</v>
      </c>
      <c r="F19" s="312" t="s">
        <v>971</v>
      </c>
      <c r="G19" s="249">
        <v>1</v>
      </c>
      <c r="H19" s="249" t="s">
        <v>969</v>
      </c>
      <c r="I19" s="248" cm="1">
        <f t="array" ref="I19">IFERROR(INDEX($J$10:$AC$10,MATCH(TRUE,INDEX(J19:AC19&lt;&gt;0,0),0)),"-")</f>
        <v>2027</v>
      </c>
      <c r="J19" s="41" cm="1">
        <f t="array" ref="J19">SUMPRODUCT(('LAND LOTS'!$I$223:$AB$223=J$10)*'LAND LOTS'!$I$224:$AB$224)</f>
        <v>0</v>
      </c>
      <c r="K19" s="41" cm="1">
        <f t="array" ref="K19">SUMPRODUCT(('LAND LOTS'!$I$223:$AB$223=K$10)*'LAND LOTS'!$I$224:$AB$224)</f>
        <v>-1462.05</v>
      </c>
      <c r="L19" s="41" cm="1">
        <f t="array" ref="L19">SUMPRODUCT(('LAND LOTS'!$I$223:$AB$223=L$10)*'LAND LOTS'!$I$224:$AB$224)</f>
        <v>-7783.9706037511387</v>
      </c>
      <c r="M19" s="41" cm="1">
        <f t="array" ref="M19">SUMPRODUCT(('LAND LOTS'!$I$223:$AB$223=M$10)*'LAND LOTS'!$I$224:$AB$224)</f>
        <v>-25425.112518886039</v>
      </c>
      <c r="N19" s="41" cm="1">
        <f t="array" ref="N19">SUMPRODUCT(('LAND LOTS'!$I$223:$AB$223=N$10)*'LAND LOTS'!$I$224:$AB$224)</f>
        <v>132.26936765727601</v>
      </c>
      <c r="O19" s="41" cm="1">
        <f t="array" ref="O19">SUMPRODUCT(('LAND LOTS'!$I$223:$AB$223=O$10)*'LAND LOTS'!$I$224:$AB$224)</f>
        <v>91699.782140944168</v>
      </c>
      <c r="P19" s="41" cm="1">
        <f t="array" ref="P19">SUMPRODUCT(('LAND LOTS'!$I$223:$AB$223=P$10)*'LAND LOTS'!$I$224:$AB$224)</f>
        <v>0</v>
      </c>
      <c r="Q19" s="41" cm="1">
        <f t="array" ref="Q19">SUMPRODUCT(('LAND LOTS'!$I$223:$AB$223=Q$10)*'LAND LOTS'!$I$224:$AB$224)</f>
        <v>0</v>
      </c>
      <c r="R19" s="41" cm="1">
        <f t="array" ref="R19">SUMPRODUCT(('LAND LOTS'!$I$223:$AB$223=R$10)*'LAND LOTS'!$I$224:$AB$224)</f>
        <v>0</v>
      </c>
      <c r="S19" s="41" cm="1">
        <f t="array" ref="S19">SUMPRODUCT(('LAND LOTS'!$I$223:$AB$223=S$10)*'LAND LOTS'!$I$224:$AB$224)</f>
        <v>0</v>
      </c>
      <c r="T19" s="41" cm="1">
        <f t="array" ref="T19">SUMPRODUCT(('LAND LOTS'!$I$223:$AB$223=T$10)*'LAND LOTS'!$I$224:$AB$224)</f>
        <v>0</v>
      </c>
      <c r="U19" s="41" cm="1">
        <f t="array" ref="U19">SUMPRODUCT(('LAND LOTS'!$I$223:$AB$223=U$10)*'LAND LOTS'!$I$224:$AB$224)</f>
        <v>0</v>
      </c>
      <c r="V19" s="41" cm="1">
        <f t="array" ref="V19">SUMPRODUCT(('LAND LOTS'!$I$223:$AB$223=V$10)*'LAND LOTS'!$I$224:$AB$224)</f>
        <v>0</v>
      </c>
      <c r="W19" s="41" cm="1">
        <f t="array" ref="W19">SUMPRODUCT(('LAND LOTS'!$I$223:$AB$223=W$10)*'LAND LOTS'!$I$224:$AB$224)</f>
        <v>0</v>
      </c>
      <c r="X19" s="41" cm="1">
        <f t="array" ref="X19">SUMPRODUCT(('LAND LOTS'!$I$223:$AB$223=X$10)*'LAND LOTS'!$I$224:$AB$224)</f>
        <v>0</v>
      </c>
      <c r="Y19" s="41" cm="1">
        <f t="array" ref="Y19">SUMPRODUCT(('LAND LOTS'!$I$223:$AB$223=Y$10)*'LAND LOTS'!$I$224:$AB$224)</f>
        <v>0</v>
      </c>
      <c r="Z19" s="41" cm="1">
        <f t="array" ref="Z19">SUMPRODUCT(('LAND LOTS'!$I$223:$AB$223=Z$10)*'LAND LOTS'!$I$224:$AB$224)</f>
        <v>0</v>
      </c>
      <c r="AA19" s="41" cm="1">
        <f t="array" ref="AA19">SUMPRODUCT(('LAND LOTS'!$I$223:$AB$223=AA$10)*'LAND LOTS'!$I$224:$AB$224)</f>
        <v>0</v>
      </c>
      <c r="AB19" s="41" cm="1">
        <f t="array" ref="AB19">SUMPRODUCT(('LAND LOTS'!$I$223:$AB$223=AB$10)*'LAND LOTS'!$I$224:$AB$224)</f>
        <v>0</v>
      </c>
      <c r="AC19" s="41" cm="1">
        <f t="array" ref="AC19">SUMPRODUCT(('LAND LOTS'!$I$223:$AB$223=AC$10)*'LAND LOTS'!$I$224:$AB$224)</f>
        <v>0</v>
      </c>
      <c r="AD19" s="41">
        <f>'LAND LOTS'!AC224</f>
        <v>0</v>
      </c>
      <c r="AE19" s="86" t="str">
        <f>'LAND LOTS'!$D$14</f>
        <v>Com alavancagem</v>
      </c>
    </row>
    <row r="20" spans="1:31" x14ac:dyDescent="0.2">
      <c r="A20" s="10"/>
      <c r="B20" s="10" t="s">
        <v>1000</v>
      </c>
      <c r="C20" s="284">
        <f t="shared" si="1"/>
        <v>0.42088158367723039</v>
      </c>
      <c r="D20" s="289">
        <f t="shared" si="2"/>
        <v>2.3823813755833179</v>
      </c>
      <c r="E20" s="288">
        <f t="shared" si="3"/>
        <v>43858.155704788674</v>
      </c>
      <c r="F20" s="312" t="s">
        <v>971</v>
      </c>
      <c r="G20" s="249">
        <v>1</v>
      </c>
      <c r="H20" s="249" t="s">
        <v>969</v>
      </c>
      <c r="I20" s="248" cm="1">
        <f t="array" ref="I20">IFERROR(INDEX($J$10:$AC$10,MATCH(TRUE,INDEX(J20:AC20&lt;&gt;0,0),0)),"-")</f>
        <v>2027</v>
      </c>
      <c r="J20" s="41" cm="1">
        <f t="array" ref="J20">SUMPRODUCT(('VERTICAL APTS'!$I$223:$AB$223=J$10)*'VERTICAL APTS'!$I$224:$AB$224)</f>
        <v>0</v>
      </c>
      <c r="K20" s="41" cm="1">
        <f t="array" ref="K20">SUMPRODUCT(('VERTICAL APTS'!$I$223:$AB$223=K$10)*'VERTICAL APTS'!$I$224:$AB$224)</f>
        <v>-3018.0266666666666</v>
      </c>
      <c r="L20" s="41" cm="1">
        <f t="array" ref="L20">SUMPRODUCT(('VERTICAL APTS'!$I$223:$AB$223=L$10)*'VERTICAL APTS'!$I$224:$AB$224)</f>
        <v>-4854.9729176977125</v>
      </c>
      <c r="M20" s="41" cm="1">
        <f t="array" ref="M20">SUMPRODUCT(('VERTICAL APTS'!$I$223:$AB$223=M$10)*'VERTICAL APTS'!$I$224:$AB$224)</f>
        <v>-35985.156120424297</v>
      </c>
      <c r="N20" s="41" cm="1">
        <f t="array" ref="N20">SUMPRODUCT(('VERTICAL APTS'!$I$223:$AB$223=N$10)*'VERTICAL APTS'!$I$224:$AB$224)</f>
        <v>17557.637081922785</v>
      </c>
      <c r="O20" s="41" cm="1">
        <f t="array" ref="O20">SUMPRODUCT(('VERTICAL APTS'!$I$223:$AB$223=O$10)*'VERTICAL APTS'!$I$224:$AB$224)</f>
        <v>43050.270896727103</v>
      </c>
      <c r="P20" s="41" cm="1">
        <f t="array" ref="P20">SUMPRODUCT(('VERTICAL APTS'!$I$223:$AB$223=P$10)*'VERTICAL APTS'!$I$224:$AB$224)</f>
        <v>43878.945339871898</v>
      </c>
      <c r="Q20" s="41" cm="1">
        <f t="array" ref="Q20">SUMPRODUCT(('VERTICAL APTS'!$I$223:$AB$223=Q$10)*'VERTICAL APTS'!$I$224:$AB$224)</f>
        <v>0</v>
      </c>
      <c r="R20" s="41" cm="1">
        <f t="array" ref="R20">SUMPRODUCT(('VERTICAL APTS'!$I$223:$AB$223=R$10)*'VERTICAL APTS'!$I$224:$AB$224)</f>
        <v>0</v>
      </c>
      <c r="S20" s="41" cm="1">
        <f t="array" ref="S20">SUMPRODUCT(('VERTICAL APTS'!$I$223:$AB$223=S$10)*'VERTICAL APTS'!$I$224:$AB$224)</f>
        <v>0</v>
      </c>
      <c r="T20" s="41" cm="1">
        <f t="array" ref="T20">SUMPRODUCT(('VERTICAL APTS'!$I$223:$AB$223=T$10)*'VERTICAL APTS'!$I$224:$AB$224)</f>
        <v>0</v>
      </c>
      <c r="U20" s="41" cm="1">
        <f t="array" ref="U20">SUMPRODUCT(('VERTICAL APTS'!$I$223:$AB$223=U$10)*'VERTICAL APTS'!$I$224:$AB$224)</f>
        <v>0</v>
      </c>
      <c r="V20" s="41" cm="1">
        <f t="array" ref="V20">SUMPRODUCT(('VERTICAL APTS'!$I$223:$AB$223=V$10)*'VERTICAL APTS'!$I$224:$AB$224)</f>
        <v>0</v>
      </c>
      <c r="W20" s="41" cm="1">
        <f t="array" ref="W20">SUMPRODUCT(('VERTICAL APTS'!$I$223:$AB$223=W$10)*'VERTICAL APTS'!$I$224:$AB$224)</f>
        <v>0</v>
      </c>
      <c r="X20" s="41" cm="1">
        <f t="array" ref="X20">SUMPRODUCT(('VERTICAL APTS'!$I$223:$AB$223=X$10)*'VERTICAL APTS'!$I$224:$AB$224)</f>
        <v>0</v>
      </c>
      <c r="Y20" s="41" cm="1">
        <f t="array" ref="Y20">SUMPRODUCT(('VERTICAL APTS'!$I$223:$AB$223=Y$10)*'VERTICAL APTS'!$I$224:$AB$224)</f>
        <v>0</v>
      </c>
      <c r="Z20" s="41" cm="1">
        <f t="array" ref="Z20">SUMPRODUCT(('VERTICAL APTS'!$I$223:$AB$223=Z$10)*'VERTICAL APTS'!$I$224:$AB$224)</f>
        <v>0</v>
      </c>
      <c r="AA20" s="41" cm="1">
        <f t="array" ref="AA20">SUMPRODUCT(('VERTICAL APTS'!$I$223:$AB$223=AA$10)*'VERTICAL APTS'!$I$224:$AB$224)</f>
        <v>0</v>
      </c>
      <c r="AB20" s="41" cm="1">
        <f t="array" ref="AB20">SUMPRODUCT(('VERTICAL APTS'!$I$223:$AB$223=AB$10)*'VERTICAL APTS'!$I$224:$AB$224)</f>
        <v>0</v>
      </c>
      <c r="AC20" s="41" cm="1">
        <f t="array" ref="AC20">SUMPRODUCT(('VERTICAL APTS'!$I$223:$AB$223=AC$10)*'VERTICAL APTS'!$I$224:$AB$224)</f>
        <v>0</v>
      </c>
      <c r="AD20" s="41">
        <f>'VERTICAL APTS'!AC224</f>
        <v>0</v>
      </c>
      <c r="AE20" s="86" t="str">
        <f>'VERTICAL APTS'!$D$14</f>
        <v>Com alavancagem</v>
      </c>
    </row>
    <row r="21" spans="1:31" x14ac:dyDescent="0.2">
      <c r="A21" s="10"/>
      <c r="B21" s="10" t="s">
        <v>1001</v>
      </c>
      <c r="C21" s="284">
        <f t="shared" si="1"/>
        <v>0.72349055965235043</v>
      </c>
      <c r="D21" s="289">
        <f t="shared" si="2"/>
        <v>3.6483859283962445</v>
      </c>
      <c r="E21" s="288">
        <f t="shared" si="3"/>
        <v>69529.343972464383</v>
      </c>
      <c r="F21" s="312" t="s">
        <v>971</v>
      </c>
      <c r="G21" s="249">
        <v>2</v>
      </c>
      <c r="H21" s="249" t="s">
        <v>969</v>
      </c>
      <c r="I21" s="248" cm="1">
        <f t="array" ref="I21">IFERROR(INDEX($J$10:$AC$10,MATCH(TRUE,INDEX(J21:AC21&lt;&gt;0,0),0)),"-")</f>
        <v>2029</v>
      </c>
      <c r="J21" s="41" cm="1">
        <f t="array" ref="J21">SUMPRODUCT(('LAND LOTS'!$I$223:$AB$223=J$10)*'LAND LOTS'!$I$225:$AB$225)</f>
        <v>0</v>
      </c>
      <c r="K21" s="41" cm="1">
        <f t="array" ref="K21">SUMPRODUCT(('LAND LOTS'!$I$223:$AB$223=K$10)*'LAND LOTS'!$I$225:$AB$225)</f>
        <v>0</v>
      </c>
      <c r="L21" s="41" cm="1">
        <f t="array" ref="L21">SUMPRODUCT(('LAND LOTS'!$I$223:$AB$223=L$10)*'LAND LOTS'!$I$225:$AB$225)</f>
        <v>0</v>
      </c>
      <c r="M21" s="41" cm="1">
        <f t="array" ref="M21">SUMPRODUCT(('LAND LOTS'!$I$223:$AB$223=M$10)*'LAND LOTS'!$I$225:$AB$225)</f>
        <v>-3667.59</v>
      </c>
      <c r="N21" s="41" cm="1">
        <f t="array" ref="N21">SUMPRODUCT(('LAND LOTS'!$I$223:$AB$223=N$10)*'LAND LOTS'!$I$225:$AB$225)</f>
        <v>-14525.062048269801</v>
      </c>
      <c r="O21" s="41" cm="1">
        <f t="array" ref="O21">SUMPRODUCT(('LAND LOTS'!$I$223:$AB$223=O$10)*'LAND LOTS'!$I$225:$AB$225)</f>
        <v>-51336.691924194572</v>
      </c>
      <c r="P21" s="41" cm="1">
        <f t="array" ref="P21">SUMPRODUCT(('LAND LOTS'!$I$223:$AB$223=P$10)*'LAND LOTS'!$I$225:$AB$225)</f>
        <v>7661.6685108576939</v>
      </c>
      <c r="Q21" s="41" cm="1">
        <f t="array" ref="Q21">SUMPRODUCT(('LAND LOTS'!$I$223:$AB$223=Q$10)*'LAND LOTS'!$I$225:$AB$225)</f>
        <v>246008.21164890358</v>
      </c>
      <c r="R21" s="41" cm="1">
        <f t="array" ref="R21">SUMPRODUCT(('LAND LOTS'!$I$223:$AB$223=R$10)*'LAND LOTS'!$I$225:$AB$225)</f>
        <v>0</v>
      </c>
      <c r="S21" s="41" cm="1">
        <f t="array" ref="S21">SUMPRODUCT(('LAND LOTS'!$I$223:$AB$223=S$10)*'LAND LOTS'!$I$225:$AB$225)</f>
        <v>0</v>
      </c>
      <c r="T21" s="41" cm="1">
        <f t="array" ref="T21">SUMPRODUCT(('LAND LOTS'!$I$223:$AB$223=T$10)*'LAND LOTS'!$I$225:$AB$225)</f>
        <v>0</v>
      </c>
      <c r="U21" s="41" cm="1">
        <f t="array" ref="U21">SUMPRODUCT(('LAND LOTS'!$I$223:$AB$223=U$10)*'LAND LOTS'!$I$225:$AB$225)</f>
        <v>0</v>
      </c>
      <c r="V21" s="41" cm="1">
        <f t="array" ref="V21">SUMPRODUCT(('LAND LOTS'!$I$223:$AB$223=V$10)*'LAND LOTS'!$I$225:$AB$225)</f>
        <v>0</v>
      </c>
      <c r="W21" s="41" cm="1">
        <f t="array" ref="W21">SUMPRODUCT(('LAND LOTS'!$I$223:$AB$223=W$10)*'LAND LOTS'!$I$225:$AB$225)</f>
        <v>0</v>
      </c>
      <c r="X21" s="41" cm="1">
        <f t="array" ref="X21">SUMPRODUCT(('LAND LOTS'!$I$223:$AB$223=X$10)*'LAND LOTS'!$I$225:$AB$225)</f>
        <v>0</v>
      </c>
      <c r="Y21" s="41" cm="1">
        <f t="array" ref="Y21">SUMPRODUCT(('LAND LOTS'!$I$223:$AB$223=Y$10)*'LAND LOTS'!$I$225:$AB$225)</f>
        <v>0</v>
      </c>
      <c r="Z21" s="41" cm="1">
        <f t="array" ref="Z21">SUMPRODUCT(('LAND LOTS'!$I$223:$AB$223=Z$10)*'LAND LOTS'!$I$225:$AB$225)</f>
        <v>0</v>
      </c>
      <c r="AA21" s="41" cm="1">
        <f t="array" ref="AA21">SUMPRODUCT(('LAND LOTS'!$I$223:$AB$223=AA$10)*'LAND LOTS'!$I$225:$AB$225)</f>
        <v>0</v>
      </c>
      <c r="AB21" s="41" cm="1">
        <f t="array" ref="AB21">SUMPRODUCT(('LAND LOTS'!$I$223:$AB$223=AB$10)*'LAND LOTS'!$I$225:$AB$225)</f>
        <v>0</v>
      </c>
      <c r="AC21" s="41" cm="1">
        <f t="array" ref="AC21">SUMPRODUCT(('LAND LOTS'!$I$223:$AB$223=AC$10)*'LAND LOTS'!$I$225:$AB$225)</f>
        <v>0</v>
      </c>
      <c r="AD21" s="41">
        <f>'LAND LOTS'!AC225</f>
        <v>0</v>
      </c>
      <c r="AE21" s="86" t="str">
        <f>'LAND LOTS'!$D$14</f>
        <v>Com alavancagem</v>
      </c>
    </row>
    <row r="22" spans="1:31" x14ac:dyDescent="0.2">
      <c r="A22" s="10"/>
      <c r="B22" s="10" t="s">
        <v>1002</v>
      </c>
      <c r="C22" s="284">
        <f t="shared" si="1"/>
        <v>0.48222734468941186</v>
      </c>
      <c r="D22" s="289">
        <f t="shared" si="2"/>
        <v>2.6641290510849416</v>
      </c>
      <c r="E22" s="288">
        <f t="shared" si="3"/>
        <v>47164.827345532562</v>
      </c>
      <c r="F22" s="312" t="s">
        <v>971</v>
      </c>
      <c r="G22" s="249">
        <v>2</v>
      </c>
      <c r="H22" s="249" t="s">
        <v>969</v>
      </c>
      <c r="I22" s="248" cm="1">
        <f t="array" ref="I22">IFERROR(INDEX($J$10:$AC$10,MATCH(TRUE,INDEX(J22:AC22&lt;&gt;0,0),0)),"-")</f>
        <v>2029</v>
      </c>
      <c r="J22" s="41" cm="1">
        <f t="array" ref="J22">SUMPRODUCT(('VERTICAL APTS'!$I$223:$AB$223=J$10)*'VERTICAL APTS'!$I$225:$AB$225)</f>
        <v>0</v>
      </c>
      <c r="K22" s="41" cm="1">
        <f t="array" ref="K22">SUMPRODUCT(('VERTICAL APTS'!$I$223:$AB$223=K$10)*'VERTICAL APTS'!$I$225:$AB$225)</f>
        <v>0</v>
      </c>
      <c r="L22" s="41" cm="1">
        <f t="array" ref="L22">SUMPRODUCT(('VERTICAL APTS'!$I$223:$AB$223=L$10)*'VERTICAL APTS'!$I$225:$AB$225)</f>
        <v>0</v>
      </c>
      <c r="M22" s="41" cm="1">
        <f t="array" ref="M22">SUMPRODUCT(('VERTICAL APTS'!$I$223:$AB$223=M$10)*'VERTICAL APTS'!$I$225:$AB$225)</f>
        <v>-3365.9826666666663</v>
      </c>
      <c r="N22" s="41" cm="1">
        <f t="array" ref="N22">SUMPRODUCT(('VERTICAL APTS'!$I$223:$AB$223=N$10)*'VERTICAL APTS'!$I$225:$AB$225)</f>
        <v>-4968.2660930081147</v>
      </c>
      <c r="O22" s="41" cm="1">
        <f t="array" ref="O22">SUMPRODUCT(('VERTICAL APTS'!$I$223:$AB$223=O$10)*'VERTICAL APTS'!$I$225:$AB$225)</f>
        <v>-38830.57858585778</v>
      </c>
      <c r="P22" s="41" cm="1">
        <f t="array" ref="P22">SUMPRODUCT(('VERTICAL APTS'!$I$223:$AB$223=P$10)*'VERTICAL APTS'!$I$225:$AB$225)</f>
        <v>20668.402536252281</v>
      </c>
      <c r="Q22" s="41" cm="1">
        <f t="array" ref="Q22">SUMPRODUCT(('VERTICAL APTS'!$I$223:$AB$223=Q$10)*'VERTICAL APTS'!$I$225:$AB$225)</f>
        <v>50016.018777194251</v>
      </c>
      <c r="R22" s="41" cm="1">
        <f t="array" ref="R22">SUMPRODUCT(('VERTICAL APTS'!$I$223:$AB$223=R$10)*'VERTICAL APTS'!$I$225:$AB$225)</f>
        <v>54968.76540719223</v>
      </c>
      <c r="S22" s="41" cm="1">
        <f t="array" ref="S22">SUMPRODUCT(('VERTICAL APTS'!$I$223:$AB$223=S$10)*'VERTICAL APTS'!$I$225:$AB$225)</f>
        <v>0</v>
      </c>
      <c r="T22" s="41" cm="1">
        <f t="array" ref="T22">SUMPRODUCT(('VERTICAL APTS'!$I$223:$AB$223=T$10)*'VERTICAL APTS'!$I$225:$AB$225)</f>
        <v>0</v>
      </c>
      <c r="U22" s="41" cm="1">
        <f t="array" ref="U22">SUMPRODUCT(('VERTICAL APTS'!$I$223:$AB$223=U$10)*'VERTICAL APTS'!$I$225:$AB$225)</f>
        <v>0</v>
      </c>
      <c r="V22" s="41" cm="1">
        <f t="array" ref="V22">SUMPRODUCT(('VERTICAL APTS'!$I$223:$AB$223=V$10)*'VERTICAL APTS'!$I$225:$AB$225)</f>
        <v>0</v>
      </c>
      <c r="W22" s="41" cm="1">
        <f t="array" ref="W22">SUMPRODUCT(('VERTICAL APTS'!$I$223:$AB$223=W$10)*'VERTICAL APTS'!$I$225:$AB$225)</f>
        <v>0</v>
      </c>
      <c r="X22" s="41" cm="1">
        <f t="array" ref="X22">SUMPRODUCT(('VERTICAL APTS'!$I$223:$AB$223=X$10)*'VERTICAL APTS'!$I$225:$AB$225)</f>
        <v>0</v>
      </c>
      <c r="Y22" s="41" cm="1">
        <f t="array" ref="Y22">SUMPRODUCT(('VERTICAL APTS'!$I$223:$AB$223=Y$10)*'VERTICAL APTS'!$I$225:$AB$225)</f>
        <v>0</v>
      </c>
      <c r="Z22" s="41" cm="1">
        <f t="array" ref="Z22">SUMPRODUCT(('VERTICAL APTS'!$I$223:$AB$223=Z$10)*'VERTICAL APTS'!$I$225:$AB$225)</f>
        <v>0</v>
      </c>
      <c r="AA22" s="41" cm="1">
        <f t="array" ref="AA22">SUMPRODUCT(('VERTICAL APTS'!$I$223:$AB$223=AA$10)*'VERTICAL APTS'!$I$225:$AB$225)</f>
        <v>0</v>
      </c>
      <c r="AB22" s="41" cm="1">
        <f t="array" ref="AB22">SUMPRODUCT(('VERTICAL APTS'!$I$223:$AB$223=AB$10)*'VERTICAL APTS'!$I$225:$AB$225)</f>
        <v>0</v>
      </c>
      <c r="AC22" s="41" cm="1">
        <f t="array" ref="AC22">SUMPRODUCT(('VERTICAL APTS'!$I$223:$AB$223=AC$10)*'VERTICAL APTS'!$I$225:$AB$225)</f>
        <v>0</v>
      </c>
      <c r="AD22" s="41">
        <f>'VERTICAL APTS'!AC225</f>
        <v>0</v>
      </c>
      <c r="AE22" s="86" t="str">
        <f>'VERTICAL APTS'!$D$14</f>
        <v>Com alavancagem</v>
      </c>
    </row>
    <row r="23" spans="1:31" x14ac:dyDescent="0.2">
      <c r="A23" s="10"/>
      <c r="B23" s="10" t="s">
        <v>1003</v>
      </c>
      <c r="C23" s="284">
        <f t="shared" si="1"/>
        <v>0.39985938163424128</v>
      </c>
      <c r="D23" s="289">
        <f t="shared" si="2"/>
        <v>2.1492050510239991</v>
      </c>
      <c r="E23" s="288">
        <f t="shared" si="3"/>
        <v>96763.66587653209</v>
      </c>
      <c r="F23" s="312" t="s">
        <v>971</v>
      </c>
      <c r="G23" s="249">
        <v>3</v>
      </c>
      <c r="H23" s="249" t="s">
        <v>969</v>
      </c>
      <c r="I23" s="248" cm="1">
        <f t="array" ref="I23">IFERROR(INDEX($J$10:$AC$10,MATCH(TRUE,INDEX(J23:AC23&lt;&gt;0,0),0)),"-")</f>
        <v>2031</v>
      </c>
      <c r="J23" s="41" cm="1">
        <f t="array" ref="J23">SUMPRODUCT(('LAND LOTS'!$I$223:$AB$223=J$10)*'LAND LOTS'!$I$226:$AB$226)</f>
        <v>0</v>
      </c>
      <c r="K23" s="41" cm="1">
        <f t="array" ref="K23">SUMPRODUCT(('LAND LOTS'!$I$223:$AB$223=K$10)*'LAND LOTS'!$I$226:$AB$226)</f>
        <v>0</v>
      </c>
      <c r="L23" s="41" cm="1">
        <f t="array" ref="L23">SUMPRODUCT(('LAND LOTS'!$I$223:$AB$223=L$10)*'LAND LOTS'!$I$226:$AB$226)</f>
        <v>0</v>
      </c>
      <c r="M23" s="41" cm="1">
        <f t="array" ref="M23">SUMPRODUCT(('LAND LOTS'!$I$223:$AB$223=M$10)*'LAND LOTS'!$I$226:$AB$226)</f>
        <v>0</v>
      </c>
      <c r="N23" s="41" cm="1">
        <f t="array" ref="N23">SUMPRODUCT(('LAND LOTS'!$I$223:$AB$223=N$10)*'LAND LOTS'!$I$226:$AB$226)</f>
        <v>0</v>
      </c>
      <c r="O23" s="41" cm="1">
        <f t="array" ref="O23">SUMPRODUCT(('LAND LOTS'!$I$223:$AB$223=O$10)*'LAND LOTS'!$I$226:$AB$226)</f>
        <v>-3480.8909999999996</v>
      </c>
      <c r="P23" s="41" cm="1">
        <f t="array" ref="P23">SUMPRODUCT(('LAND LOTS'!$I$223:$AB$223=P$10)*'LAND LOTS'!$I$226:$AB$226)</f>
        <v>-18662.037958571564</v>
      </c>
      <c r="Q23" s="41" cm="1">
        <f t="array" ref="Q23">SUMPRODUCT(('LAND LOTS'!$I$223:$AB$223=Q$10)*'LAND LOTS'!$I$226:$AB$226)</f>
        <v>-69578.58616887586</v>
      </c>
      <c r="R23" s="41" cm="1">
        <f t="array" ref="R23">SUMPRODUCT(('LAND LOTS'!$I$223:$AB$223=R$10)*'LAND LOTS'!$I$226:$AB$226)</f>
        <v>-5042.150749084667</v>
      </c>
      <c r="S23" s="41" cm="1">
        <f t="array" ref="S23">SUMPRODUCT(('LAND LOTS'!$I$223:$AB$223=S$10)*'LAND LOTS'!$I$226:$AB$226)</f>
        <v>207964.95945744135</v>
      </c>
      <c r="T23" s="41" cm="1">
        <f t="array" ref="T23">SUMPRODUCT(('LAND LOTS'!$I$223:$AB$223=T$10)*'LAND LOTS'!$I$226:$AB$226)</f>
        <v>0</v>
      </c>
      <c r="U23" s="41" cm="1">
        <f t="array" ref="U23">SUMPRODUCT(('LAND LOTS'!$I$223:$AB$223=U$10)*'LAND LOTS'!$I$226:$AB$226)</f>
        <v>0</v>
      </c>
      <c r="V23" s="41" cm="1">
        <f t="array" ref="V23">SUMPRODUCT(('LAND LOTS'!$I$223:$AB$223=V$10)*'LAND LOTS'!$I$226:$AB$226)</f>
        <v>0</v>
      </c>
      <c r="W23" s="41" cm="1">
        <f t="array" ref="W23">SUMPRODUCT(('LAND LOTS'!$I$223:$AB$223=W$10)*'LAND LOTS'!$I$226:$AB$226)</f>
        <v>0</v>
      </c>
      <c r="X23" s="41" cm="1">
        <f t="array" ref="X23">SUMPRODUCT(('LAND LOTS'!$I$223:$AB$223=X$10)*'LAND LOTS'!$I$226:$AB$226)</f>
        <v>0</v>
      </c>
      <c r="Y23" s="41" cm="1">
        <f t="array" ref="Y23">SUMPRODUCT(('LAND LOTS'!$I$223:$AB$223=Y$10)*'LAND LOTS'!$I$226:$AB$226)</f>
        <v>0</v>
      </c>
      <c r="Z23" s="41" cm="1">
        <f t="array" ref="Z23">SUMPRODUCT(('LAND LOTS'!$I$223:$AB$223=Z$10)*'LAND LOTS'!$I$226:$AB$226)</f>
        <v>0</v>
      </c>
      <c r="AA23" s="41" cm="1">
        <f t="array" ref="AA23">SUMPRODUCT(('LAND LOTS'!$I$223:$AB$223=AA$10)*'LAND LOTS'!$I$226:$AB$226)</f>
        <v>0</v>
      </c>
      <c r="AB23" s="41" cm="1">
        <f t="array" ref="AB23">SUMPRODUCT(('LAND LOTS'!$I$223:$AB$223=AB$10)*'LAND LOTS'!$I$226:$AB$226)</f>
        <v>0</v>
      </c>
      <c r="AC23" s="41" cm="1">
        <f t="array" ref="AC23">SUMPRODUCT(('LAND LOTS'!$I$223:$AB$223=AC$10)*'LAND LOTS'!$I$226:$AB$226)</f>
        <v>0</v>
      </c>
      <c r="AD23" s="41">
        <f>'LAND LOTS'!AC226</f>
        <v>0</v>
      </c>
      <c r="AE23" s="86" t="str">
        <f>'LAND LOTS'!$D$14</f>
        <v>Com alavancagem</v>
      </c>
    </row>
    <row r="24" spans="1:31" x14ac:dyDescent="0.2">
      <c r="A24" s="10"/>
      <c r="B24" s="10" t="s">
        <v>1004</v>
      </c>
      <c r="C24" s="284">
        <f t="shared" si="1"/>
        <v>0.54377921071724833</v>
      </c>
      <c r="D24" s="289">
        <f t="shared" si="2"/>
        <v>2.9700165864608228</v>
      </c>
      <c r="E24" s="288">
        <f t="shared" si="3"/>
        <v>50086.628345066303</v>
      </c>
      <c r="F24" s="312" t="s">
        <v>971</v>
      </c>
      <c r="G24" s="249">
        <v>3</v>
      </c>
      <c r="H24" s="249" t="s">
        <v>969</v>
      </c>
      <c r="I24" s="248" cm="1">
        <f t="array" ref="I24">IFERROR(INDEX($J$10:$AC$10,MATCH(TRUE,INDEX(J24:AC24&lt;&gt;0,0),0)),"-")</f>
        <v>2031</v>
      </c>
      <c r="J24" s="41" cm="1">
        <f t="array" ref="J24">SUMPRODUCT(('VERTICAL APTS'!$I$223:$AB$223=J$10)*'VERTICAL APTS'!$I$226:$AB$226)</f>
        <v>0</v>
      </c>
      <c r="K24" s="41" cm="1">
        <f t="array" ref="K24">SUMPRODUCT(('VERTICAL APTS'!$I$223:$AB$223=K$10)*'VERTICAL APTS'!$I$226:$AB$226)</f>
        <v>0</v>
      </c>
      <c r="L24" s="41" cm="1">
        <f t="array" ref="L24">SUMPRODUCT(('VERTICAL APTS'!$I$223:$AB$223=L$10)*'VERTICAL APTS'!$I$226:$AB$226)</f>
        <v>0</v>
      </c>
      <c r="M24" s="41" cm="1">
        <f t="array" ref="M24">SUMPRODUCT(('VERTICAL APTS'!$I$223:$AB$223=M$10)*'VERTICAL APTS'!$I$226:$AB$226)</f>
        <v>0</v>
      </c>
      <c r="N24" s="41" cm="1">
        <f t="array" ref="N24">SUMPRODUCT(('VERTICAL APTS'!$I$223:$AB$223=N$10)*'VERTICAL APTS'!$I$226:$AB$226)</f>
        <v>0</v>
      </c>
      <c r="O24" s="41" cm="1">
        <f t="array" ref="O24">SUMPRODUCT(('VERTICAL APTS'!$I$223:$AB$223=O$10)*'VERTICAL APTS'!$I$226:$AB$226)</f>
        <v>-3711.9868333333334</v>
      </c>
      <c r="P24" s="41" cm="1">
        <f t="array" ref="P24">SUMPRODUCT(('VERTICAL APTS'!$I$223:$AB$223=P$10)*'VERTICAL APTS'!$I$226:$AB$226)</f>
        <v>-4983.2000054175332</v>
      </c>
      <c r="Q24" s="41" cm="1">
        <f t="array" ref="Q24">SUMPRODUCT(('VERTICAL APTS'!$I$223:$AB$223=Q$10)*'VERTICAL APTS'!$I$226:$AB$226)</f>
        <v>-41391.441506315437</v>
      </c>
      <c r="R24" s="41" cm="1">
        <f t="array" ref="R24">SUMPRODUCT(('VERTICAL APTS'!$I$223:$AB$223=R$10)*'VERTICAL APTS'!$I$226:$AB$226)</f>
        <v>23980.550360209865</v>
      </c>
      <c r="S24" s="41" cm="1">
        <f t="array" ref="S24">SUMPRODUCT(('VERTICAL APTS'!$I$223:$AB$223=S$10)*'VERTICAL APTS'!$I$226:$AB$226)</f>
        <v>57397.417904817106</v>
      </c>
      <c r="T24" s="41" cm="1">
        <f t="array" ref="T24">SUMPRODUCT(('VERTICAL APTS'!$I$223:$AB$223=T$10)*'VERTICAL APTS'!$I$226:$AB$226)</f>
        <v>67380.148679718724</v>
      </c>
      <c r="U24" s="41" cm="1">
        <f t="array" ref="U24">SUMPRODUCT(('VERTICAL APTS'!$I$223:$AB$223=U$10)*'VERTICAL APTS'!$I$226:$AB$226)</f>
        <v>0</v>
      </c>
      <c r="V24" s="41" cm="1">
        <f t="array" ref="V24">SUMPRODUCT(('VERTICAL APTS'!$I$223:$AB$223=V$10)*'VERTICAL APTS'!$I$226:$AB$226)</f>
        <v>0</v>
      </c>
      <c r="W24" s="41" cm="1">
        <f t="array" ref="W24">SUMPRODUCT(('VERTICAL APTS'!$I$223:$AB$223=W$10)*'VERTICAL APTS'!$I$226:$AB$226)</f>
        <v>0</v>
      </c>
      <c r="X24" s="41" cm="1">
        <f t="array" ref="X24">SUMPRODUCT(('VERTICAL APTS'!$I$223:$AB$223=X$10)*'VERTICAL APTS'!$I$226:$AB$226)</f>
        <v>0</v>
      </c>
      <c r="Y24" s="41" cm="1">
        <f t="array" ref="Y24">SUMPRODUCT(('VERTICAL APTS'!$I$223:$AB$223=Y$10)*'VERTICAL APTS'!$I$226:$AB$226)</f>
        <v>0</v>
      </c>
      <c r="Z24" s="41" cm="1">
        <f t="array" ref="Z24">SUMPRODUCT(('VERTICAL APTS'!$I$223:$AB$223=Z$10)*'VERTICAL APTS'!$I$226:$AB$226)</f>
        <v>0</v>
      </c>
      <c r="AA24" s="41" cm="1">
        <f t="array" ref="AA24">SUMPRODUCT(('VERTICAL APTS'!$I$223:$AB$223=AA$10)*'VERTICAL APTS'!$I$226:$AB$226)</f>
        <v>0</v>
      </c>
      <c r="AB24" s="41" cm="1">
        <f t="array" ref="AB24">SUMPRODUCT(('VERTICAL APTS'!$I$223:$AB$223=AB$10)*'VERTICAL APTS'!$I$226:$AB$226)</f>
        <v>0</v>
      </c>
      <c r="AC24" s="41" cm="1">
        <f t="array" ref="AC24">SUMPRODUCT(('VERTICAL APTS'!$I$223:$AB$223=AC$10)*'VERTICAL APTS'!$I$226:$AB$226)</f>
        <v>0</v>
      </c>
      <c r="AD24" s="41">
        <f>'VERTICAL APTS'!AC226</f>
        <v>0</v>
      </c>
      <c r="AE24" s="86" t="str">
        <f>'VERTICAL APTS'!$D$14</f>
        <v>Com alavancagem</v>
      </c>
    </row>
    <row r="25" spans="1:31" x14ac:dyDescent="0.2">
      <c r="A25" s="10"/>
      <c r="B25" s="24" t="s">
        <v>1005</v>
      </c>
      <c r="C25" s="283"/>
      <c r="D25" s="26"/>
      <c r="E25" s="26"/>
      <c r="F25" s="170"/>
      <c r="G25" s="26"/>
      <c r="H25" s="26"/>
      <c r="I25" s="27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4"/>
    </row>
    <row r="26" spans="1:31" x14ac:dyDescent="0.2">
      <c r="A26" s="10"/>
      <c r="B26" s="10" t="s">
        <v>591</v>
      </c>
      <c r="C26" s="284">
        <f>IF(AND(ISERROR(IRR($J26:$AC26)),ISERROR(IRR($J26:$AD26))),"n/a",MAX(IFERROR(IRR($J26:$AC26),-99),IFERROR(IRR($J26:$AD26),-99)))</f>
        <v>0.18080179139693242</v>
      </c>
      <c r="D26" s="289">
        <f>K81</f>
        <v>1.2661982230646414</v>
      </c>
      <c r="E26" s="288">
        <f>H81</f>
        <v>30218.009749999997</v>
      </c>
      <c r="F26" s="312" t="s">
        <v>973</v>
      </c>
      <c r="G26" s="249">
        <v>2</v>
      </c>
      <c r="H26" s="249" t="s">
        <v>969</v>
      </c>
      <c r="I26" s="248" cm="1">
        <f t="array" ref="I26">IFERROR(INDEX($J$10:$AC$10,MATCH(TRUE,INDEX(J26:AC26&lt;&gt;0,0),0)),"-")</f>
        <v>2029</v>
      </c>
      <c r="J26" s="41" cm="1">
        <f t="array" ref="J26">SUMPRODUCT(('SENIOR LIVING'!$G$6:$Z$6=J$10)*'SENIOR LIVING'!$G$89:$Z$89)</f>
        <v>0</v>
      </c>
      <c r="K26" s="41" cm="1">
        <f t="array" ref="K26">SUMPRODUCT(('SENIOR LIVING'!$G$6:$Z$6=K$10)*'SENIOR LIVING'!$G$89:$Z$89)</f>
        <v>0</v>
      </c>
      <c r="L26" s="41" cm="1">
        <f t="array" ref="L26">SUMPRODUCT(('SENIOR LIVING'!$G$6:$Z$6=L$10)*'SENIOR LIVING'!$G$89:$Z$89)</f>
        <v>0</v>
      </c>
      <c r="M26" s="41" cm="1">
        <f t="array" ref="M26">SUMPRODUCT(('SENIOR LIVING'!$G$6:$Z$6=M$10)*'SENIOR LIVING'!$G$89:$Z$89)</f>
        <v>-12087.2039</v>
      </c>
      <c r="N26" s="41" cm="1">
        <f t="array" ref="N26">SUMPRODUCT(('SENIOR LIVING'!$G$6:$Z$6=N$10)*'SENIOR LIVING'!$G$89:$Z$89)</f>
        <v>-18130.805849999997</v>
      </c>
      <c r="O26" s="41" cm="1">
        <f t="array" ref="O26">SUMPRODUCT(('SENIOR LIVING'!$G$6:$Z$6=O$10)*'SENIOR LIVING'!$G$89:$Z$89)</f>
        <v>38261.990250000003</v>
      </c>
      <c r="P26" s="41" cm="1">
        <f t="array" ref="P26">SUMPRODUCT(('SENIOR LIVING'!$G$6:$Z$6=P$10)*'SENIOR LIVING'!$G$89:$Z$89)</f>
        <v>0</v>
      </c>
      <c r="Q26" s="41" cm="1">
        <f t="array" ref="Q26">SUMPRODUCT(('SENIOR LIVING'!$G$6:$Z$6=Q$10)*'SENIOR LIVING'!$G$89:$Z$89)</f>
        <v>0</v>
      </c>
      <c r="R26" s="41" cm="1">
        <f t="array" ref="R26">SUMPRODUCT(('SENIOR LIVING'!$G$6:$Z$6=R$10)*'SENIOR LIVING'!$G$89:$Z$89)</f>
        <v>0</v>
      </c>
      <c r="S26" s="41" cm="1">
        <f t="array" ref="S26">SUMPRODUCT(('SENIOR LIVING'!$G$6:$Z$6=S$10)*'SENIOR LIVING'!$G$89:$Z$89)</f>
        <v>0</v>
      </c>
      <c r="T26" s="41" cm="1">
        <f t="array" ref="T26">SUMPRODUCT(('SENIOR LIVING'!$G$6:$Z$6=T$10)*'SENIOR LIVING'!$G$89:$Z$89)</f>
        <v>0</v>
      </c>
      <c r="U26" s="41" cm="1">
        <f t="array" ref="U26">SUMPRODUCT(('SENIOR LIVING'!$G$6:$Z$6=U$10)*'SENIOR LIVING'!$G$89:$Z$89)</f>
        <v>0</v>
      </c>
      <c r="V26" s="41" cm="1">
        <f t="array" ref="V26">SUMPRODUCT(('SENIOR LIVING'!$G$6:$Z$6=V$10)*'SENIOR LIVING'!$G$89:$Z$89)</f>
        <v>0</v>
      </c>
      <c r="W26" s="41" cm="1">
        <f t="array" ref="W26">SUMPRODUCT(('SENIOR LIVING'!$G$6:$Z$6=W$10)*'SENIOR LIVING'!$G$89:$Z$89)</f>
        <v>0</v>
      </c>
      <c r="X26" s="41" cm="1">
        <f t="array" ref="X26">SUMPRODUCT(('SENIOR LIVING'!$G$6:$Z$6=X$10)*'SENIOR LIVING'!$G$89:$Z$89)</f>
        <v>0</v>
      </c>
      <c r="Y26" s="41" cm="1">
        <f t="array" ref="Y26">SUMPRODUCT(('SENIOR LIVING'!$G$6:$Z$6=Y$10)*'SENIOR LIVING'!$G$89:$Z$89)</f>
        <v>0</v>
      </c>
      <c r="Z26" s="41" cm="1">
        <f t="array" ref="Z26">SUMPRODUCT(('SENIOR LIVING'!$G$6:$Z$6=Z$10)*'SENIOR LIVING'!$G$89:$Z$89)</f>
        <v>0</v>
      </c>
      <c r="AA26" s="41" cm="1">
        <f t="array" ref="AA26">SUMPRODUCT(('SENIOR LIVING'!$G$6:$Z$6=AA$10)*'SENIOR LIVING'!$G$89:$Z$89)</f>
        <v>0</v>
      </c>
      <c r="AB26" s="41" cm="1">
        <f t="array" ref="AB26">SUMPRODUCT(('SENIOR LIVING'!$G$6:$Z$6=AB$10)*'SENIOR LIVING'!$G$89:$Z$89)</f>
        <v>0</v>
      </c>
      <c r="AC26" s="41" cm="1">
        <f t="array" ref="AC26">SUMPRODUCT(('SENIOR LIVING'!$G$6:$Z$6=AC$10)*'SENIOR LIVING'!$G$89:$Z$89)</f>
        <v>0</v>
      </c>
      <c r="AD26" s="41">
        <f>'SENIOR LIVING'!AA89</f>
        <v>0</v>
      </c>
      <c r="AE26" s="86" t="str">
        <f>"Structure "&amp;'SENIOR LIVING'!$E$4&amp;" (Senior Living tab)"</f>
        <v>Estrutura 5 (aba Senior Living)</v>
      </c>
    </row>
    <row r="27" spans="1:31" x14ac:dyDescent="0.2">
      <c r="A27" s="10"/>
      <c r="B27" s="10" t="s">
        <v>980</v>
      </c>
      <c r="C27" s="284">
        <f>IF(AND(ISERROR(IRR($J27:$AC27)),ISERROR(IRR($J27:$AD27))),"n/a",MAX(IFERROR(IRR($J27:$AC27),-99),IFERROR(IRR($J27:$AD27),-99)))</f>
        <v>0.18084388125950679</v>
      </c>
      <c r="D27" s="289">
        <f>K82</f>
        <v>1.2662632375189107</v>
      </c>
      <c r="E27" s="288">
        <f>H82</f>
        <v>24787.5</v>
      </c>
      <c r="F27" s="312" t="s">
        <v>976</v>
      </c>
      <c r="G27" s="249">
        <v>2</v>
      </c>
      <c r="H27" s="249" t="s">
        <v>969</v>
      </c>
      <c r="I27" s="248" cm="1">
        <f t="array" ref="I27">IFERROR(INDEX($J$10:$AC$10,MATCH(TRUE,INDEX(J27:AC27&lt;&gt;0,0),0)),"-")</f>
        <v>2029</v>
      </c>
      <c r="J27" s="41" cm="1">
        <f t="array" ref="J27">SUMPRODUCT(('CONVENTION CENTER'!$G$6:$Z$6=J$10)*'CONVENTION CENTER'!$G$110:$Z$110)</f>
        <v>0</v>
      </c>
      <c r="K27" s="41" cm="1">
        <f t="array" ref="K27">SUMPRODUCT(('CONVENTION CENTER'!$G$6:$Z$6=K$10)*'CONVENTION CENTER'!$G$110:$Z$110)</f>
        <v>0</v>
      </c>
      <c r="L27" s="41" cm="1">
        <f t="array" ref="L27">SUMPRODUCT(('CONVENTION CENTER'!$G$6:$Z$6=L$10)*'CONVENTION CENTER'!$G$110:$Z$110)</f>
        <v>0</v>
      </c>
      <c r="M27" s="41" cm="1">
        <f t="array" ref="M27">SUMPRODUCT(('CONVENTION CENTER'!$G$6:$Z$6=M$10)*'CONVENTION CENTER'!$G$110:$Z$110)</f>
        <v>-9915</v>
      </c>
      <c r="N27" s="41" cm="1">
        <f t="array" ref="N27">SUMPRODUCT(('CONVENTION CENTER'!$G$6:$Z$6=N$10)*'CONVENTION CENTER'!$G$110:$Z$110)</f>
        <v>-14872.5</v>
      </c>
      <c r="O27" s="41" cm="1">
        <f t="array" ref="O27">SUMPRODUCT(('CONVENTION CENTER'!$G$6:$Z$6=O$10)*'CONVENTION CENTER'!$G$110:$Z$110)</f>
        <v>31387.5</v>
      </c>
      <c r="P27" s="41" cm="1">
        <f t="array" ref="P27">SUMPRODUCT(('CONVENTION CENTER'!$G$6:$Z$6=P$10)*'CONVENTION CENTER'!$G$110:$Z$110)</f>
        <v>0</v>
      </c>
      <c r="Q27" s="41" cm="1">
        <f t="array" ref="Q27">SUMPRODUCT(('CONVENTION CENTER'!$G$6:$Z$6=Q$10)*'CONVENTION CENTER'!$G$110:$Z$110)</f>
        <v>0</v>
      </c>
      <c r="R27" s="41" cm="1">
        <f t="array" ref="R27">SUMPRODUCT(('CONVENTION CENTER'!$G$6:$Z$6=R$10)*'CONVENTION CENTER'!$G$110:$Z$110)</f>
        <v>0</v>
      </c>
      <c r="S27" s="41" cm="1">
        <f t="array" ref="S27">SUMPRODUCT(('CONVENTION CENTER'!$G$6:$Z$6=S$10)*'CONVENTION CENTER'!$G$110:$Z$110)</f>
        <v>0</v>
      </c>
      <c r="T27" s="41" cm="1">
        <f t="array" ref="T27">SUMPRODUCT(('CONVENTION CENTER'!$G$6:$Z$6=T$10)*'CONVENTION CENTER'!$G$110:$Z$110)</f>
        <v>0</v>
      </c>
      <c r="U27" s="41" cm="1">
        <f t="array" ref="U27">SUMPRODUCT(('CONVENTION CENTER'!$G$6:$Z$6=U$10)*'CONVENTION CENTER'!$G$110:$Z$110)</f>
        <v>0</v>
      </c>
      <c r="V27" s="41" cm="1">
        <f t="array" ref="V27">SUMPRODUCT(('CONVENTION CENTER'!$G$6:$Z$6=V$10)*'CONVENTION CENTER'!$G$110:$Z$110)</f>
        <v>0</v>
      </c>
      <c r="W27" s="41" cm="1">
        <f t="array" ref="W27">SUMPRODUCT(('CONVENTION CENTER'!$G$6:$Z$6=W$10)*'CONVENTION CENTER'!$G$110:$Z$110)</f>
        <v>0</v>
      </c>
      <c r="X27" s="41" cm="1">
        <f t="array" ref="X27">SUMPRODUCT(('CONVENTION CENTER'!$G$6:$Z$6=X$10)*'CONVENTION CENTER'!$G$110:$Z$110)</f>
        <v>0</v>
      </c>
      <c r="Y27" s="41" cm="1">
        <f t="array" ref="Y27">SUMPRODUCT(('CONVENTION CENTER'!$G$6:$Z$6=Y$10)*'CONVENTION CENTER'!$G$110:$Z$110)</f>
        <v>0</v>
      </c>
      <c r="Z27" s="41" cm="1">
        <f t="array" ref="Z27">SUMPRODUCT(('CONVENTION CENTER'!$G$6:$Z$6=Z$10)*'CONVENTION CENTER'!$G$110:$Z$110)</f>
        <v>0</v>
      </c>
      <c r="AA27" s="41" cm="1">
        <f t="array" ref="AA27">SUMPRODUCT(('CONVENTION CENTER'!$G$6:$Z$6=AA$10)*'CONVENTION CENTER'!$G$110:$Z$110)</f>
        <v>0</v>
      </c>
      <c r="AB27" s="41" cm="1">
        <f t="array" ref="AB27">SUMPRODUCT(('CONVENTION CENTER'!$G$6:$Z$6=AB$10)*'CONVENTION CENTER'!$G$110:$Z$110)</f>
        <v>0</v>
      </c>
      <c r="AC27" s="41" cm="1">
        <f t="array" ref="AC27">SUMPRODUCT(('CONVENTION CENTER'!$G$6:$Z$6=AC$10)*'CONVENTION CENTER'!$G$110:$Z$110)</f>
        <v>0</v>
      </c>
      <c r="AD27" s="41">
        <f>'CONVENTION CENTER'!AA110</f>
        <v>0</v>
      </c>
      <c r="AE27" s="86" t="s">
        <v>981</v>
      </c>
    </row>
    <row r="28" spans="1:31" x14ac:dyDescent="0.2">
      <c r="A28" s="10"/>
      <c r="B28" s="10"/>
      <c r="C28" s="10"/>
      <c r="D28" s="17"/>
      <c r="E28" s="17"/>
      <c r="F28" s="17"/>
      <c r="G28" s="17"/>
      <c r="H28" s="17"/>
      <c r="I28" s="248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0"/>
    </row>
    <row r="29" spans="1:31" x14ac:dyDescent="0.2">
      <c r="A29" s="10"/>
      <c r="B29" s="24" t="s">
        <v>982</v>
      </c>
      <c r="C29" s="283"/>
      <c r="D29" s="26"/>
      <c r="E29" s="26"/>
      <c r="F29" s="26"/>
      <c r="G29" s="26"/>
      <c r="H29" s="26"/>
      <c r="I29" s="27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4"/>
    </row>
    <row r="30" spans="1:31" x14ac:dyDescent="0.2">
      <c r="A30" s="10"/>
      <c r="B30" s="49" t="s">
        <v>983</v>
      </c>
      <c r="C30" s="284">
        <f>IF(AND(ISERROR(IRR($J30:$AC30)),ISERROR(IRR($J30:$AD30))),"n/a",MAX(IFERROR(IRR($J30:$AC30),-99),IFERROR(IRR($J30:$AD30),-99)))</f>
        <v>0.12084351448707786</v>
      </c>
      <c r="D30" s="289">
        <f>K83</f>
        <v>2.2394829455657241</v>
      </c>
      <c r="E30" s="288">
        <f>H83</f>
        <v>503334.98097346176</v>
      </c>
      <c r="F30" s="101"/>
      <c r="G30" s="101">
        <v>1</v>
      </c>
      <c r="H30" s="101"/>
      <c r="I30" s="240" cm="1">
        <f t="array" ref="I30">IFERROR(INDEX($J$10:$AC$10,MATCH(TRUE,INDEX(J30:AC30&lt;&gt;0,0),0)),"-")</f>
        <v>2026</v>
      </c>
      <c r="J30" s="50">
        <f t="shared" ref="J30:S32" si="4">SUMIFS(J$12:J$27,$G$12:$G$27,$G30,$H$12:$H$27,"Y")</f>
        <v>-185696.67960335122</v>
      </c>
      <c r="K30" s="50">
        <f t="shared" si="4"/>
        <v>-197058.15309988693</v>
      </c>
      <c r="L30" s="50">
        <f t="shared" si="4"/>
        <v>-32696.371446877474</v>
      </c>
      <c r="M30" s="50">
        <f t="shared" si="4"/>
        <v>-87883.776823346154</v>
      </c>
      <c r="N30" s="50">
        <f t="shared" si="4"/>
        <v>72230.702512464239</v>
      </c>
      <c r="O30" s="50">
        <f t="shared" si="4"/>
        <v>171328.02805563813</v>
      </c>
      <c r="P30" s="50">
        <f t="shared" si="4"/>
        <v>83708.801359161735</v>
      </c>
      <c r="Q30" s="50">
        <f t="shared" si="4"/>
        <v>42925.744760486356</v>
      </c>
      <c r="R30" s="50">
        <f t="shared" si="4"/>
        <v>44813.606842201276</v>
      </c>
      <c r="S30" s="50">
        <f t="shared" si="4"/>
        <v>46747.088375903433</v>
      </c>
      <c r="T30" s="50">
        <f t="shared" ref="T30:AD32" si="5">SUMIFS(T$12:T$27,$G$12:$G$27,$G30,$H$12:$H$27,"Y")</f>
        <v>48727.842243896201</v>
      </c>
      <c r="U30" s="50">
        <f t="shared" si="5"/>
        <v>50757.580107864036</v>
      </c>
      <c r="V30" s="50">
        <f t="shared" si="5"/>
        <v>52838.074488375176</v>
      </c>
      <c r="W30" s="50">
        <f t="shared" si="5"/>
        <v>54971.160917845606</v>
      </c>
      <c r="X30" s="50">
        <f t="shared" si="5"/>
        <v>57158.740169559314</v>
      </c>
      <c r="Y30" s="50">
        <f t="shared" si="5"/>
        <v>76902.780565429523</v>
      </c>
      <c r="Z30" s="50">
        <f t="shared" si="5"/>
        <v>78489.95321918081</v>
      </c>
      <c r="AA30" s="50">
        <f t="shared" si="5"/>
        <v>80137.735948336922</v>
      </c>
      <c r="AB30" s="50">
        <f t="shared" si="5"/>
        <v>81848.314396981732</v>
      </c>
      <c r="AC30" s="50">
        <f t="shared" si="5"/>
        <v>83623.951833391387</v>
      </c>
      <c r="AD30" s="50">
        <f t="shared" si="5"/>
        <v>836239.51833391399</v>
      </c>
      <c r="AE30" s="49"/>
    </row>
    <row r="31" spans="1:31" x14ac:dyDescent="0.2">
      <c r="A31" s="10"/>
      <c r="B31" s="49" t="s">
        <v>984</v>
      </c>
      <c r="C31" s="284">
        <f>IF(AND(ISERROR(IRR($J31:$AC31)),ISERROR(IRR($J31:$AD31))),"n/a",MAX(IFERROR(IRR($J31:$AC31),-99),IFERROR(IRR($J31:$AD31),-99)))</f>
        <v>0.50597986962716046</v>
      </c>
      <c r="D31" s="289">
        <f>K84</f>
        <v>3.7170245723196129</v>
      </c>
      <c r="E31" s="288">
        <f>H84</f>
        <v>102050.19081799695</v>
      </c>
      <c r="F31" s="101"/>
      <c r="G31" s="101">
        <v>2</v>
      </c>
      <c r="H31" s="101"/>
      <c r="I31" s="240" cm="1">
        <f t="array" ref="I31">IFERROR(INDEX($J$10:$AC$10,MATCH(TRUE,INDEX(J31:AC31&lt;&gt;0,0),0)),"-")</f>
        <v>2029</v>
      </c>
      <c r="J31" s="50">
        <f t="shared" si="4"/>
        <v>0</v>
      </c>
      <c r="K31" s="50">
        <f t="shared" si="4"/>
        <v>0</v>
      </c>
      <c r="L31" s="50">
        <f t="shared" si="4"/>
        <v>0</v>
      </c>
      <c r="M31" s="50">
        <f t="shared" si="4"/>
        <v>-29035.776566666667</v>
      </c>
      <c r="N31" s="50">
        <f t="shared" si="4"/>
        <v>-52496.633991277915</v>
      </c>
      <c r="O31" s="50">
        <f t="shared" si="4"/>
        <v>-20517.780260052357</v>
      </c>
      <c r="P31" s="50">
        <f t="shared" si="4"/>
        <v>28330.071047109974</v>
      </c>
      <c r="Q31" s="50">
        <f t="shared" si="4"/>
        <v>296024.23042609781</v>
      </c>
      <c r="R31" s="50">
        <f t="shared" si="4"/>
        <v>54968.76540719223</v>
      </c>
      <c r="S31" s="50">
        <f t="shared" si="4"/>
        <v>0</v>
      </c>
      <c r="T31" s="50">
        <f t="shared" si="5"/>
        <v>0</v>
      </c>
      <c r="U31" s="50">
        <f t="shared" si="5"/>
        <v>0</v>
      </c>
      <c r="V31" s="50">
        <f t="shared" si="5"/>
        <v>0</v>
      </c>
      <c r="W31" s="50">
        <f t="shared" si="5"/>
        <v>0</v>
      </c>
      <c r="X31" s="50">
        <f t="shared" si="5"/>
        <v>0</v>
      </c>
      <c r="Y31" s="50">
        <f t="shared" si="5"/>
        <v>0</v>
      </c>
      <c r="Z31" s="50">
        <f t="shared" si="5"/>
        <v>0</v>
      </c>
      <c r="AA31" s="50">
        <f t="shared" si="5"/>
        <v>0</v>
      </c>
      <c r="AB31" s="50">
        <f t="shared" si="5"/>
        <v>0</v>
      </c>
      <c r="AC31" s="50">
        <f t="shared" si="5"/>
        <v>0</v>
      </c>
      <c r="AD31" s="50">
        <f t="shared" si="5"/>
        <v>0</v>
      </c>
      <c r="AE31" s="49"/>
    </row>
    <row r="32" spans="1:31" x14ac:dyDescent="0.2">
      <c r="A32" s="10"/>
      <c r="B32" s="49" t="s">
        <v>985</v>
      </c>
      <c r="C32" s="284">
        <f>IF(AND(ISERROR(IRR($J32:$AC32)),ISERROR(IRR($J32:$AD32))),"n/a",MAX(IFERROR(IRR($J32:$AC32),-99),IFERROR(IRR($J32:$AD32),-99)))</f>
        <v>0.45365916481525903</v>
      </c>
      <c r="D32" s="289">
        <f>K85</f>
        <v>2.4799769395561384</v>
      </c>
      <c r="E32" s="288">
        <f>H85</f>
        <v>141808.14347251371</v>
      </c>
      <c r="F32" s="101"/>
      <c r="G32" s="101">
        <v>3</v>
      </c>
      <c r="H32" s="101"/>
      <c r="I32" s="240" cm="1">
        <f t="array" ref="I32">IFERROR(INDEX($J$10:$AC$10,MATCH(TRUE,INDEX(J32:AC32&lt;&gt;0,0),0)),"-")</f>
        <v>2031</v>
      </c>
      <c r="J32" s="50">
        <f t="shared" si="4"/>
        <v>0</v>
      </c>
      <c r="K32" s="50">
        <f t="shared" si="4"/>
        <v>0</v>
      </c>
      <c r="L32" s="50">
        <f t="shared" si="4"/>
        <v>0</v>
      </c>
      <c r="M32" s="50">
        <f t="shared" si="4"/>
        <v>0</v>
      </c>
      <c r="N32" s="50">
        <f t="shared" si="4"/>
        <v>0</v>
      </c>
      <c r="O32" s="50">
        <f t="shared" si="4"/>
        <v>-7192.877833333333</v>
      </c>
      <c r="P32" s="50">
        <f t="shared" si="4"/>
        <v>-23645.237963989097</v>
      </c>
      <c r="Q32" s="50">
        <f t="shared" si="4"/>
        <v>-110970.02767519129</v>
      </c>
      <c r="R32" s="50">
        <f t="shared" si="4"/>
        <v>18938.399611125198</v>
      </c>
      <c r="S32" s="50">
        <f t="shared" si="4"/>
        <v>265362.37736225844</v>
      </c>
      <c r="T32" s="50">
        <f t="shared" si="5"/>
        <v>67380.148679718724</v>
      </c>
      <c r="U32" s="50">
        <f t="shared" si="5"/>
        <v>0</v>
      </c>
      <c r="V32" s="50">
        <f t="shared" si="5"/>
        <v>0</v>
      </c>
      <c r="W32" s="50">
        <f t="shared" si="5"/>
        <v>0</v>
      </c>
      <c r="X32" s="50">
        <f t="shared" si="5"/>
        <v>0</v>
      </c>
      <c r="Y32" s="50">
        <f t="shared" si="5"/>
        <v>0</v>
      </c>
      <c r="Z32" s="50">
        <f t="shared" si="5"/>
        <v>0</v>
      </c>
      <c r="AA32" s="50">
        <f t="shared" si="5"/>
        <v>0</v>
      </c>
      <c r="AB32" s="50">
        <f t="shared" si="5"/>
        <v>0</v>
      </c>
      <c r="AC32" s="50">
        <f t="shared" si="5"/>
        <v>0</v>
      </c>
      <c r="AD32" s="50">
        <f t="shared" si="5"/>
        <v>0</v>
      </c>
      <c r="AE32" s="49"/>
    </row>
    <row r="33" spans="1:31" x14ac:dyDescent="0.2">
      <c r="A33" s="10"/>
      <c r="B33" s="31" t="s">
        <v>986</v>
      </c>
      <c r="C33" s="256">
        <f>IF(AND(ISERROR(IRR($J33:$AC33)),ISERROR(IRR($J33:$AD33))),"n/a",MAX(IFERROR(IRR($J33:$AC33),-99),IFERROR(IRR($J33:$AD33),-99)))</f>
        <v>0.1586976368531301</v>
      </c>
      <c r="D33" s="255">
        <f>K86</f>
        <v>3.0869305222545034</v>
      </c>
      <c r="E33" s="254">
        <f>H86</f>
        <v>532370.75754012843</v>
      </c>
      <c r="F33" s="253"/>
      <c r="G33" s="253"/>
      <c r="H33" s="253"/>
      <c r="I33" s="250" cm="1">
        <f t="array" ref="I33">IFERROR(INDEX($J$10:$AC$10,MATCH(TRUE,INDEX(J33:AC33&lt;&gt;0,0),0)),"-")</f>
        <v>2026</v>
      </c>
      <c r="J33" s="32">
        <f t="shared" ref="J33:AD33" si="6">SUMIFS(J$12:J$27,$H$12:$H$27,"Y")</f>
        <v>-185696.67960335122</v>
      </c>
      <c r="K33" s="32">
        <f t="shared" si="6"/>
        <v>-197058.15309988693</v>
      </c>
      <c r="L33" s="32">
        <f t="shared" si="6"/>
        <v>-32696.371446877474</v>
      </c>
      <c r="M33" s="32">
        <f t="shared" si="6"/>
        <v>-116919.55339001282</v>
      </c>
      <c r="N33" s="32">
        <f t="shared" si="6"/>
        <v>19734.068521186324</v>
      </c>
      <c r="O33" s="32">
        <f t="shared" si="6"/>
        <v>143617.36996225244</v>
      </c>
      <c r="P33" s="32">
        <f t="shared" si="6"/>
        <v>88393.634442282622</v>
      </c>
      <c r="Q33" s="32">
        <f t="shared" si="6"/>
        <v>227979.94751139294</v>
      </c>
      <c r="R33" s="32">
        <f t="shared" si="6"/>
        <v>118720.7718605187</v>
      </c>
      <c r="S33" s="32">
        <f t="shared" si="6"/>
        <v>312109.46573816187</v>
      </c>
      <c r="T33" s="32">
        <f t="shared" si="6"/>
        <v>116107.99092361493</v>
      </c>
      <c r="U33" s="32">
        <f t="shared" si="6"/>
        <v>50757.580107864036</v>
      </c>
      <c r="V33" s="32">
        <f t="shared" si="6"/>
        <v>52838.074488375176</v>
      </c>
      <c r="W33" s="32">
        <f t="shared" si="6"/>
        <v>54971.160917845606</v>
      </c>
      <c r="X33" s="32">
        <f t="shared" si="6"/>
        <v>57158.740169559314</v>
      </c>
      <c r="Y33" s="32">
        <f t="shared" si="6"/>
        <v>76902.780565429523</v>
      </c>
      <c r="Z33" s="32">
        <f t="shared" si="6"/>
        <v>78489.95321918081</v>
      </c>
      <c r="AA33" s="32">
        <f t="shared" si="6"/>
        <v>80137.735948336922</v>
      </c>
      <c r="AB33" s="32">
        <f t="shared" si="6"/>
        <v>81848.314396981732</v>
      </c>
      <c r="AC33" s="32">
        <f t="shared" si="6"/>
        <v>83623.951833391387</v>
      </c>
      <c r="AD33" s="32">
        <f t="shared" si="6"/>
        <v>836239.51833391399</v>
      </c>
      <c r="AE33" s="31"/>
    </row>
    <row r="34" spans="1:31" x14ac:dyDescent="0.2">
      <c r="A34" s="10"/>
      <c r="B34" s="23" t="s">
        <v>987</v>
      </c>
      <c r="C34" s="285"/>
      <c r="D34" s="285"/>
      <c r="E34" s="285"/>
      <c r="F34" s="285"/>
      <c r="G34" s="285"/>
      <c r="H34" s="285"/>
      <c r="I34" s="251" t="str">
        <f>IF(ABS(SUM(J30:AD32)-SUM(J33:AD33))&lt;1,"OK","ERROR")</f>
        <v>OK</v>
      </c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0"/>
    </row>
    <row r="35" spans="1:31" x14ac:dyDescent="0.2">
      <c r="A35" s="10"/>
      <c r="B35" s="10"/>
      <c r="C35" s="17"/>
      <c r="D35" s="17"/>
      <c r="E35" s="17"/>
      <c r="F35" s="17"/>
      <c r="G35" s="17"/>
      <c r="H35" s="17"/>
      <c r="I35" s="248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0"/>
    </row>
    <row r="36" spans="1:31" x14ac:dyDescent="0.2">
      <c r="A36" s="10"/>
      <c r="B36" s="24" t="s">
        <v>988</v>
      </c>
      <c r="C36" s="26"/>
      <c r="D36" s="26"/>
      <c r="E36" s="26"/>
      <c r="F36" s="26"/>
      <c r="G36" s="26"/>
      <c r="H36" s="26"/>
      <c r="I36" s="27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4"/>
    </row>
    <row r="37" spans="1:31" x14ac:dyDescent="0.2">
      <c r="A37" s="10"/>
      <c r="B37" s="10" t="s">
        <v>967</v>
      </c>
      <c r="C37" s="284">
        <f>IF(AND(ISERROR(IRR($J37:$AC37)),ISERROR(IRR($J37:$AD37))),"n/a",MAX(IFERROR(IRR($J37:$AC37),-99),IFERROR(IRR($J37:$AD37),-99)))</f>
        <v>8.3607277463832563E-2</v>
      </c>
      <c r="D37" s="289">
        <f>K87</f>
        <v>1.628457821230102</v>
      </c>
      <c r="E37" s="288">
        <f>H87</f>
        <v>222379.01542814809</v>
      </c>
      <c r="F37" s="313" t="s">
        <v>967</v>
      </c>
      <c r="G37" s="17"/>
      <c r="H37" s="17"/>
      <c r="I37" s="248" cm="1">
        <f t="array" ref="I37">IFERROR(INDEX($J$10:$AC$10,MATCH(TRUE,INDEX(J37:AC37&lt;&gt;0,0),0)),"-")</f>
        <v>2026</v>
      </c>
      <c r="J37" s="12">
        <f t="shared" ref="J37:S41" si="7">SUMIFS(J$12:J$27,$F$12:$F$27,$F37,$H$12:$H$27,"Y")</f>
        <v>-84496.679603351207</v>
      </c>
      <c r="K37" s="12">
        <f t="shared" si="7"/>
        <v>-137882.3358247969</v>
      </c>
      <c r="L37" s="12">
        <f t="shared" si="7"/>
        <v>15400.898428148037</v>
      </c>
      <c r="M37" s="12">
        <f t="shared" si="7"/>
        <v>5095.6301659641667</v>
      </c>
      <c r="N37" s="12">
        <f t="shared" si="7"/>
        <v>1340.3613928841683</v>
      </c>
      <c r="O37" s="12">
        <f t="shared" si="7"/>
        <v>11237.428538985607</v>
      </c>
      <c r="P37" s="12">
        <f t="shared" si="7"/>
        <v>11952.795685087045</v>
      </c>
      <c r="Q37" s="12">
        <f t="shared" si="7"/>
        <v>13920.212831188486</v>
      </c>
      <c r="R37" s="12">
        <f t="shared" si="7"/>
        <v>14635.579977289924</v>
      </c>
      <c r="S37" s="12">
        <f t="shared" si="7"/>
        <v>15350.947123391363</v>
      </c>
      <c r="T37" s="12">
        <f t="shared" ref="T37:AD41" si="8">SUMIFS(T$12:T$27,$F$12:$F$27,$F37,$H$12:$H$27,"Y")</f>
        <v>16066.314269492805</v>
      </c>
      <c r="U37" s="12">
        <f t="shared" si="8"/>
        <v>16781.681415594241</v>
      </c>
      <c r="V37" s="12">
        <f t="shared" si="8"/>
        <v>17497.048561695679</v>
      </c>
      <c r="W37" s="12">
        <f t="shared" si="8"/>
        <v>18212.415707797125</v>
      </c>
      <c r="X37" s="12">
        <f t="shared" si="8"/>
        <v>18927.782853898578</v>
      </c>
      <c r="Y37" s="12">
        <f t="shared" si="8"/>
        <v>37143.15</v>
      </c>
      <c r="Z37" s="12">
        <f t="shared" si="8"/>
        <v>37143.15</v>
      </c>
      <c r="AA37" s="12">
        <f t="shared" si="8"/>
        <v>37143.15</v>
      </c>
      <c r="AB37" s="12">
        <f t="shared" si="8"/>
        <v>37143.15</v>
      </c>
      <c r="AC37" s="12">
        <f t="shared" si="8"/>
        <v>37143.15</v>
      </c>
      <c r="AD37" s="12">
        <f t="shared" si="8"/>
        <v>371431.5</v>
      </c>
      <c r="AE37" s="10"/>
    </row>
    <row r="38" spans="1:31" x14ac:dyDescent="0.2">
      <c r="A38" s="10"/>
      <c r="B38" s="10" t="s">
        <v>978</v>
      </c>
      <c r="C38" s="284">
        <f>IF(AND(ISERROR(IRR($J38:$AC38)),ISERROR(IRR($J38:$AD38))),"n/a",MAX(IFERROR(IRR($J38:$AC38),-99),IFERROR(IRR($J38:$AD38),-99)))</f>
        <v>0.18005338922109515</v>
      </c>
      <c r="D38" s="289">
        <f>K88</f>
        <v>3.2977281924551196</v>
      </c>
      <c r="E38" s="288">
        <f>H88</f>
        <v>133277.70805000002</v>
      </c>
      <c r="F38" s="313" t="s">
        <v>978</v>
      </c>
      <c r="G38" s="17"/>
      <c r="H38" s="17"/>
      <c r="I38" s="248" cm="1">
        <f t="array" ref="I38">IFERROR(INDEX($J$10:$AC$10,MATCH(TRUE,INDEX(J38:AC38&lt;&gt;0,0),0)),"-")</f>
        <v>2028</v>
      </c>
      <c r="J38" s="12">
        <f t="shared" si="7"/>
        <v>0</v>
      </c>
      <c r="K38" s="12">
        <f t="shared" si="7"/>
        <v>0</v>
      </c>
      <c r="L38" s="12">
        <f t="shared" si="7"/>
        <v>-54400</v>
      </c>
      <c r="M38" s="12">
        <f t="shared" si="7"/>
        <v>-78877.708050000001</v>
      </c>
      <c r="N38" s="12">
        <f t="shared" si="7"/>
        <v>18012.613000000005</v>
      </c>
      <c r="O38" s="12">
        <f t="shared" si="7"/>
        <v>19057.608798981251</v>
      </c>
      <c r="P38" s="12">
        <f t="shared" si="7"/>
        <v>20143.598334202798</v>
      </c>
      <c r="Q38" s="12">
        <f t="shared" si="7"/>
        <v>21272.069929297872</v>
      </c>
      <c r="R38" s="12">
        <f t="shared" si="7"/>
        <v>22444.564864911354</v>
      </c>
      <c r="S38" s="12">
        <f t="shared" si="7"/>
        <v>23662.679252512065</v>
      </c>
      <c r="T38" s="12">
        <f t="shared" si="8"/>
        <v>24928.065974403398</v>
      </c>
      <c r="U38" s="12">
        <f t="shared" si="8"/>
        <v>26242.436692269799</v>
      </c>
      <c r="V38" s="12">
        <f t="shared" si="8"/>
        <v>27607.563926679501</v>
      </c>
      <c r="W38" s="12">
        <f t="shared" si="8"/>
        <v>29025.283210048481</v>
      </c>
      <c r="X38" s="12">
        <f t="shared" si="8"/>
        <v>30497.495315660741</v>
      </c>
      <c r="Y38" s="12">
        <f t="shared" si="8"/>
        <v>32026.168565429525</v>
      </c>
      <c r="Z38" s="12">
        <f t="shared" si="8"/>
        <v>33613.341219180817</v>
      </c>
      <c r="AA38" s="12">
        <f t="shared" si="8"/>
        <v>35261.123948336928</v>
      </c>
      <c r="AB38" s="12">
        <f t="shared" si="8"/>
        <v>36971.702396981731</v>
      </c>
      <c r="AC38" s="12">
        <f t="shared" si="8"/>
        <v>38747.339833391394</v>
      </c>
      <c r="AD38" s="12">
        <f t="shared" si="8"/>
        <v>387473.39833391394</v>
      </c>
      <c r="AE38" s="10"/>
    </row>
    <row r="39" spans="1:31" x14ac:dyDescent="0.2">
      <c r="A39" s="10"/>
      <c r="B39" s="10" t="s">
        <v>976</v>
      </c>
      <c r="C39" s="284">
        <f>IF(AND(ISERROR(IRR($J39:$AC39)),ISERROR(IRR($J39:$AD39))),"n/a",MAX(IFERROR(IRR($J39:$AC39),-99),IFERROR(IRR($J39:$AD39),-99)))</f>
        <v>0.29901095400214173</v>
      </c>
      <c r="D39" s="289">
        <f>K89</f>
        <v>4.578833438307492</v>
      </c>
      <c r="E39" s="288">
        <f>H89</f>
        <v>29793.479159999999</v>
      </c>
      <c r="F39" s="313" t="s">
        <v>976</v>
      </c>
      <c r="G39" s="17"/>
      <c r="H39" s="17"/>
      <c r="I39" s="248" cm="1">
        <f t="array" ref="I39">IFERROR(INDEX($J$10:$AC$10,MATCH(TRUE,INDEX(J39:AC39&lt;&gt;0,0),0)),"-")</f>
        <v>2027</v>
      </c>
      <c r="J39" s="12">
        <f t="shared" si="7"/>
        <v>0</v>
      </c>
      <c r="K39" s="12">
        <f t="shared" si="7"/>
        <v>-16640</v>
      </c>
      <c r="L39" s="12">
        <f t="shared" si="7"/>
        <v>2659.9525300000009</v>
      </c>
      <c r="M39" s="12">
        <f t="shared" si="7"/>
        <v>-5936.7353599999997</v>
      </c>
      <c r="N39" s="12">
        <f t="shared" si="7"/>
        <v>-9876.6963299999989</v>
      </c>
      <c r="O39" s="12">
        <f t="shared" si="7"/>
        <v>37670.437680000003</v>
      </c>
      <c r="P39" s="12">
        <f t="shared" si="7"/>
        <v>7733.4620000000004</v>
      </c>
      <c r="Q39" s="12">
        <f t="shared" si="7"/>
        <v>7733.4620000000004</v>
      </c>
      <c r="R39" s="12">
        <f t="shared" si="7"/>
        <v>7733.4620000000004</v>
      </c>
      <c r="S39" s="12">
        <f t="shared" si="7"/>
        <v>7733.4620000000004</v>
      </c>
      <c r="T39" s="12">
        <f t="shared" si="8"/>
        <v>7733.4620000000004</v>
      </c>
      <c r="U39" s="12">
        <f t="shared" si="8"/>
        <v>7733.4620000000004</v>
      </c>
      <c r="V39" s="12">
        <f t="shared" si="8"/>
        <v>7733.4620000000004</v>
      </c>
      <c r="W39" s="12">
        <f t="shared" si="8"/>
        <v>7733.4620000000004</v>
      </c>
      <c r="X39" s="12">
        <f t="shared" si="8"/>
        <v>7733.4620000000004</v>
      </c>
      <c r="Y39" s="12">
        <f t="shared" si="8"/>
        <v>7733.4620000000004</v>
      </c>
      <c r="Z39" s="12">
        <f t="shared" si="8"/>
        <v>7733.4620000000004</v>
      </c>
      <c r="AA39" s="12">
        <f t="shared" si="8"/>
        <v>7733.4620000000004</v>
      </c>
      <c r="AB39" s="12">
        <f t="shared" si="8"/>
        <v>7733.4620000000004</v>
      </c>
      <c r="AC39" s="12">
        <f t="shared" si="8"/>
        <v>7733.4620000000004</v>
      </c>
      <c r="AD39" s="12">
        <f t="shared" si="8"/>
        <v>77334.62</v>
      </c>
      <c r="AE39" s="10"/>
    </row>
    <row r="40" spans="1:31" x14ac:dyDescent="0.2">
      <c r="A40" s="10"/>
      <c r="B40" s="10" t="s">
        <v>973</v>
      </c>
      <c r="C40" s="284">
        <f>IF(AND(ISERROR(IRR($J40:$AC40)),ISERROR(IRR($J40:$AD40))),"n/a",MAX(IFERROR(IRR($J40:$AC40),-99),IFERROR(IRR($J40:$AD40),-99)))</f>
        <v>0.18039894154650282</v>
      </c>
      <c r="D40" s="289">
        <f>K90</f>
        <v>1.6553899774589533</v>
      </c>
      <c r="E40" s="288">
        <f>H90</f>
        <v>29518.182732000001</v>
      </c>
      <c r="F40" s="313" t="s">
        <v>973</v>
      </c>
      <c r="G40" s="17"/>
      <c r="H40" s="17"/>
      <c r="I40" s="248" cm="1">
        <f t="array" ref="I40">IFERROR(INDEX($J$10:$AC$10,MATCH(TRUE,INDEX(J40:AC40&lt;&gt;0,0),0)),"-")</f>
        <v>2027</v>
      </c>
      <c r="J40" s="12">
        <f t="shared" si="7"/>
        <v>0</v>
      </c>
      <c r="K40" s="12">
        <f t="shared" si="7"/>
        <v>-21767.200000000001</v>
      </c>
      <c r="L40" s="12">
        <f t="shared" si="7"/>
        <v>2226.3058679999999</v>
      </c>
      <c r="M40" s="12">
        <f t="shared" si="7"/>
        <v>-9977.2885999999999</v>
      </c>
      <c r="N40" s="12">
        <f t="shared" si="7"/>
        <v>12061.212150000003</v>
      </c>
      <c r="O40" s="12">
        <f t="shared" si="7"/>
        <v>38261.990250000003</v>
      </c>
      <c r="P40" s="12">
        <f t="shared" si="7"/>
        <v>0</v>
      </c>
      <c r="Q40" s="12">
        <f t="shared" si="7"/>
        <v>0</v>
      </c>
      <c r="R40" s="12">
        <f t="shared" si="7"/>
        <v>0</v>
      </c>
      <c r="S40" s="12">
        <f t="shared" si="7"/>
        <v>0</v>
      </c>
      <c r="T40" s="12">
        <f t="shared" si="8"/>
        <v>0</v>
      </c>
      <c r="U40" s="12">
        <f t="shared" si="8"/>
        <v>0</v>
      </c>
      <c r="V40" s="12">
        <f t="shared" si="8"/>
        <v>0</v>
      </c>
      <c r="W40" s="12">
        <f t="shared" si="8"/>
        <v>0</v>
      </c>
      <c r="X40" s="12">
        <f t="shared" si="8"/>
        <v>0</v>
      </c>
      <c r="Y40" s="12">
        <f t="shared" si="8"/>
        <v>0</v>
      </c>
      <c r="Z40" s="12">
        <f t="shared" si="8"/>
        <v>0</v>
      </c>
      <c r="AA40" s="12">
        <f t="shared" si="8"/>
        <v>0</v>
      </c>
      <c r="AB40" s="12">
        <f t="shared" si="8"/>
        <v>0</v>
      </c>
      <c r="AC40" s="12">
        <f t="shared" si="8"/>
        <v>0</v>
      </c>
      <c r="AD40" s="12">
        <f t="shared" si="8"/>
        <v>0</v>
      </c>
      <c r="AE40" s="10"/>
    </row>
    <row r="41" spans="1:31" x14ac:dyDescent="0.2">
      <c r="A41" s="10"/>
      <c r="B41" s="10" t="s">
        <v>971</v>
      </c>
      <c r="C41" s="284">
        <f>IF(AND(ISERROR(IRR($J41:$AC41)),ISERROR(IRR($J41:$AD41))),"n/a",MAX(IFERROR(IRR($J41:$AC41),-99),IFERROR(IRR($J41:$AD41),-99)))</f>
        <v>0.58547617333736057</v>
      </c>
      <c r="D41" s="289">
        <f>K91</f>
        <v>13.316354874270157</v>
      </c>
      <c r="E41" s="288">
        <f>H91</f>
        <v>49579.018785790373</v>
      </c>
      <c r="F41" s="313" t="s">
        <v>971</v>
      </c>
      <c r="G41" s="17"/>
      <c r="H41" s="17"/>
      <c r="I41" s="248" cm="1">
        <f t="array" ref="I41">IFERROR(INDEX($J$10:$AC$10,MATCH(TRUE,INDEX(J41:AC41&lt;&gt;0,0),0)),"-")</f>
        <v>2026</v>
      </c>
      <c r="J41" s="12">
        <f t="shared" si="7"/>
        <v>-1200</v>
      </c>
      <c r="K41" s="12">
        <f t="shared" si="7"/>
        <v>-20768.617275090015</v>
      </c>
      <c r="L41" s="12">
        <f t="shared" si="7"/>
        <v>1416.4717269744906</v>
      </c>
      <c r="M41" s="12">
        <f t="shared" si="7"/>
        <v>-27223.451545976997</v>
      </c>
      <c r="N41" s="12">
        <f t="shared" si="7"/>
        <v>-1803.4216916978567</v>
      </c>
      <c r="O41" s="12">
        <f t="shared" si="7"/>
        <v>37389.904694285571</v>
      </c>
      <c r="P41" s="12">
        <f t="shared" si="7"/>
        <v>48563.778422992778</v>
      </c>
      <c r="Q41" s="12">
        <f t="shared" si="7"/>
        <v>185054.20275090652</v>
      </c>
      <c r="R41" s="12">
        <f t="shared" si="7"/>
        <v>73907.165018317421</v>
      </c>
      <c r="S41" s="12">
        <f t="shared" si="7"/>
        <v>265362.37736225844</v>
      </c>
      <c r="T41" s="12">
        <f t="shared" si="8"/>
        <v>67380.148679718724</v>
      </c>
      <c r="U41" s="12">
        <f t="shared" si="8"/>
        <v>0</v>
      </c>
      <c r="V41" s="12">
        <f t="shared" si="8"/>
        <v>0</v>
      </c>
      <c r="W41" s="12">
        <f t="shared" si="8"/>
        <v>0</v>
      </c>
      <c r="X41" s="12">
        <f t="shared" si="8"/>
        <v>0</v>
      </c>
      <c r="Y41" s="12">
        <f t="shared" si="8"/>
        <v>0</v>
      </c>
      <c r="Z41" s="12">
        <f t="shared" si="8"/>
        <v>0</v>
      </c>
      <c r="AA41" s="12">
        <f t="shared" si="8"/>
        <v>0</v>
      </c>
      <c r="AB41" s="12">
        <f t="shared" si="8"/>
        <v>0</v>
      </c>
      <c r="AC41" s="12">
        <f t="shared" si="8"/>
        <v>0</v>
      </c>
      <c r="AD41" s="12">
        <f t="shared" si="8"/>
        <v>0</v>
      </c>
      <c r="AE41" s="10"/>
    </row>
    <row r="42" spans="1:31" x14ac:dyDescent="0.2">
      <c r="A42" s="10"/>
      <c r="B42" s="23" t="s">
        <v>1009</v>
      </c>
      <c r="C42" s="23"/>
      <c r="D42" s="23"/>
      <c r="E42" s="23"/>
      <c r="F42" s="23"/>
      <c r="G42" s="23"/>
      <c r="H42" s="23"/>
      <c r="I42" s="252" t="str">
        <f>IF(ABS(SUM(J37:AD41)+IF($H$12="Y",SUM(J12:AD12),0)-SUM(J33:AD33))&lt;1,"OK","ERROR")</f>
        <v>OK</v>
      </c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</row>
    <row r="43" spans="1:3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</row>
    <row r="44" spans="1:31" x14ac:dyDescent="0.2">
      <c r="A44" s="10"/>
      <c r="B44" s="24" t="s">
        <v>1029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</row>
    <row r="45" spans="1:31" x14ac:dyDescent="0.2">
      <c r="A45" s="10"/>
      <c r="B45" s="86" t="str">
        <f>B13</f>
        <v>Club Med Gramado</v>
      </c>
      <c r="C45" s="86"/>
      <c r="D45" s="86"/>
      <c r="E45" s="86"/>
      <c r="F45" s="86"/>
      <c r="G45" s="86"/>
      <c r="H45" s="86"/>
      <c r="I45" s="86"/>
      <c r="J45" s="88">
        <f>J13</f>
        <v>-84496.679603351207</v>
      </c>
      <c r="K45" s="88">
        <f t="shared" ref="K45:AC45" si="9">J45+K13</f>
        <v>-222379.01542814809</v>
      </c>
      <c r="L45" s="88">
        <f t="shared" si="9"/>
        <v>-206978.11700000006</v>
      </c>
      <c r="M45" s="88">
        <f t="shared" si="9"/>
        <v>-201882.4868340359</v>
      </c>
      <c r="N45" s="88">
        <f t="shared" si="9"/>
        <v>-200542.12544115173</v>
      </c>
      <c r="O45" s="88">
        <f t="shared" si="9"/>
        <v>-189304.69690216612</v>
      </c>
      <c r="P45" s="88">
        <f t="shared" si="9"/>
        <v>-177351.90121707908</v>
      </c>
      <c r="Q45" s="88">
        <f t="shared" si="9"/>
        <v>-163431.68838589059</v>
      </c>
      <c r="R45" s="88">
        <f t="shared" si="9"/>
        <v>-148796.10840860067</v>
      </c>
      <c r="S45" s="88">
        <f t="shared" si="9"/>
        <v>-133445.16128520932</v>
      </c>
      <c r="T45" s="88">
        <f t="shared" si="9"/>
        <v>-117378.84701571651</v>
      </c>
      <c r="U45" s="88">
        <f t="shared" si="9"/>
        <v>-100597.16560012227</v>
      </c>
      <c r="V45" s="88">
        <f t="shared" si="9"/>
        <v>-83100.117038426601</v>
      </c>
      <c r="W45" s="88">
        <f t="shared" si="9"/>
        <v>-64887.701330629476</v>
      </c>
      <c r="X45" s="88">
        <f t="shared" si="9"/>
        <v>-45959.918476730898</v>
      </c>
      <c r="Y45" s="88">
        <f t="shared" si="9"/>
        <v>-8816.7684767308965</v>
      </c>
      <c r="Z45" s="88">
        <f t="shared" si="9"/>
        <v>28326.381523269105</v>
      </c>
      <c r="AA45" s="88">
        <f t="shared" si="9"/>
        <v>65469.531523269106</v>
      </c>
      <c r="AB45" s="88">
        <f t="shared" si="9"/>
        <v>102612.6815232691</v>
      </c>
      <c r="AC45" s="88">
        <f t="shared" si="9"/>
        <v>139755.83152326909</v>
      </c>
      <c r="AD45" s="10"/>
      <c r="AE45" s="10"/>
    </row>
    <row r="46" spans="1:31" x14ac:dyDescent="0.2">
      <c r="A46" s="10"/>
      <c r="B46" s="86" t="str">
        <f>B14</f>
        <v>Villas Club Med (26 casas)</v>
      </c>
      <c r="C46" s="86"/>
      <c r="D46" s="86"/>
      <c r="E46" s="86"/>
      <c r="F46" s="86"/>
      <c r="G46" s="86"/>
      <c r="H46" s="86"/>
      <c r="I46" s="86"/>
      <c r="J46" s="88">
        <f>J14</f>
        <v>-1200</v>
      </c>
      <c r="K46" s="88">
        <f t="shared" ref="K46:AC46" si="10">J46+K14</f>
        <v>-17488.540608423347</v>
      </c>
      <c r="L46" s="88">
        <f t="shared" si="10"/>
        <v>-3433.1253600000055</v>
      </c>
      <c r="M46" s="88">
        <f t="shared" si="10"/>
        <v>37787.2644</v>
      </c>
      <c r="N46" s="88">
        <f t="shared" si="10"/>
        <v>37787.2644</v>
      </c>
      <c r="O46" s="88">
        <f t="shared" si="10"/>
        <v>37787.2644</v>
      </c>
      <c r="P46" s="88">
        <f t="shared" si="10"/>
        <v>37787.2644</v>
      </c>
      <c r="Q46" s="88">
        <f t="shared" si="10"/>
        <v>37787.2644</v>
      </c>
      <c r="R46" s="88">
        <f t="shared" si="10"/>
        <v>37787.2644</v>
      </c>
      <c r="S46" s="88">
        <f t="shared" si="10"/>
        <v>37787.2644</v>
      </c>
      <c r="T46" s="88">
        <f t="shared" si="10"/>
        <v>37787.2644</v>
      </c>
      <c r="U46" s="88">
        <f t="shared" si="10"/>
        <v>37787.2644</v>
      </c>
      <c r="V46" s="88">
        <f t="shared" si="10"/>
        <v>37787.2644</v>
      </c>
      <c r="W46" s="88">
        <f t="shared" si="10"/>
        <v>37787.2644</v>
      </c>
      <c r="X46" s="88">
        <f t="shared" si="10"/>
        <v>37787.2644</v>
      </c>
      <c r="Y46" s="88">
        <f t="shared" si="10"/>
        <v>37787.2644</v>
      </c>
      <c r="Z46" s="88">
        <f t="shared" si="10"/>
        <v>37787.2644</v>
      </c>
      <c r="AA46" s="88">
        <f t="shared" si="10"/>
        <v>37787.2644</v>
      </c>
      <c r="AB46" s="88">
        <f t="shared" si="10"/>
        <v>37787.2644</v>
      </c>
      <c r="AC46" s="88">
        <f t="shared" si="10"/>
        <v>37787.2644</v>
      </c>
      <c r="AD46" s="10"/>
      <c r="AE46" s="10"/>
    </row>
    <row r="47" spans="1:31" x14ac:dyDescent="0.2">
      <c r="A47" s="10"/>
      <c r="B47" s="86" t="str">
        <f>B15</f>
        <v>Mini Mall</v>
      </c>
      <c r="C47" s="86"/>
      <c r="D47" s="86"/>
      <c r="E47" s="86"/>
      <c r="F47" s="86"/>
      <c r="G47" s="86"/>
      <c r="H47" s="86"/>
      <c r="I47" s="86"/>
      <c r="J47" s="88">
        <f>J15</f>
        <v>0</v>
      </c>
      <c r="K47" s="88">
        <f t="shared" ref="K47:AC47" si="11">J47+K15</f>
        <v>-21767.200000000001</v>
      </c>
      <c r="L47" s="88">
        <f t="shared" si="11"/>
        <v>-19540.894132000001</v>
      </c>
      <c r="M47" s="88">
        <f t="shared" si="11"/>
        <v>-17430.978832000001</v>
      </c>
      <c r="N47" s="88">
        <f t="shared" si="11"/>
        <v>12761.039167999999</v>
      </c>
      <c r="O47" s="88">
        <f t="shared" si="11"/>
        <v>12761.039167999999</v>
      </c>
      <c r="P47" s="88">
        <f t="shared" si="11"/>
        <v>12761.039167999999</v>
      </c>
      <c r="Q47" s="88">
        <f t="shared" si="11"/>
        <v>12761.039167999999</v>
      </c>
      <c r="R47" s="88">
        <f t="shared" si="11"/>
        <v>12761.039167999999</v>
      </c>
      <c r="S47" s="88">
        <f t="shared" si="11"/>
        <v>12761.039167999999</v>
      </c>
      <c r="T47" s="88">
        <f t="shared" si="11"/>
        <v>12761.039167999999</v>
      </c>
      <c r="U47" s="88">
        <f t="shared" si="11"/>
        <v>12761.039167999999</v>
      </c>
      <c r="V47" s="88">
        <f t="shared" si="11"/>
        <v>12761.039167999999</v>
      </c>
      <c r="W47" s="88">
        <f t="shared" si="11"/>
        <v>12761.039167999999</v>
      </c>
      <c r="X47" s="88">
        <f t="shared" si="11"/>
        <v>12761.039167999999</v>
      </c>
      <c r="Y47" s="88">
        <f t="shared" si="11"/>
        <v>12761.039167999999</v>
      </c>
      <c r="Z47" s="88">
        <f t="shared" si="11"/>
        <v>12761.039167999999</v>
      </c>
      <c r="AA47" s="88">
        <f t="shared" si="11"/>
        <v>12761.039167999999</v>
      </c>
      <c r="AB47" s="88">
        <f t="shared" si="11"/>
        <v>12761.039167999999</v>
      </c>
      <c r="AC47" s="88">
        <f t="shared" si="11"/>
        <v>12761.039167999999</v>
      </c>
      <c r="AD47" s="10"/>
      <c r="AE47" s="10"/>
    </row>
    <row r="48" spans="1:31" x14ac:dyDescent="0.2">
      <c r="A48" s="10"/>
      <c r="B48" s="86" t="str">
        <f>B16</f>
        <v>WDC Casamentos</v>
      </c>
      <c r="C48" s="86"/>
      <c r="D48" s="86"/>
      <c r="E48" s="86"/>
      <c r="F48" s="86"/>
      <c r="G48" s="86"/>
      <c r="H48" s="86"/>
      <c r="I48" s="86"/>
      <c r="J48" s="88">
        <f>J16</f>
        <v>0</v>
      </c>
      <c r="K48" s="88">
        <f t="shared" ref="K48:AC48" si="12">J48+K16</f>
        <v>-16640</v>
      </c>
      <c r="L48" s="88">
        <f t="shared" si="12"/>
        <v>-13980.04747</v>
      </c>
      <c r="M48" s="88">
        <f t="shared" si="12"/>
        <v>-10001.78283</v>
      </c>
      <c r="N48" s="88">
        <f t="shared" si="12"/>
        <v>-5005.9791599999999</v>
      </c>
      <c r="O48" s="88">
        <f t="shared" si="12"/>
        <v>1276.9585200000001</v>
      </c>
      <c r="P48" s="88">
        <f t="shared" si="12"/>
        <v>9010.4205199999997</v>
      </c>
      <c r="Q48" s="88">
        <f t="shared" si="12"/>
        <v>16743.882519999999</v>
      </c>
      <c r="R48" s="88">
        <f t="shared" si="12"/>
        <v>24477.344519999999</v>
      </c>
      <c r="S48" s="88">
        <f t="shared" si="12"/>
        <v>32210.806519999998</v>
      </c>
      <c r="T48" s="88">
        <f t="shared" si="12"/>
        <v>39944.268519999998</v>
      </c>
      <c r="U48" s="88">
        <f t="shared" si="12"/>
        <v>47677.730519999997</v>
      </c>
      <c r="V48" s="88">
        <f t="shared" si="12"/>
        <v>55411.192519999997</v>
      </c>
      <c r="W48" s="88">
        <f t="shared" si="12"/>
        <v>63144.654519999996</v>
      </c>
      <c r="X48" s="88">
        <f t="shared" si="12"/>
        <v>70878.116519999996</v>
      </c>
      <c r="Y48" s="88">
        <f t="shared" si="12"/>
        <v>78611.578519999995</v>
      </c>
      <c r="Z48" s="88">
        <f t="shared" si="12"/>
        <v>86345.040519999995</v>
      </c>
      <c r="AA48" s="88">
        <f t="shared" si="12"/>
        <v>94078.502519999995</v>
      </c>
      <c r="AB48" s="88">
        <f t="shared" si="12"/>
        <v>101811.96451999999</v>
      </c>
      <c r="AC48" s="88">
        <f t="shared" si="12"/>
        <v>109545.42651999999</v>
      </c>
      <c r="AD48" s="10"/>
      <c r="AE48" s="10"/>
    </row>
    <row r="49" spans="1:31" x14ac:dyDescent="0.2">
      <c r="A49" s="10"/>
      <c r="B49" s="86" t="str">
        <f>B17</f>
        <v>Ski Gramado — complexo all season</v>
      </c>
      <c r="C49" s="86"/>
      <c r="D49" s="86"/>
      <c r="E49" s="86"/>
      <c r="F49" s="86"/>
      <c r="G49" s="86"/>
      <c r="H49" s="86"/>
      <c r="I49" s="86"/>
      <c r="J49" s="88">
        <f>J17</f>
        <v>0</v>
      </c>
      <c r="K49" s="88">
        <f t="shared" ref="K49:AC49" si="13">J49+K17</f>
        <v>0</v>
      </c>
      <c r="L49" s="88">
        <f t="shared" si="13"/>
        <v>-54400</v>
      </c>
      <c r="M49" s="88">
        <f t="shared" si="13"/>
        <v>-133277.70805000002</v>
      </c>
      <c r="N49" s="88">
        <f t="shared" si="13"/>
        <v>-115265.09505</v>
      </c>
      <c r="O49" s="88">
        <f t="shared" si="13"/>
        <v>-96207.486251018752</v>
      </c>
      <c r="P49" s="88">
        <f t="shared" si="13"/>
        <v>-76063.887916815962</v>
      </c>
      <c r="Q49" s="88">
        <f t="shared" si="13"/>
        <v>-54791.817987518094</v>
      </c>
      <c r="R49" s="88">
        <f t="shared" si="13"/>
        <v>-32347.25312260674</v>
      </c>
      <c r="S49" s="88">
        <f t="shared" si="13"/>
        <v>-8684.5738700946749</v>
      </c>
      <c r="T49" s="88">
        <f t="shared" si="13"/>
        <v>16243.492104308723</v>
      </c>
      <c r="U49" s="88">
        <f t="shared" si="13"/>
        <v>42485.928796578519</v>
      </c>
      <c r="V49" s="88">
        <f t="shared" si="13"/>
        <v>70093.492723258023</v>
      </c>
      <c r="W49" s="88">
        <f t="shared" si="13"/>
        <v>99118.775933306504</v>
      </c>
      <c r="X49" s="88">
        <f t="shared" si="13"/>
        <v>129616.27124896724</v>
      </c>
      <c r="Y49" s="88">
        <f t="shared" si="13"/>
        <v>161642.43981439676</v>
      </c>
      <c r="Z49" s="88">
        <f t="shared" si="13"/>
        <v>195255.78103357757</v>
      </c>
      <c r="AA49" s="88">
        <f t="shared" si="13"/>
        <v>230516.9049819145</v>
      </c>
      <c r="AB49" s="88">
        <f t="shared" si="13"/>
        <v>267488.60737889621</v>
      </c>
      <c r="AC49" s="88">
        <f t="shared" si="13"/>
        <v>306235.94721228757</v>
      </c>
      <c r="AD49" s="10"/>
      <c r="AE49" s="10"/>
    </row>
    <row r="50" spans="1:31" x14ac:dyDescent="0.2">
      <c r="A50" s="10"/>
      <c r="B50" s="86" t="str">
        <f t="shared" ref="B50:B55" si="14">B19</f>
        <v>Fase 01 — Loteamentos</v>
      </c>
      <c r="C50" s="86"/>
      <c r="D50" s="86"/>
      <c r="E50" s="86"/>
      <c r="F50" s="86"/>
      <c r="G50" s="86"/>
      <c r="H50" s="86"/>
      <c r="I50" s="86"/>
      <c r="J50" s="88">
        <f t="shared" ref="J50:J55" si="15">J19</f>
        <v>0</v>
      </c>
      <c r="K50" s="88">
        <f t="shared" ref="K50:AC50" si="16">J50+K19</f>
        <v>-1462.05</v>
      </c>
      <c r="L50" s="88">
        <f t="shared" si="16"/>
        <v>-9246.020603751138</v>
      </c>
      <c r="M50" s="88">
        <f t="shared" si="16"/>
        <v>-34671.133122637177</v>
      </c>
      <c r="N50" s="88">
        <f t="shared" si="16"/>
        <v>-34538.863754979902</v>
      </c>
      <c r="O50" s="88">
        <f t="shared" si="16"/>
        <v>57160.918385964265</v>
      </c>
      <c r="P50" s="88">
        <f t="shared" si="16"/>
        <v>57160.918385964265</v>
      </c>
      <c r="Q50" s="88">
        <f t="shared" si="16"/>
        <v>57160.918385964265</v>
      </c>
      <c r="R50" s="88">
        <f t="shared" si="16"/>
        <v>57160.918385964265</v>
      </c>
      <c r="S50" s="88">
        <f t="shared" si="16"/>
        <v>57160.918385964265</v>
      </c>
      <c r="T50" s="88">
        <f t="shared" si="16"/>
        <v>57160.918385964265</v>
      </c>
      <c r="U50" s="88">
        <f t="shared" si="16"/>
        <v>57160.918385964265</v>
      </c>
      <c r="V50" s="88">
        <f t="shared" si="16"/>
        <v>57160.918385964265</v>
      </c>
      <c r="W50" s="88">
        <f t="shared" si="16"/>
        <v>57160.918385964265</v>
      </c>
      <c r="X50" s="88">
        <f t="shared" si="16"/>
        <v>57160.918385964265</v>
      </c>
      <c r="Y50" s="88">
        <f t="shared" si="16"/>
        <v>57160.918385964265</v>
      </c>
      <c r="Z50" s="88">
        <f t="shared" si="16"/>
        <v>57160.918385964265</v>
      </c>
      <c r="AA50" s="88">
        <f t="shared" si="16"/>
        <v>57160.918385964265</v>
      </c>
      <c r="AB50" s="88">
        <f t="shared" si="16"/>
        <v>57160.918385964265</v>
      </c>
      <c r="AC50" s="88">
        <f t="shared" si="16"/>
        <v>57160.918385964265</v>
      </c>
      <c r="AD50" s="10"/>
      <c r="AE50" s="10"/>
    </row>
    <row r="51" spans="1:31" x14ac:dyDescent="0.2">
      <c r="A51" s="10"/>
      <c r="B51" s="86" t="str">
        <f t="shared" si="14"/>
        <v>Fase 01 — Surf Village</v>
      </c>
      <c r="C51" s="86"/>
      <c r="D51" s="86"/>
      <c r="E51" s="86"/>
      <c r="F51" s="86"/>
      <c r="G51" s="86"/>
      <c r="H51" s="86"/>
      <c r="I51" s="86"/>
      <c r="J51" s="88">
        <f t="shared" si="15"/>
        <v>0</v>
      </c>
      <c r="K51" s="88">
        <f t="shared" ref="K51:AC51" si="17">J51+K20</f>
        <v>-3018.0266666666666</v>
      </c>
      <c r="L51" s="88">
        <f t="shared" si="17"/>
        <v>-7872.9995843643792</v>
      </c>
      <c r="M51" s="88">
        <f t="shared" si="17"/>
        <v>-43858.155704788674</v>
      </c>
      <c r="N51" s="88">
        <f t="shared" si="17"/>
        <v>-26300.518622865889</v>
      </c>
      <c r="O51" s="88">
        <f t="shared" si="17"/>
        <v>16749.752273861213</v>
      </c>
      <c r="P51" s="88">
        <f t="shared" si="17"/>
        <v>60628.697613733108</v>
      </c>
      <c r="Q51" s="88">
        <f t="shared" si="17"/>
        <v>60628.697613733108</v>
      </c>
      <c r="R51" s="88">
        <f t="shared" si="17"/>
        <v>60628.697613733108</v>
      </c>
      <c r="S51" s="88">
        <f t="shared" si="17"/>
        <v>60628.697613733108</v>
      </c>
      <c r="T51" s="88">
        <f t="shared" si="17"/>
        <v>60628.697613733108</v>
      </c>
      <c r="U51" s="88">
        <f t="shared" si="17"/>
        <v>60628.697613733108</v>
      </c>
      <c r="V51" s="88">
        <f t="shared" si="17"/>
        <v>60628.697613733108</v>
      </c>
      <c r="W51" s="88">
        <f t="shared" si="17"/>
        <v>60628.697613733108</v>
      </c>
      <c r="X51" s="88">
        <f t="shared" si="17"/>
        <v>60628.697613733108</v>
      </c>
      <c r="Y51" s="88">
        <f t="shared" si="17"/>
        <v>60628.697613733108</v>
      </c>
      <c r="Z51" s="88">
        <f t="shared" si="17"/>
        <v>60628.697613733108</v>
      </c>
      <c r="AA51" s="88">
        <f t="shared" si="17"/>
        <v>60628.697613733108</v>
      </c>
      <c r="AB51" s="88">
        <f t="shared" si="17"/>
        <v>60628.697613733108</v>
      </c>
      <c r="AC51" s="88">
        <f t="shared" si="17"/>
        <v>60628.697613733108</v>
      </c>
      <c r="AD51" s="10"/>
      <c r="AE51" s="10"/>
    </row>
    <row r="52" spans="1:31" x14ac:dyDescent="0.2">
      <c r="A52" s="10"/>
      <c r="B52" s="86" t="str">
        <f t="shared" si="14"/>
        <v>Fase 02 — Loteamentos</v>
      </c>
      <c r="C52" s="86"/>
      <c r="D52" s="86"/>
      <c r="E52" s="86"/>
      <c r="F52" s="86"/>
      <c r="G52" s="86"/>
      <c r="H52" s="86"/>
      <c r="I52" s="86"/>
      <c r="J52" s="88">
        <f t="shared" si="15"/>
        <v>0</v>
      </c>
      <c r="K52" s="88">
        <f t="shared" ref="K52:AC52" si="18">J52+K21</f>
        <v>0</v>
      </c>
      <c r="L52" s="88">
        <f t="shared" si="18"/>
        <v>0</v>
      </c>
      <c r="M52" s="88">
        <f t="shared" si="18"/>
        <v>-3667.59</v>
      </c>
      <c r="N52" s="88">
        <f t="shared" si="18"/>
        <v>-18192.652048269803</v>
      </c>
      <c r="O52" s="88">
        <f t="shared" si="18"/>
        <v>-69529.343972464383</v>
      </c>
      <c r="P52" s="88">
        <f t="shared" si="18"/>
        <v>-61867.67546160669</v>
      </c>
      <c r="Q52" s="88">
        <f t="shared" si="18"/>
        <v>184140.53618729691</v>
      </c>
      <c r="R52" s="88">
        <f t="shared" si="18"/>
        <v>184140.53618729691</v>
      </c>
      <c r="S52" s="88">
        <f t="shared" si="18"/>
        <v>184140.53618729691</v>
      </c>
      <c r="T52" s="88">
        <f t="shared" si="18"/>
        <v>184140.53618729691</v>
      </c>
      <c r="U52" s="88">
        <f t="shared" si="18"/>
        <v>184140.53618729691</v>
      </c>
      <c r="V52" s="88">
        <f t="shared" si="18"/>
        <v>184140.53618729691</v>
      </c>
      <c r="W52" s="88">
        <f t="shared" si="18"/>
        <v>184140.53618729691</v>
      </c>
      <c r="X52" s="88">
        <f t="shared" si="18"/>
        <v>184140.53618729691</v>
      </c>
      <c r="Y52" s="88">
        <f t="shared" si="18"/>
        <v>184140.53618729691</v>
      </c>
      <c r="Z52" s="88">
        <f t="shared" si="18"/>
        <v>184140.53618729691</v>
      </c>
      <c r="AA52" s="88">
        <f t="shared" si="18"/>
        <v>184140.53618729691</v>
      </c>
      <c r="AB52" s="88">
        <f t="shared" si="18"/>
        <v>184140.53618729691</v>
      </c>
      <c r="AC52" s="88">
        <f t="shared" si="18"/>
        <v>184140.53618729691</v>
      </c>
      <c r="AD52" s="10"/>
      <c r="AE52" s="10"/>
    </row>
    <row r="53" spans="1:31" x14ac:dyDescent="0.2">
      <c r="A53" s="10"/>
      <c r="B53" s="86" t="str">
        <f t="shared" si="14"/>
        <v>Fase 02 — Surf Village</v>
      </c>
      <c r="C53" s="86"/>
      <c r="D53" s="86"/>
      <c r="E53" s="86"/>
      <c r="F53" s="86"/>
      <c r="G53" s="86"/>
      <c r="H53" s="86"/>
      <c r="I53" s="86"/>
      <c r="J53" s="88">
        <f t="shared" si="15"/>
        <v>0</v>
      </c>
      <c r="K53" s="88">
        <f t="shared" ref="K53:AC53" si="19">J53+K22</f>
        <v>0</v>
      </c>
      <c r="L53" s="88">
        <f t="shared" si="19"/>
        <v>0</v>
      </c>
      <c r="M53" s="88">
        <f t="shared" si="19"/>
        <v>-3365.9826666666663</v>
      </c>
      <c r="N53" s="88">
        <f t="shared" si="19"/>
        <v>-8334.2487596747815</v>
      </c>
      <c r="O53" s="88">
        <f t="shared" si="19"/>
        <v>-47164.827345532562</v>
      </c>
      <c r="P53" s="88">
        <f t="shared" si="19"/>
        <v>-26496.424809280281</v>
      </c>
      <c r="Q53" s="88">
        <f t="shared" si="19"/>
        <v>23519.59396791397</v>
      </c>
      <c r="R53" s="88">
        <f t="shared" si="19"/>
        <v>78488.3593751062</v>
      </c>
      <c r="S53" s="88">
        <f t="shared" si="19"/>
        <v>78488.3593751062</v>
      </c>
      <c r="T53" s="88">
        <f t="shared" si="19"/>
        <v>78488.3593751062</v>
      </c>
      <c r="U53" s="88">
        <f t="shared" si="19"/>
        <v>78488.3593751062</v>
      </c>
      <c r="V53" s="88">
        <f t="shared" si="19"/>
        <v>78488.3593751062</v>
      </c>
      <c r="W53" s="88">
        <f t="shared" si="19"/>
        <v>78488.3593751062</v>
      </c>
      <c r="X53" s="88">
        <f t="shared" si="19"/>
        <v>78488.3593751062</v>
      </c>
      <c r="Y53" s="88">
        <f t="shared" si="19"/>
        <v>78488.3593751062</v>
      </c>
      <c r="Z53" s="88">
        <f t="shared" si="19"/>
        <v>78488.3593751062</v>
      </c>
      <c r="AA53" s="88">
        <f t="shared" si="19"/>
        <v>78488.3593751062</v>
      </c>
      <c r="AB53" s="88">
        <f t="shared" si="19"/>
        <v>78488.3593751062</v>
      </c>
      <c r="AC53" s="88">
        <f t="shared" si="19"/>
        <v>78488.3593751062</v>
      </c>
      <c r="AD53" s="10"/>
      <c r="AE53" s="10"/>
    </row>
    <row r="54" spans="1:31" x14ac:dyDescent="0.2">
      <c r="A54" s="10"/>
      <c r="B54" s="86" t="str">
        <f t="shared" si="14"/>
        <v>Fase 03 — Loteamentos</v>
      </c>
      <c r="C54" s="86"/>
      <c r="D54" s="86"/>
      <c r="E54" s="86"/>
      <c r="F54" s="86"/>
      <c r="G54" s="86"/>
      <c r="H54" s="86"/>
      <c r="I54" s="86"/>
      <c r="J54" s="88">
        <f t="shared" si="15"/>
        <v>0</v>
      </c>
      <c r="K54" s="88">
        <f t="shared" ref="K54:AC54" si="20">J54+K23</f>
        <v>0</v>
      </c>
      <c r="L54" s="88">
        <f t="shared" si="20"/>
        <v>0</v>
      </c>
      <c r="M54" s="88">
        <f t="shared" si="20"/>
        <v>0</v>
      </c>
      <c r="N54" s="88">
        <f t="shared" si="20"/>
        <v>0</v>
      </c>
      <c r="O54" s="88">
        <f t="shared" si="20"/>
        <v>-3480.8909999999996</v>
      </c>
      <c r="P54" s="88">
        <f t="shared" si="20"/>
        <v>-22142.928958571563</v>
      </c>
      <c r="Q54" s="88">
        <f t="shared" si="20"/>
        <v>-91721.515127447419</v>
      </c>
      <c r="R54" s="88">
        <f t="shared" si="20"/>
        <v>-96763.66587653209</v>
      </c>
      <c r="S54" s="88">
        <f t="shared" si="20"/>
        <v>111201.29358090926</v>
      </c>
      <c r="T54" s="88">
        <f t="shared" si="20"/>
        <v>111201.29358090926</v>
      </c>
      <c r="U54" s="88">
        <f t="shared" si="20"/>
        <v>111201.29358090926</v>
      </c>
      <c r="V54" s="88">
        <f t="shared" si="20"/>
        <v>111201.29358090926</v>
      </c>
      <c r="W54" s="88">
        <f t="shared" si="20"/>
        <v>111201.29358090926</v>
      </c>
      <c r="X54" s="88">
        <f t="shared" si="20"/>
        <v>111201.29358090926</v>
      </c>
      <c r="Y54" s="88">
        <f t="shared" si="20"/>
        <v>111201.29358090926</v>
      </c>
      <c r="Z54" s="88">
        <f t="shared" si="20"/>
        <v>111201.29358090926</v>
      </c>
      <c r="AA54" s="88">
        <f t="shared" si="20"/>
        <v>111201.29358090926</v>
      </c>
      <c r="AB54" s="88">
        <f t="shared" si="20"/>
        <v>111201.29358090926</v>
      </c>
      <c r="AC54" s="88">
        <f t="shared" si="20"/>
        <v>111201.29358090926</v>
      </c>
      <c r="AD54" s="10"/>
      <c r="AE54" s="10"/>
    </row>
    <row r="55" spans="1:31" x14ac:dyDescent="0.2">
      <c r="A55" s="10"/>
      <c r="B55" s="86" t="str">
        <f t="shared" si="14"/>
        <v>Fase 03 — Surf Village</v>
      </c>
      <c r="C55" s="86"/>
      <c r="D55" s="86"/>
      <c r="E55" s="86"/>
      <c r="F55" s="86"/>
      <c r="G55" s="86"/>
      <c r="H55" s="86"/>
      <c r="I55" s="86"/>
      <c r="J55" s="88">
        <f t="shared" si="15"/>
        <v>0</v>
      </c>
      <c r="K55" s="88">
        <f t="shared" ref="K55:AC55" si="21">J55+K24</f>
        <v>0</v>
      </c>
      <c r="L55" s="88">
        <f t="shared" si="21"/>
        <v>0</v>
      </c>
      <c r="M55" s="88">
        <f t="shared" si="21"/>
        <v>0</v>
      </c>
      <c r="N55" s="88">
        <f t="shared" si="21"/>
        <v>0</v>
      </c>
      <c r="O55" s="88">
        <f t="shared" si="21"/>
        <v>-3711.9868333333334</v>
      </c>
      <c r="P55" s="88">
        <f t="shared" si="21"/>
        <v>-8695.1868387508657</v>
      </c>
      <c r="Q55" s="88">
        <f t="shared" si="21"/>
        <v>-50086.628345066303</v>
      </c>
      <c r="R55" s="88">
        <f t="shared" si="21"/>
        <v>-26106.077984856438</v>
      </c>
      <c r="S55" s="88">
        <f t="shared" si="21"/>
        <v>31291.339919960668</v>
      </c>
      <c r="T55" s="88">
        <f t="shared" si="21"/>
        <v>98671.488599679389</v>
      </c>
      <c r="U55" s="88">
        <f t="shared" si="21"/>
        <v>98671.488599679389</v>
      </c>
      <c r="V55" s="88">
        <f t="shared" si="21"/>
        <v>98671.488599679389</v>
      </c>
      <c r="W55" s="88">
        <f t="shared" si="21"/>
        <v>98671.488599679389</v>
      </c>
      <c r="X55" s="88">
        <f t="shared" si="21"/>
        <v>98671.488599679389</v>
      </c>
      <c r="Y55" s="88">
        <f t="shared" si="21"/>
        <v>98671.488599679389</v>
      </c>
      <c r="Z55" s="88">
        <f t="shared" si="21"/>
        <v>98671.488599679389</v>
      </c>
      <c r="AA55" s="88">
        <f t="shared" si="21"/>
        <v>98671.488599679389</v>
      </c>
      <c r="AB55" s="88">
        <f t="shared" si="21"/>
        <v>98671.488599679389</v>
      </c>
      <c r="AC55" s="88">
        <f t="shared" si="21"/>
        <v>98671.488599679389</v>
      </c>
      <c r="AD55" s="10"/>
      <c r="AE55" s="10"/>
    </row>
    <row r="56" spans="1:31" x14ac:dyDescent="0.2">
      <c r="A56" s="10"/>
      <c r="B56" s="86" t="str">
        <f>B26</f>
        <v>Senior Living</v>
      </c>
      <c r="C56" s="86"/>
      <c r="D56" s="86"/>
      <c r="E56" s="86"/>
      <c r="F56" s="86"/>
      <c r="G56" s="86"/>
      <c r="H56" s="86"/>
      <c r="I56" s="86"/>
      <c r="J56" s="88">
        <f>J26</f>
        <v>0</v>
      </c>
      <c r="K56" s="88">
        <f t="shared" ref="K56:AC56" si="22">J56+K26</f>
        <v>0</v>
      </c>
      <c r="L56" s="88">
        <f t="shared" si="22"/>
        <v>0</v>
      </c>
      <c r="M56" s="88">
        <f t="shared" si="22"/>
        <v>-12087.2039</v>
      </c>
      <c r="N56" s="88">
        <f t="shared" si="22"/>
        <v>-30218.009749999997</v>
      </c>
      <c r="O56" s="88">
        <f t="shared" si="22"/>
        <v>8043.9805000000051</v>
      </c>
      <c r="P56" s="88">
        <f t="shared" si="22"/>
        <v>8043.9805000000051</v>
      </c>
      <c r="Q56" s="88">
        <f t="shared" si="22"/>
        <v>8043.9805000000051</v>
      </c>
      <c r="R56" s="88">
        <f t="shared" si="22"/>
        <v>8043.9805000000051</v>
      </c>
      <c r="S56" s="88">
        <f t="shared" si="22"/>
        <v>8043.9805000000051</v>
      </c>
      <c r="T56" s="88">
        <f t="shared" si="22"/>
        <v>8043.9805000000051</v>
      </c>
      <c r="U56" s="88">
        <f t="shared" si="22"/>
        <v>8043.9805000000051</v>
      </c>
      <c r="V56" s="88">
        <f t="shared" si="22"/>
        <v>8043.9805000000051</v>
      </c>
      <c r="W56" s="88">
        <f t="shared" si="22"/>
        <v>8043.9805000000051</v>
      </c>
      <c r="X56" s="88">
        <f t="shared" si="22"/>
        <v>8043.9805000000051</v>
      </c>
      <c r="Y56" s="88">
        <f t="shared" si="22"/>
        <v>8043.9805000000051</v>
      </c>
      <c r="Z56" s="88">
        <f t="shared" si="22"/>
        <v>8043.9805000000051</v>
      </c>
      <c r="AA56" s="88">
        <f t="shared" si="22"/>
        <v>8043.9805000000051</v>
      </c>
      <c r="AB56" s="88">
        <f t="shared" si="22"/>
        <v>8043.9805000000051</v>
      </c>
      <c r="AC56" s="88">
        <f t="shared" si="22"/>
        <v>8043.9805000000051</v>
      </c>
      <c r="AD56" s="10"/>
      <c r="AE56" s="10"/>
    </row>
    <row r="57" spans="1:31" x14ac:dyDescent="0.2">
      <c r="A57" s="10"/>
      <c r="B57" s="86" t="str">
        <f>B27</f>
        <v>Centro de Convenções</v>
      </c>
      <c r="C57" s="86"/>
      <c r="D57" s="86"/>
      <c r="E57" s="86"/>
      <c r="F57" s="86"/>
      <c r="G57" s="86"/>
      <c r="H57" s="86"/>
      <c r="I57" s="86"/>
      <c r="J57" s="88">
        <f>J27</f>
        <v>0</v>
      </c>
      <c r="K57" s="88">
        <f t="shared" ref="K57:AC57" si="23">J57+K27</f>
        <v>0</v>
      </c>
      <c r="L57" s="88">
        <f t="shared" si="23"/>
        <v>0</v>
      </c>
      <c r="M57" s="88">
        <f t="shared" si="23"/>
        <v>-9915</v>
      </c>
      <c r="N57" s="88">
        <f t="shared" si="23"/>
        <v>-24787.5</v>
      </c>
      <c r="O57" s="88">
        <f t="shared" si="23"/>
        <v>6600</v>
      </c>
      <c r="P57" s="88">
        <f t="shared" si="23"/>
        <v>6600</v>
      </c>
      <c r="Q57" s="88">
        <f t="shared" si="23"/>
        <v>6600</v>
      </c>
      <c r="R57" s="88">
        <f t="shared" si="23"/>
        <v>6600</v>
      </c>
      <c r="S57" s="88">
        <f t="shared" si="23"/>
        <v>6600</v>
      </c>
      <c r="T57" s="88">
        <f t="shared" si="23"/>
        <v>6600</v>
      </c>
      <c r="U57" s="88">
        <f t="shared" si="23"/>
        <v>6600</v>
      </c>
      <c r="V57" s="88">
        <f t="shared" si="23"/>
        <v>6600</v>
      </c>
      <c r="W57" s="88">
        <f t="shared" si="23"/>
        <v>6600</v>
      </c>
      <c r="X57" s="88">
        <f t="shared" si="23"/>
        <v>6600</v>
      </c>
      <c r="Y57" s="88">
        <f t="shared" si="23"/>
        <v>6600</v>
      </c>
      <c r="Z57" s="88">
        <f t="shared" si="23"/>
        <v>6600</v>
      </c>
      <c r="AA57" s="88">
        <f t="shared" si="23"/>
        <v>6600</v>
      </c>
      <c r="AB57" s="88">
        <f t="shared" si="23"/>
        <v>6600</v>
      </c>
      <c r="AC57" s="88">
        <f t="shared" si="23"/>
        <v>6600</v>
      </c>
      <c r="AD57" s="10"/>
      <c r="AE57" s="10"/>
    </row>
    <row r="58" spans="1:31" x14ac:dyDescent="0.2">
      <c r="A58" s="10"/>
      <c r="B58" s="86" t="str">
        <f>B30</f>
        <v>Etapa 1 — 2027–28 (abertura do Club Med)</v>
      </c>
      <c r="C58" s="86"/>
      <c r="D58" s="86"/>
      <c r="E58" s="86"/>
      <c r="F58" s="86"/>
      <c r="G58" s="86"/>
      <c r="H58" s="86"/>
      <c r="I58" s="86"/>
      <c r="J58" s="88">
        <f>J30</f>
        <v>-185696.67960335122</v>
      </c>
      <c r="K58" s="88">
        <f t="shared" ref="K58:AC58" si="24">J58+K30</f>
        <v>-382754.83270323812</v>
      </c>
      <c r="L58" s="88">
        <f t="shared" si="24"/>
        <v>-415451.20415011561</v>
      </c>
      <c r="M58" s="88">
        <f t="shared" si="24"/>
        <v>-503334.98097346176</v>
      </c>
      <c r="N58" s="88">
        <f t="shared" si="24"/>
        <v>-431104.27846099751</v>
      </c>
      <c r="O58" s="88">
        <f t="shared" si="24"/>
        <v>-259776.25040535937</v>
      </c>
      <c r="P58" s="88">
        <f t="shared" si="24"/>
        <v>-176067.44904619764</v>
      </c>
      <c r="Q58" s="88">
        <f t="shared" si="24"/>
        <v>-133141.70428571128</v>
      </c>
      <c r="R58" s="88">
        <f t="shared" si="24"/>
        <v>-88328.097443510007</v>
      </c>
      <c r="S58" s="88">
        <f t="shared" si="24"/>
        <v>-41581.009067606574</v>
      </c>
      <c r="T58" s="88">
        <f t="shared" si="24"/>
        <v>7146.8331762896269</v>
      </c>
      <c r="U58" s="88">
        <f t="shared" si="24"/>
        <v>57904.413284153663</v>
      </c>
      <c r="V58" s="88">
        <f t="shared" si="24"/>
        <v>110742.48777252884</v>
      </c>
      <c r="W58" s="88">
        <f t="shared" si="24"/>
        <v>165713.64869037445</v>
      </c>
      <c r="X58" s="88">
        <f t="shared" si="24"/>
        <v>222872.38885993377</v>
      </c>
      <c r="Y58" s="88">
        <f t="shared" si="24"/>
        <v>299775.1694253633</v>
      </c>
      <c r="Z58" s="88">
        <f t="shared" si="24"/>
        <v>378265.12264454411</v>
      </c>
      <c r="AA58" s="88">
        <f t="shared" si="24"/>
        <v>458402.85859288101</v>
      </c>
      <c r="AB58" s="88">
        <f t="shared" si="24"/>
        <v>540251.17298986274</v>
      </c>
      <c r="AC58" s="88">
        <f t="shared" si="24"/>
        <v>623875.12482325407</v>
      </c>
      <c r="AD58" s="10"/>
      <c r="AE58" s="10"/>
    </row>
    <row r="59" spans="1:31" x14ac:dyDescent="0.2">
      <c r="A59" s="10"/>
      <c r="B59" s="86" t="str">
        <f>B31</f>
        <v>Etapa 2 — 2029–30</v>
      </c>
      <c r="C59" s="86"/>
      <c r="D59" s="86"/>
      <c r="E59" s="86"/>
      <c r="F59" s="86"/>
      <c r="G59" s="86"/>
      <c r="H59" s="86"/>
      <c r="I59" s="86"/>
      <c r="J59" s="88">
        <f>J31</f>
        <v>0</v>
      </c>
      <c r="K59" s="88">
        <f t="shared" ref="K59:AC59" si="25">J59+K31</f>
        <v>0</v>
      </c>
      <c r="L59" s="88">
        <f t="shared" si="25"/>
        <v>0</v>
      </c>
      <c r="M59" s="88">
        <f t="shared" si="25"/>
        <v>-29035.776566666667</v>
      </c>
      <c r="N59" s="88">
        <f t="shared" si="25"/>
        <v>-81532.41055794459</v>
      </c>
      <c r="O59" s="88">
        <f t="shared" si="25"/>
        <v>-102050.19081799695</v>
      </c>
      <c r="P59" s="88">
        <f t="shared" si="25"/>
        <v>-73720.119770886973</v>
      </c>
      <c r="Q59" s="88">
        <f t="shared" si="25"/>
        <v>222304.11065521085</v>
      </c>
      <c r="R59" s="88">
        <f t="shared" si="25"/>
        <v>277272.87606240308</v>
      </c>
      <c r="S59" s="88">
        <f t="shared" si="25"/>
        <v>277272.87606240308</v>
      </c>
      <c r="T59" s="88">
        <f t="shared" si="25"/>
        <v>277272.87606240308</v>
      </c>
      <c r="U59" s="88">
        <f t="shared" si="25"/>
        <v>277272.87606240308</v>
      </c>
      <c r="V59" s="88">
        <f t="shared" si="25"/>
        <v>277272.87606240308</v>
      </c>
      <c r="W59" s="88">
        <f t="shared" si="25"/>
        <v>277272.87606240308</v>
      </c>
      <c r="X59" s="88">
        <f t="shared" si="25"/>
        <v>277272.87606240308</v>
      </c>
      <c r="Y59" s="88">
        <f t="shared" si="25"/>
        <v>277272.87606240308</v>
      </c>
      <c r="Z59" s="88">
        <f t="shared" si="25"/>
        <v>277272.87606240308</v>
      </c>
      <c r="AA59" s="88">
        <f t="shared" si="25"/>
        <v>277272.87606240308</v>
      </c>
      <c r="AB59" s="88">
        <f t="shared" si="25"/>
        <v>277272.87606240308</v>
      </c>
      <c r="AC59" s="88">
        <f t="shared" si="25"/>
        <v>277272.87606240308</v>
      </c>
      <c r="AD59" s="10"/>
      <c r="AE59" s="10"/>
    </row>
    <row r="60" spans="1:31" x14ac:dyDescent="0.2">
      <c r="A60" s="10"/>
      <c r="B60" s="86" t="str">
        <f>B32</f>
        <v>Etapa 3 — 2031–33</v>
      </c>
      <c r="C60" s="86"/>
      <c r="D60" s="86"/>
      <c r="E60" s="86"/>
      <c r="F60" s="86"/>
      <c r="G60" s="86"/>
      <c r="H60" s="86"/>
      <c r="I60" s="86"/>
      <c r="J60" s="88">
        <f>J32</f>
        <v>0</v>
      </c>
      <c r="K60" s="88">
        <f t="shared" ref="K60:AC60" si="26">J60+K32</f>
        <v>0</v>
      </c>
      <c r="L60" s="88">
        <f t="shared" si="26"/>
        <v>0</v>
      </c>
      <c r="M60" s="88">
        <f t="shared" si="26"/>
        <v>0</v>
      </c>
      <c r="N60" s="88">
        <f t="shared" si="26"/>
        <v>0</v>
      </c>
      <c r="O60" s="88">
        <f t="shared" si="26"/>
        <v>-7192.877833333333</v>
      </c>
      <c r="P60" s="88">
        <f t="shared" si="26"/>
        <v>-30838.115797322429</v>
      </c>
      <c r="Q60" s="88">
        <f t="shared" si="26"/>
        <v>-141808.14347251371</v>
      </c>
      <c r="R60" s="88">
        <f t="shared" si="26"/>
        <v>-122869.7438613885</v>
      </c>
      <c r="S60" s="88">
        <f t="shared" si="26"/>
        <v>142492.63350086994</v>
      </c>
      <c r="T60" s="88">
        <f t="shared" si="26"/>
        <v>209872.78218058866</v>
      </c>
      <c r="U60" s="88">
        <f t="shared" si="26"/>
        <v>209872.78218058866</v>
      </c>
      <c r="V60" s="88">
        <f t="shared" si="26"/>
        <v>209872.78218058866</v>
      </c>
      <c r="W60" s="88">
        <f t="shared" si="26"/>
        <v>209872.78218058866</v>
      </c>
      <c r="X60" s="88">
        <f t="shared" si="26"/>
        <v>209872.78218058866</v>
      </c>
      <c r="Y60" s="88">
        <f t="shared" si="26"/>
        <v>209872.78218058866</v>
      </c>
      <c r="Z60" s="88">
        <f t="shared" si="26"/>
        <v>209872.78218058866</v>
      </c>
      <c r="AA60" s="88">
        <f t="shared" si="26"/>
        <v>209872.78218058866</v>
      </c>
      <c r="AB60" s="88">
        <f t="shared" si="26"/>
        <v>209872.78218058866</v>
      </c>
      <c r="AC60" s="88">
        <f t="shared" si="26"/>
        <v>209872.78218058866</v>
      </c>
      <c r="AD60" s="10"/>
      <c r="AE60" s="10"/>
    </row>
    <row r="61" spans="1:31" x14ac:dyDescent="0.2">
      <c r="A61" s="10"/>
      <c r="B61" s="86" t="str">
        <f>B33</f>
        <v>TOTAL GRUPO SIRENA — MASTERPLAN</v>
      </c>
      <c r="C61" s="86"/>
      <c r="D61" s="86"/>
      <c r="E61" s="86"/>
      <c r="F61" s="86"/>
      <c r="G61" s="86"/>
      <c r="H61" s="86"/>
      <c r="I61" s="86"/>
      <c r="J61" s="88">
        <f>J33</f>
        <v>-185696.67960335122</v>
      </c>
      <c r="K61" s="88">
        <f t="shared" ref="K61:AC61" si="27">J61+K33</f>
        <v>-382754.83270323812</v>
      </c>
      <c r="L61" s="88">
        <f t="shared" si="27"/>
        <v>-415451.20415011561</v>
      </c>
      <c r="M61" s="88">
        <f t="shared" si="27"/>
        <v>-532370.75754012843</v>
      </c>
      <c r="N61" s="88">
        <f t="shared" si="27"/>
        <v>-512636.68901894212</v>
      </c>
      <c r="O61" s="88">
        <f t="shared" si="27"/>
        <v>-369019.31905668968</v>
      </c>
      <c r="P61" s="88">
        <f t="shared" si="27"/>
        <v>-280625.68461440707</v>
      </c>
      <c r="Q61" s="88">
        <f t="shared" si="27"/>
        <v>-52645.737103014137</v>
      </c>
      <c r="R61" s="88">
        <f t="shared" si="27"/>
        <v>66075.03475750456</v>
      </c>
      <c r="S61" s="88">
        <f t="shared" si="27"/>
        <v>378184.50049566641</v>
      </c>
      <c r="T61" s="88">
        <f t="shared" si="27"/>
        <v>494292.49141928134</v>
      </c>
      <c r="U61" s="88">
        <f t="shared" si="27"/>
        <v>545050.07152714534</v>
      </c>
      <c r="V61" s="88">
        <f t="shared" si="27"/>
        <v>597888.14601552056</v>
      </c>
      <c r="W61" s="88">
        <f t="shared" si="27"/>
        <v>652859.30693336611</v>
      </c>
      <c r="X61" s="88">
        <f t="shared" si="27"/>
        <v>710018.04710292537</v>
      </c>
      <c r="Y61" s="88">
        <f t="shared" si="27"/>
        <v>786920.82766835485</v>
      </c>
      <c r="Z61" s="88">
        <f t="shared" si="27"/>
        <v>865410.78088753566</v>
      </c>
      <c r="AA61" s="88">
        <f t="shared" si="27"/>
        <v>945548.51683587255</v>
      </c>
      <c r="AB61" s="88">
        <f t="shared" si="27"/>
        <v>1027396.8312328543</v>
      </c>
      <c r="AC61" s="88">
        <f t="shared" si="27"/>
        <v>1111020.7830662457</v>
      </c>
      <c r="AD61" s="10"/>
      <c r="AE61" s="10"/>
    </row>
    <row r="62" spans="1:31" x14ac:dyDescent="0.2">
      <c r="A62" s="10"/>
      <c r="B62" s="86" t="str">
        <f>B37</f>
        <v>Hotelaria</v>
      </c>
      <c r="C62" s="86"/>
      <c r="D62" s="86"/>
      <c r="E62" s="86"/>
      <c r="F62" s="86"/>
      <c r="G62" s="86"/>
      <c r="H62" s="86"/>
      <c r="I62" s="86"/>
      <c r="J62" s="88">
        <f>J37</f>
        <v>-84496.679603351207</v>
      </c>
      <c r="K62" s="88">
        <f t="shared" ref="K62:AC62" si="28">J62+K37</f>
        <v>-222379.01542814809</v>
      </c>
      <c r="L62" s="88">
        <f t="shared" si="28"/>
        <v>-206978.11700000006</v>
      </c>
      <c r="M62" s="88">
        <f t="shared" si="28"/>
        <v>-201882.4868340359</v>
      </c>
      <c r="N62" s="88">
        <f t="shared" si="28"/>
        <v>-200542.12544115173</v>
      </c>
      <c r="O62" s="88">
        <f t="shared" si="28"/>
        <v>-189304.69690216612</v>
      </c>
      <c r="P62" s="88">
        <f t="shared" si="28"/>
        <v>-177351.90121707908</v>
      </c>
      <c r="Q62" s="88">
        <f t="shared" si="28"/>
        <v>-163431.68838589059</v>
      </c>
      <c r="R62" s="88">
        <f t="shared" si="28"/>
        <v>-148796.10840860067</v>
      </c>
      <c r="S62" s="88">
        <f t="shared" si="28"/>
        <v>-133445.16128520932</v>
      </c>
      <c r="T62" s="88">
        <f t="shared" si="28"/>
        <v>-117378.84701571651</v>
      </c>
      <c r="U62" s="88">
        <f t="shared" si="28"/>
        <v>-100597.16560012227</v>
      </c>
      <c r="V62" s="88">
        <f t="shared" si="28"/>
        <v>-83100.117038426601</v>
      </c>
      <c r="W62" s="88">
        <f t="shared" si="28"/>
        <v>-64887.701330629476</v>
      </c>
      <c r="X62" s="88">
        <f t="shared" si="28"/>
        <v>-45959.918476730898</v>
      </c>
      <c r="Y62" s="88">
        <f t="shared" si="28"/>
        <v>-8816.7684767308965</v>
      </c>
      <c r="Z62" s="88">
        <f t="shared" si="28"/>
        <v>28326.381523269105</v>
      </c>
      <c r="AA62" s="88">
        <f t="shared" si="28"/>
        <v>65469.531523269106</v>
      </c>
      <c r="AB62" s="88">
        <f t="shared" si="28"/>
        <v>102612.6815232691</v>
      </c>
      <c r="AC62" s="88">
        <f t="shared" si="28"/>
        <v>139755.83152326909</v>
      </c>
      <c r="AD62" s="10"/>
      <c r="AE62" s="10"/>
    </row>
    <row r="63" spans="1:31" x14ac:dyDescent="0.2">
      <c r="A63" s="10"/>
      <c r="B63" s="86" t="str">
        <f>B38</f>
        <v>Entretenimento</v>
      </c>
      <c r="C63" s="86"/>
      <c r="D63" s="86"/>
      <c r="E63" s="86"/>
      <c r="F63" s="86"/>
      <c r="G63" s="86"/>
      <c r="H63" s="86"/>
      <c r="I63" s="86"/>
      <c r="J63" s="88">
        <f>J38</f>
        <v>0</v>
      </c>
      <c r="K63" s="88">
        <f t="shared" ref="K63:AC63" si="29">J63+K38</f>
        <v>0</v>
      </c>
      <c r="L63" s="88">
        <f t="shared" si="29"/>
        <v>-54400</v>
      </c>
      <c r="M63" s="88">
        <f t="shared" si="29"/>
        <v>-133277.70805000002</v>
      </c>
      <c r="N63" s="88">
        <f t="shared" si="29"/>
        <v>-115265.09505</v>
      </c>
      <c r="O63" s="88">
        <f t="shared" si="29"/>
        <v>-96207.486251018752</v>
      </c>
      <c r="P63" s="88">
        <f t="shared" si="29"/>
        <v>-76063.887916815962</v>
      </c>
      <c r="Q63" s="88">
        <f t="shared" si="29"/>
        <v>-54791.817987518094</v>
      </c>
      <c r="R63" s="88">
        <f t="shared" si="29"/>
        <v>-32347.25312260674</v>
      </c>
      <c r="S63" s="88">
        <f t="shared" si="29"/>
        <v>-8684.5738700946749</v>
      </c>
      <c r="T63" s="88">
        <f t="shared" si="29"/>
        <v>16243.492104308723</v>
      </c>
      <c r="U63" s="88">
        <f t="shared" si="29"/>
        <v>42485.928796578519</v>
      </c>
      <c r="V63" s="88">
        <f t="shared" si="29"/>
        <v>70093.492723258023</v>
      </c>
      <c r="W63" s="88">
        <f t="shared" si="29"/>
        <v>99118.775933306504</v>
      </c>
      <c r="X63" s="88">
        <f t="shared" si="29"/>
        <v>129616.27124896724</v>
      </c>
      <c r="Y63" s="88">
        <f t="shared" si="29"/>
        <v>161642.43981439676</v>
      </c>
      <c r="Z63" s="88">
        <f t="shared" si="29"/>
        <v>195255.78103357757</v>
      </c>
      <c r="AA63" s="88">
        <f t="shared" si="29"/>
        <v>230516.9049819145</v>
      </c>
      <c r="AB63" s="88">
        <f t="shared" si="29"/>
        <v>267488.60737889621</v>
      </c>
      <c r="AC63" s="88">
        <f t="shared" si="29"/>
        <v>306235.94721228757</v>
      </c>
      <c r="AD63" s="10"/>
      <c r="AE63" s="10"/>
    </row>
    <row r="64" spans="1:31" x14ac:dyDescent="0.2">
      <c r="A64" s="10"/>
      <c r="B64" s="86" t="str">
        <f>B39</f>
        <v>Eventos</v>
      </c>
      <c r="C64" s="86"/>
      <c r="D64" s="86"/>
      <c r="E64" s="86"/>
      <c r="F64" s="86"/>
      <c r="G64" s="86"/>
      <c r="H64" s="86"/>
      <c r="I64" s="86"/>
      <c r="J64" s="88">
        <f>J39</f>
        <v>0</v>
      </c>
      <c r="K64" s="88">
        <f t="shared" ref="K64:AC64" si="30">J64+K39</f>
        <v>-16640</v>
      </c>
      <c r="L64" s="88">
        <f t="shared" si="30"/>
        <v>-13980.04747</v>
      </c>
      <c r="M64" s="88">
        <f t="shared" si="30"/>
        <v>-19916.78283</v>
      </c>
      <c r="N64" s="88">
        <f t="shared" si="30"/>
        <v>-29793.479159999999</v>
      </c>
      <c r="O64" s="88">
        <f t="shared" si="30"/>
        <v>7876.9585200000038</v>
      </c>
      <c r="P64" s="88">
        <f t="shared" si="30"/>
        <v>15610.420520000003</v>
      </c>
      <c r="Q64" s="88">
        <f t="shared" si="30"/>
        <v>23343.882520000003</v>
      </c>
      <c r="R64" s="88">
        <f t="shared" si="30"/>
        <v>31077.344520000002</v>
      </c>
      <c r="S64" s="88">
        <f t="shared" si="30"/>
        <v>38810.806520000006</v>
      </c>
      <c r="T64" s="88">
        <f t="shared" si="30"/>
        <v>46544.268520000005</v>
      </c>
      <c r="U64" s="88">
        <f t="shared" si="30"/>
        <v>54277.730520000005</v>
      </c>
      <c r="V64" s="88">
        <f t="shared" si="30"/>
        <v>62011.192520000004</v>
      </c>
      <c r="W64" s="88">
        <f t="shared" si="30"/>
        <v>69744.654520000011</v>
      </c>
      <c r="X64" s="88">
        <f t="shared" si="30"/>
        <v>77478.11652000001</v>
      </c>
      <c r="Y64" s="88">
        <f t="shared" si="30"/>
        <v>85211.57852000001</v>
      </c>
      <c r="Z64" s="88">
        <f t="shared" si="30"/>
        <v>92945.04052000001</v>
      </c>
      <c r="AA64" s="88">
        <f t="shared" si="30"/>
        <v>100678.50252000001</v>
      </c>
      <c r="AB64" s="88">
        <f t="shared" si="30"/>
        <v>108411.96452000001</v>
      </c>
      <c r="AC64" s="88">
        <f t="shared" si="30"/>
        <v>116145.42652000001</v>
      </c>
      <c r="AD64" s="10"/>
      <c r="AE64" s="10"/>
    </row>
    <row r="65" spans="1:31" x14ac:dyDescent="0.2">
      <c r="A65" s="10"/>
      <c r="B65" s="86" t="str">
        <f>B40</f>
        <v>Renda</v>
      </c>
      <c r="C65" s="86"/>
      <c r="D65" s="86"/>
      <c r="E65" s="86"/>
      <c r="F65" s="86"/>
      <c r="G65" s="86"/>
      <c r="H65" s="86"/>
      <c r="I65" s="86"/>
      <c r="J65" s="88">
        <f>J40</f>
        <v>0</v>
      </c>
      <c r="K65" s="88">
        <f t="shared" ref="K65:AC65" si="31">J65+K40</f>
        <v>-21767.200000000001</v>
      </c>
      <c r="L65" s="88">
        <f t="shared" si="31"/>
        <v>-19540.894132000001</v>
      </c>
      <c r="M65" s="88">
        <f t="shared" si="31"/>
        <v>-29518.182732000001</v>
      </c>
      <c r="N65" s="88">
        <f t="shared" si="31"/>
        <v>-17456.970581999998</v>
      </c>
      <c r="O65" s="88">
        <f t="shared" si="31"/>
        <v>20805.019668000004</v>
      </c>
      <c r="P65" s="88">
        <f t="shared" si="31"/>
        <v>20805.019668000004</v>
      </c>
      <c r="Q65" s="88">
        <f t="shared" si="31"/>
        <v>20805.019668000004</v>
      </c>
      <c r="R65" s="88">
        <f t="shared" si="31"/>
        <v>20805.019668000004</v>
      </c>
      <c r="S65" s="88">
        <f t="shared" si="31"/>
        <v>20805.019668000004</v>
      </c>
      <c r="T65" s="88">
        <f t="shared" si="31"/>
        <v>20805.019668000004</v>
      </c>
      <c r="U65" s="88">
        <f t="shared" si="31"/>
        <v>20805.019668000004</v>
      </c>
      <c r="V65" s="88">
        <f t="shared" si="31"/>
        <v>20805.019668000004</v>
      </c>
      <c r="W65" s="88">
        <f t="shared" si="31"/>
        <v>20805.019668000004</v>
      </c>
      <c r="X65" s="88">
        <f t="shared" si="31"/>
        <v>20805.019668000004</v>
      </c>
      <c r="Y65" s="88">
        <f t="shared" si="31"/>
        <v>20805.019668000004</v>
      </c>
      <c r="Z65" s="88">
        <f t="shared" si="31"/>
        <v>20805.019668000004</v>
      </c>
      <c r="AA65" s="88">
        <f t="shared" si="31"/>
        <v>20805.019668000004</v>
      </c>
      <c r="AB65" s="88">
        <f t="shared" si="31"/>
        <v>20805.019668000004</v>
      </c>
      <c r="AC65" s="88">
        <f t="shared" si="31"/>
        <v>20805.019668000004</v>
      </c>
      <c r="AD65" s="10"/>
      <c r="AE65" s="10"/>
    </row>
    <row r="66" spans="1:31" x14ac:dyDescent="0.2">
      <c r="A66" s="10"/>
      <c r="B66" s="86" t="str">
        <f>B41</f>
        <v>Imobiliário</v>
      </c>
      <c r="C66" s="86"/>
      <c r="D66" s="86"/>
      <c r="E66" s="86"/>
      <c r="F66" s="86"/>
      <c r="G66" s="86"/>
      <c r="H66" s="86"/>
      <c r="I66" s="86"/>
      <c r="J66" s="88">
        <f>J41</f>
        <v>-1200</v>
      </c>
      <c r="K66" s="88">
        <f t="shared" ref="K66:AC66" si="32">J66+K41</f>
        <v>-21968.617275090015</v>
      </c>
      <c r="L66" s="88">
        <f t="shared" si="32"/>
        <v>-20552.145548115524</v>
      </c>
      <c r="M66" s="88">
        <f t="shared" si="32"/>
        <v>-47775.597094092518</v>
      </c>
      <c r="N66" s="88">
        <f t="shared" si="32"/>
        <v>-49579.018785790373</v>
      </c>
      <c r="O66" s="88">
        <f t="shared" si="32"/>
        <v>-12189.114091504802</v>
      </c>
      <c r="P66" s="88">
        <f t="shared" si="32"/>
        <v>36374.664331487977</v>
      </c>
      <c r="Q66" s="88">
        <f t="shared" si="32"/>
        <v>221428.86708239448</v>
      </c>
      <c r="R66" s="88">
        <f t="shared" si="32"/>
        <v>295336.03210071189</v>
      </c>
      <c r="S66" s="88">
        <f t="shared" si="32"/>
        <v>560698.40946297033</v>
      </c>
      <c r="T66" s="88">
        <f t="shared" si="32"/>
        <v>628078.55814268906</v>
      </c>
      <c r="U66" s="88">
        <f t="shared" si="32"/>
        <v>628078.55814268906</v>
      </c>
      <c r="V66" s="88">
        <f t="shared" si="32"/>
        <v>628078.55814268906</v>
      </c>
      <c r="W66" s="88">
        <f t="shared" si="32"/>
        <v>628078.55814268906</v>
      </c>
      <c r="X66" s="88">
        <f t="shared" si="32"/>
        <v>628078.55814268906</v>
      </c>
      <c r="Y66" s="88">
        <f t="shared" si="32"/>
        <v>628078.55814268906</v>
      </c>
      <c r="Z66" s="88">
        <f t="shared" si="32"/>
        <v>628078.55814268906</v>
      </c>
      <c r="AA66" s="88">
        <f t="shared" si="32"/>
        <v>628078.55814268906</v>
      </c>
      <c r="AB66" s="88">
        <f t="shared" si="32"/>
        <v>628078.55814268906</v>
      </c>
      <c r="AC66" s="88">
        <f t="shared" si="32"/>
        <v>628078.55814268906</v>
      </c>
      <c r="AD66" s="10"/>
      <c r="AE66" s="10"/>
    </row>
    <row r="67" spans="1:31" ht="42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pans="1:31" x14ac:dyDescent="0.2">
      <c r="A68" s="10"/>
      <c r="B68" s="24" t="s">
        <v>142</v>
      </c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31" ht="42" customHeight="1" x14ac:dyDescent="0.2">
      <c r="A69" s="10"/>
      <c r="B69" s="281" t="s">
        <v>989</v>
      </c>
      <c r="C69" s="281" t="s">
        <v>1007</v>
      </c>
      <c r="D69" s="281" t="s">
        <v>960</v>
      </c>
      <c r="E69" s="281" t="s">
        <v>961</v>
      </c>
      <c r="F69" s="281" t="s">
        <v>964</v>
      </c>
      <c r="G69" s="281" t="s">
        <v>990</v>
      </c>
      <c r="H69" s="281" t="s">
        <v>991</v>
      </c>
      <c r="I69" s="281" t="s">
        <v>992</v>
      </c>
      <c r="J69" s="281" t="s">
        <v>993</v>
      </c>
      <c r="K69" s="281" t="s">
        <v>994</v>
      </c>
      <c r="L69" s="281" t="s">
        <v>178</v>
      </c>
      <c r="M69" s="281" t="s">
        <v>177</v>
      </c>
      <c r="N69" s="281" t="s">
        <v>153</v>
      </c>
      <c r="O69" s="281" t="s">
        <v>155</v>
      </c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31" x14ac:dyDescent="0.2">
      <c r="A70" s="10"/>
      <c r="B70" s="257" t="str">
        <f t="shared" ref="B70:C74" si="33">B13</f>
        <v>Club Med Gramado</v>
      </c>
      <c r="C70" s="286">
        <f t="shared" si="33"/>
        <v>8.3607277463832563E-2</v>
      </c>
      <c r="D70" s="258" t="str">
        <f t="shared" ref="D70:E74" si="34">F13</f>
        <v>Hotelaria</v>
      </c>
      <c r="E70" s="258">
        <f t="shared" si="34"/>
        <v>1</v>
      </c>
      <c r="F70" s="259">
        <f>I13</f>
        <v>2026</v>
      </c>
      <c r="G70" s="260">
        <f>-SUMIF($J13:$AC13,"&lt;0")</f>
        <v>222379.01542814809</v>
      </c>
      <c r="H70" s="260">
        <f t="shared" ref="H70:H91" si="35">-MIN(0,MIN($J45:$AC45))</f>
        <v>222379.01542814809</v>
      </c>
      <c r="I70" s="259">
        <f t="shared" ref="I70:I91" si="36">IF(H70=0,"-",INDEX($J$10:$AC$10,MATCH(MIN($J45:$AC45),$J45:$AC45,0)))</f>
        <v>2027</v>
      </c>
      <c r="J70" s="260">
        <f>SUM($J13:$AC13)</f>
        <v>139755.83152326909</v>
      </c>
      <c r="K70" s="261">
        <f>IFERROR(SUMIF($J13:$AC13,"&gt;0")/G70,"-")</f>
        <v>1.628457821230102</v>
      </c>
      <c r="L70" s="262">
        <f>IFERROR(IRR($J13:$AC13),"n/a")</f>
        <v>4.1496532947416398E-2</v>
      </c>
      <c r="M70" s="262">
        <f>IFERROR(IRR($J13:$AD13),"n/a")</f>
        <v>8.3607277463832563E-2</v>
      </c>
      <c r="N70" s="260">
        <f>NPV($H$6,$J13:$AD13)*(1+$H$6)</f>
        <v>-16065.165178251962</v>
      </c>
      <c r="O70" s="260">
        <f>$AD13/(1+$H$6)^20</f>
        <v>66274.853038162124</v>
      </c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</row>
    <row r="71" spans="1:31" x14ac:dyDescent="0.2">
      <c r="A71" s="10"/>
      <c r="B71" s="257" t="str">
        <f t="shared" si="33"/>
        <v>Villas Club Med (26 casas)</v>
      </c>
      <c r="C71" s="286">
        <f t="shared" si="33"/>
        <v>0.9146015045713165</v>
      </c>
      <c r="D71" s="258" t="str">
        <f t="shared" si="34"/>
        <v>Imobiliário</v>
      </c>
      <c r="E71" s="258">
        <f t="shared" si="34"/>
        <v>1</v>
      </c>
      <c r="F71" s="259">
        <f>I14</f>
        <v>2026</v>
      </c>
      <c r="G71" s="260">
        <f>-SUMIF($J14:$AC14,"&lt;0")</f>
        <v>17488.540608423347</v>
      </c>
      <c r="H71" s="260">
        <f t="shared" si="35"/>
        <v>17488.540608423347</v>
      </c>
      <c r="I71" s="259">
        <f t="shared" si="36"/>
        <v>2027</v>
      </c>
      <c r="J71" s="260">
        <f>SUM($J14:$AC14)</f>
        <v>37787.2644</v>
      </c>
      <c r="K71" s="261">
        <f>IFERROR(SUMIF($J14:$AC14,"&gt;0")/G71,"-")</f>
        <v>3.1606871177003635</v>
      </c>
      <c r="L71" s="262">
        <f>IFERROR(IRR($J14:$AC14),"n/a")</f>
        <v>0.9146015045713165</v>
      </c>
      <c r="M71" s="262">
        <f>IFERROR(IRR($J14:$AD14),"n/a")</f>
        <v>0.9146015045713165</v>
      </c>
      <c r="N71" s="260">
        <f>NPV($H$6,$J14:$AD14)*(1+$H$6)</f>
        <v>27516.250588916282</v>
      </c>
      <c r="O71" s="260">
        <f>$AD14/(1+$H$6)^20</f>
        <v>0</v>
      </c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31" x14ac:dyDescent="0.2">
      <c r="A72" s="10"/>
      <c r="B72" s="257" t="str">
        <f t="shared" si="33"/>
        <v>Mini Mall</v>
      </c>
      <c r="C72" s="286">
        <f t="shared" si="33"/>
        <v>0.18020843150487265</v>
      </c>
      <c r="D72" s="258" t="str">
        <f t="shared" si="34"/>
        <v>Renda</v>
      </c>
      <c r="E72" s="258">
        <f t="shared" si="34"/>
        <v>1</v>
      </c>
      <c r="F72" s="259">
        <f>I15</f>
        <v>2027</v>
      </c>
      <c r="G72" s="260">
        <f>-SUMIF($J15:$AC15,"&lt;0")</f>
        <v>21767.200000000001</v>
      </c>
      <c r="H72" s="260">
        <f t="shared" si="35"/>
        <v>21767.200000000001</v>
      </c>
      <c r="I72" s="259">
        <f t="shared" si="36"/>
        <v>2027</v>
      </c>
      <c r="J72" s="260">
        <f>SUM($J15:$AC15)</f>
        <v>12761.039167999999</v>
      </c>
      <c r="K72" s="261">
        <f>IFERROR(SUMIF($J15:$AC15,"&gt;0")/G72,"-")</f>
        <v>1.5862508346502995</v>
      </c>
      <c r="L72" s="262">
        <f>IFERROR(IRR($J15:$AC15),"n/a")</f>
        <v>0.18020843150487265</v>
      </c>
      <c r="M72" s="262">
        <f>IFERROR(IRR($J15:$AD15),"n/a")</f>
        <v>0.18020843150487265</v>
      </c>
      <c r="N72" s="260">
        <f>NPV($H$6,$J15:$AD15)*(1+$H$6)</f>
        <v>4921.9573142291047</v>
      </c>
      <c r="O72" s="260">
        <f>$AD15/(1+$H$6)^20</f>
        <v>0</v>
      </c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31" x14ac:dyDescent="0.2">
      <c r="A73" s="10"/>
      <c r="B73" s="257" t="str">
        <f t="shared" si="33"/>
        <v>WDC Casamentos</v>
      </c>
      <c r="C73" s="286">
        <f t="shared" si="33"/>
        <v>0.32136766226820779</v>
      </c>
      <c r="D73" s="258" t="str">
        <f t="shared" si="34"/>
        <v>Eventos</v>
      </c>
      <c r="E73" s="258">
        <f t="shared" si="34"/>
        <v>1</v>
      </c>
      <c r="F73" s="259">
        <f>I16</f>
        <v>2027</v>
      </c>
      <c r="G73" s="260">
        <f>-SUMIF($J16:$AC16,"&lt;0")</f>
        <v>16640</v>
      </c>
      <c r="H73" s="260">
        <f t="shared" si="35"/>
        <v>16640</v>
      </c>
      <c r="I73" s="259">
        <f t="shared" si="36"/>
        <v>2027</v>
      </c>
      <c r="J73" s="260">
        <f>SUM($J16:$AC16)</f>
        <v>109545.42651999999</v>
      </c>
      <c r="K73" s="261">
        <f>IFERROR(SUMIF($J16:$AC16,"&gt;0")/G73,"-")</f>
        <v>7.5832588052884615</v>
      </c>
      <c r="L73" s="262">
        <f>IFERROR(IRR($J16:$AC16),"n/a")</f>
        <v>0.31522159911224312</v>
      </c>
      <c r="M73" s="262">
        <f>IFERROR(IRR($J16:$AD16),"n/a")</f>
        <v>0.32136766226820779</v>
      </c>
      <c r="N73" s="260">
        <f>NPV($H$6,$J16:$AD16)*(1+$H$6)</f>
        <v>50601.143042309988</v>
      </c>
      <c r="O73" s="260">
        <f>$AD16/(1+$H$6)^20</f>
        <v>13798.885057573503</v>
      </c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31" x14ac:dyDescent="0.2">
      <c r="A74" s="10"/>
      <c r="B74" s="257" t="str">
        <f t="shared" si="33"/>
        <v>Ski Gramado — complexo all season</v>
      </c>
      <c r="C74" s="286">
        <f t="shared" si="33"/>
        <v>0.18005338922109515</v>
      </c>
      <c r="D74" s="258" t="str">
        <f t="shared" si="34"/>
        <v>Entretenimento</v>
      </c>
      <c r="E74" s="258">
        <f t="shared" si="34"/>
        <v>1</v>
      </c>
      <c r="F74" s="259">
        <f>I17</f>
        <v>2028</v>
      </c>
      <c r="G74" s="260">
        <f>-SUMIF($J17:$AC17,"&lt;0")</f>
        <v>133277.70805000002</v>
      </c>
      <c r="H74" s="260">
        <f t="shared" si="35"/>
        <v>133277.70805000002</v>
      </c>
      <c r="I74" s="259">
        <f t="shared" si="36"/>
        <v>2029</v>
      </c>
      <c r="J74" s="260">
        <f>SUM($J17:$AC17)</f>
        <v>306235.94721228757</v>
      </c>
      <c r="K74" s="261">
        <f>IFERROR(SUMIF($J17:$AC17,"&gt;0")/G74,"-")</f>
        <v>3.2977281924551196</v>
      </c>
      <c r="L74" s="262">
        <f>IFERROR(IRR($J17:$AC17),"n/a")</f>
        <v>0.15008702498414994</v>
      </c>
      <c r="M74" s="262">
        <f>IFERROR(IRR($J17:$AD17),"n/a")</f>
        <v>0.18005338922109515</v>
      </c>
      <c r="N74" s="260">
        <f>NPV($H$6,$J17:$AD17)*(1+$H$6)</f>
        <v>123284.18741368479</v>
      </c>
      <c r="O74" s="260">
        <f>$AD17/(1+$H$6)^20</f>
        <v>69137.223231679047</v>
      </c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31" x14ac:dyDescent="0.2">
      <c r="A75" s="10"/>
      <c r="B75" s="257" t="str">
        <f t="shared" ref="B75:C80" si="37">B19</f>
        <v>Fase 01 — Loteamentos</v>
      </c>
      <c r="C75" s="286">
        <f t="shared" si="37"/>
        <v>0.50684124956036158</v>
      </c>
      <c r="D75" s="258" t="str">
        <f t="shared" ref="D75:E80" si="38">F19</f>
        <v>Imobiliário</v>
      </c>
      <c r="E75" s="258">
        <f t="shared" si="38"/>
        <v>1</v>
      </c>
      <c r="F75" s="259">
        <f t="shared" ref="F75:F80" si="39">I19</f>
        <v>2027</v>
      </c>
      <c r="G75" s="260">
        <f t="shared" ref="G75:G80" si="40">-SUMIF($J19:$AC19,"&lt;0")</f>
        <v>34671.133122637177</v>
      </c>
      <c r="H75" s="260">
        <f t="shared" si="35"/>
        <v>34671.133122637177</v>
      </c>
      <c r="I75" s="259">
        <f t="shared" si="36"/>
        <v>2029</v>
      </c>
      <c r="J75" s="260">
        <f t="shared" ref="J75:J80" si="41">SUM($J19:$AC19)</f>
        <v>57160.918385964265</v>
      </c>
      <c r="K75" s="261">
        <f t="shared" ref="K75:K80" si="42">IFERROR(SUMIF($J19:$AC19,"&gt;0")/G75,"-")</f>
        <v>2.6486602322392301</v>
      </c>
      <c r="L75" s="262">
        <f t="shared" ref="L75:L80" si="43">IFERROR(IRR($J19:$AC19),"n/a")</f>
        <v>0.50684124956036158</v>
      </c>
      <c r="M75" s="262">
        <f t="shared" ref="M75:M80" si="44">IFERROR(IRR($J19:$AD19),"n/a")</f>
        <v>0.50684124956036158</v>
      </c>
      <c r="N75" s="260">
        <f t="shared" ref="N75:N80" si="45">NPV($H$6,$J19:$AD19)*(1+$H$6)</f>
        <v>32166.475018460886</v>
      </c>
      <c r="O75" s="260">
        <f t="shared" ref="O75:O80" si="46">$AD19/(1+$H$6)^20</f>
        <v>0</v>
      </c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31" x14ac:dyDescent="0.2">
      <c r="A76" s="10"/>
      <c r="B76" s="257" t="str">
        <f t="shared" si="37"/>
        <v>Fase 01 — Surf Village</v>
      </c>
      <c r="C76" s="286">
        <f t="shared" si="37"/>
        <v>0.42088158367723039</v>
      </c>
      <c r="D76" s="258" t="str">
        <f t="shared" si="38"/>
        <v>Imobiliário</v>
      </c>
      <c r="E76" s="258">
        <f t="shared" si="38"/>
        <v>1</v>
      </c>
      <c r="F76" s="259">
        <f t="shared" si="39"/>
        <v>2027</v>
      </c>
      <c r="G76" s="260">
        <f t="shared" si="40"/>
        <v>43858.155704788674</v>
      </c>
      <c r="H76" s="260">
        <f t="shared" si="35"/>
        <v>43858.155704788674</v>
      </c>
      <c r="I76" s="259">
        <f t="shared" si="36"/>
        <v>2029</v>
      </c>
      <c r="J76" s="260">
        <f t="shared" si="41"/>
        <v>60628.697613733108</v>
      </c>
      <c r="K76" s="261">
        <f t="shared" si="42"/>
        <v>2.3823813755833179</v>
      </c>
      <c r="L76" s="262">
        <f t="shared" si="43"/>
        <v>0.42088158367723039</v>
      </c>
      <c r="M76" s="262">
        <f t="shared" si="44"/>
        <v>0.42088158367723039</v>
      </c>
      <c r="N76" s="260">
        <f t="shared" si="45"/>
        <v>31939.267983512644</v>
      </c>
      <c r="O76" s="260">
        <f t="shared" si="46"/>
        <v>0</v>
      </c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31" x14ac:dyDescent="0.2">
      <c r="A77" s="10"/>
      <c r="B77" s="257" t="str">
        <f t="shared" si="37"/>
        <v>Fase 02 — Loteamentos</v>
      </c>
      <c r="C77" s="286">
        <f t="shared" si="37"/>
        <v>0.72349055965235043</v>
      </c>
      <c r="D77" s="258" t="str">
        <f t="shared" si="38"/>
        <v>Imobiliário</v>
      </c>
      <c r="E77" s="258">
        <f t="shared" si="38"/>
        <v>2</v>
      </c>
      <c r="F77" s="259">
        <f t="shared" si="39"/>
        <v>2029</v>
      </c>
      <c r="G77" s="260">
        <f t="shared" si="40"/>
        <v>69529.343972464383</v>
      </c>
      <c r="H77" s="260">
        <f t="shared" si="35"/>
        <v>69529.343972464383</v>
      </c>
      <c r="I77" s="259">
        <f t="shared" si="36"/>
        <v>2031</v>
      </c>
      <c r="J77" s="260">
        <f t="shared" si="41"/>
        <v>184140.53618729691</v>
      </c>
      <c r="K77" s="261">
        <f t="shared" si="42"/>
        <v>3.6483859283962445</v>
      </c>
      <c r="L77" s="262">
        <f t="shared" si="43"/>
        <v>0.72349055965235043</v>
      </c>
      <c r="M77" s="262">
        <f t="shared" si="44"/>
        <v>0.72349055965235043</v>
      </c>
      <c r="N77" s="260">
        <f t="shared" si="45"/>
        <v>92656.01897983611</v>
      </c>
      <c r="O77" s="260">
        <f t="shared" si="46"/>
        <v>0</v>
      </c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31" x14ac:dyDescent="0.2">
      <c r="A78" s="10"/>
      <c r="B78" s="257" t="str">
        <f t="shared" si="37"/>
        <v>Fase 02 — Surf Village</v>
      </c>
      <c r="C78" s="286">
        <f t="shared" si="37"/>
        <v>0.48222734468941186</v>
      </c>
      <c r="D78" s="258" t="str">
        <f t="shared" si="38"/>
        <v>Imobiliário</v>
      </c>
      <c r="E78" s="258">
        <f t="shared" si="38"/>
        <v>2</v>
      </c>
      <c r="F78" s="259">
        <f t="shared" si="39"/>
        <v>2029</v>
      </c>
      <c r="G78" s="260">
        <f t="shared" si="40"/>
        <v>47164.827345532562</v>
      </c>
      <c r="H78" s="260">
        <f t="shared" si="35"/>
        <v>47164.827345532562</v>
      </c>
      <c r="I78" s="259">
        <f t="shared" si="36"/>
        <v>2031</v>
      </c>
      <c r="J78" s="260">
        <f t="shared" si="41"/>
        <v>78488.3593751062</v>
      </c>
      <c r="K78" s="261">
        <f t="shared" si="42"/>
        <v>2.6641290510849416</v>
      </c>
      <c r="L78" s="262">
        <f t="shared" si="43"/>
        <v>0.48222734468941186</v>
      </c>
      <c r="M78" s="262">
        <f t="shared" si="44"/>
        <v>0.48222734468941186</v>
      </c>
      <c r="N78" s="260">
        <f t="shared" si="45"/>
        <v>35915.325050106483</v>
      </c>
      <c r="O78" s="260">
        <f t="shared" si="46"/>
        <v>0</v>
      </c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</row>
    <row r="79" spans="1:31" x14ac:dyDescent="0.2">
      <c r="A79" s="10"/>
      <c r="B79" s="257" t="str">
        <f t="shared" si="37"/>
        <v>Fase 03 — Loteamentos</v>
      </c>
      <c r="C79" s="286">
        <f t="shared" si="37"/>
        <v>0.39985938163424128</v>
      </c>
      <c r="D79" s="258" t="str">
        <f t="shared" si="38"/>
        <v>Imobiliário</v>
      </c>
      <c r="E79" s="258">
        <f t="shared" si="38"/>
        <v>3</v>
      </c>
      <c r="F79" s="259">
        <f t="shared" si="39"/>
        <v>2031</v>
      </c>
      <c r="G79" s="260">
        <f t="shared" si="40"/>
        <v>96763.66587653209</v>
      </c>
      <c r="H79" s="260">
        <f t="shared" si="35"/>
        <v>96763.66587653209</v>
      </c>
      <c r="I79" s="259">
        <f t="shared" si="36"/>
        <v>2034</v>
      </c>
      <c r="J79" s="260">
        <f t="shared" si="41"/>
        <v>111201.29358090926</v>
      </c>
      <c r="K79" s="261">
        <f t="shared" si="42"/>
        <v>2.1492050510239991</v>
      </c>
      <c r="L79" s="262">
        <f t="shared" si="43"/>
        <v>0.39985938163424128</v>
      </c>
      <c r="M79" s="262">
        <f t="shared" si="44"/>
        <v>0.39985938163424128</v>
      </c>
      <c r="N79" s="260">
        <f t="shared" si="45"/>
        <v>41770.585919178855</v>
      </c>
      <c r="O79" s="260">
        <f t="shared" si="46"/>
        <v>0</v>
      </c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31" x14ac:dyDescent="0.2">
      <c r="A80" s="10"/>
      <c r="B80" s="257" t="str">
        <f t="shared" si="37"/>
        <v>Fase 03 — Surf Village</v>
      </c>
      <c r="C80" s="286">
        <f t="shared" si="37"/>
        <v>0.54377921071724833</v>
      </c>
      <c r="D80" s="258" t="str">
        <f t="shared" si="38"/>
        <v>Imobiliário</v>
      </c>
      <c r="E80" s="258">
        <f t="shared" si="38"/>
        <v>3</v>
      </c>
      <c r="F80" s="259">
        <f t="shared" si="39"/>
        <v>2031</v>
      </c>
      <c r="G80" s="260">
        <f t="shared" si="40"/>
        <v>50086.628345066303</v>
      </c>
      <c r="H80" s="260">
        <f t="shared" si="35"/>
        <v>50086.628345066303</v>
      </c>
      <c r="I80" s="259">
        <f t="shared" si="36"/>
        <v>2033</v>
      </c>
      <c r="J80" s="260">
        <f t="shared" si="41"/>
        <v>98671.488599679389</v>
      </c>
      <c r="K80" s="261">
        <f t="shared" si="42"/>
        <v>2.9700165864608228</v>
      </c>
      <c r="L80" s="262">
        <f t="shared" si="43"/>
        <v>0.54377921071724833</v>
      </c>
      <c r="M80" s="262">
        <f t="shared" si="44"/>
        <v>0.54377921071724833</v>
      </c>
      <c r="N80" s="260">
        <f t="shared" si="45"/>
        <v>38898.106199791626</v>
      </c>
      <c r="O80" s="260">
        <f t="shared" si="46"/>
        <v>0</v>
      </c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30" x14ac:dyDescent="0.2">
      <c r="A81" s="10"/>
      <c r="B81" s="257" t="str">
        <f>B26</f>
        <v>Senior Living</v>
      </c>
      <c r="C81" s="286">
        <f>C26</f>
        <v>0.18080179139693242</v>
      </c>
      <c r="D81" s="258" t="str">
        <f>F26</f>
        <v>Renda</v>
      </c>
      <c r="E81" s="258">
        <f>G26</f>
        <v>2</v>
      </c>
      <c r="F81" s="259">
        <f>I26</f>
        <v>2029</v>
      </c>
      <c r="G81" s="260">
        <f>-SUMIF($J26:$AC26,"&lt;0")</f>
        <v>30218.009749999997</v>
      </c>
      <c r="H81" s="260">
        <f t="shared" si="35"/>
        <v>30218.009749999997</v>
      </c>
      <c r="I81" s="259">
        <f t="shared" si="36"/>
        <v>2030</v>
      </c>
      <c r="J81" s="260">
        <f>SUM($J26:$AC26)</f>
        <v>8043.9805000000051</v>
      </c>
      <c r="K81" s="261">
        <f>IFERROR(SUMIF($J26:$AC26,"&gt;0")/G81,"-")</f>
        <v>1.2661982230646414</v>
      </c>
      <c r="L81" s="262">
        <f>IFERROR(IRR($J26:$AC26),"n/a")</f>
        <v>0.18080179139693242</v>
      </c>
      <c r="M81" s="262">
        <f>IFERROR(IRR($J26:$AD26),"n/a")</f>
        <v>0.18080179139693242</v>
      </c>
      <c r="N81" s="260">
        <f>NPV($H$6,$J26:$AD26)*(1+$H$6)</f>
        <v>2689.8092329382598</v>
      </c>
      <c r="O81" s="260">
        <f>$AD26/(1+$H$6)^20</f>
        <v>0</v>
      </c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30" x14ac:dyDescent="0.2">
      <c r="A82" s="10"/>
      <c r="B82" s="257" t="str">
        <f>B27</f>
        <v>Centro de Convenções</v>
      </c>
      <c r="C82" s="286">
        <f>C27</f>
        <v>0.18084388125950679</v>
      </c>
      <c r="D82" s="258" t="str">
        <f>F27</f>
        <v>Eventos</v>
      </c>
      <c r="E82" s="258">
        <f>G27</f>
        <v>2</v>
      </c>
      <c r="F82" s="259">
        <f>I27</f>
        <v>2029</v>
      </c>
      <c r="G82" s="260">
        <f>-SUMIF($J27:$AC27,"&lt;0")</f>
        <v>24787.5</v>
      </c>
      <c r="H82" s="260">
        <f t="shared" si="35"/>
        <v>24787.5</v>
      </c>
      <c r="I82" s="259">
        <f t="shared" si="36"/>
        <v>2030</v>
      </c>
      <c r="J82" s="260">
        <f>SUM($J27:$AC27)</f>
        <v>6600</v>
      </c>
      <c r="K82" s="261">
        <f>IFERROR(SUMIF($J27:$AC27,"&gt;0")/G82,"-")</f>
        <v>1.2662632375189107</v>
      </c>
      <c r="L82" s="262">
        <f>IFERROR(IRR($J27:$AC27),"n/a")</f>
        <v>0.18084388125950679</v>
      </c>
      <c r="M82" s="262">
        <f>IFERROR(IRR($J27:$AD27),"n/a")</f>
        <v>0.18084388125950679</v>
      </c>
      <c r="N82" s="260">
        <f>NPV($H$6,$J27:$AD27)*(1+$H$6)</f>
        <v>2207.4682310667267</v>
      </c>
      <c r="O82" s="260">
        <f>$AD27/(1+$H$6)^20</f>
        <v>0</v>
      </c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30" x14ac:dyDescent="0.2">
      <c r="A83" s="10"/>
      <c r="B83" s="263" t="str">
        <f t="shared" ref="B83:C86" si="47">B30</f>
        <v>Etapa 1 — 2027–28 (abertura do Club Med)</v>
      </c>
      <c r="C83" s="268">
        <f t="shared" si="47"/>
        <v>0.12084351448707786</v>
      </c>
      <c r="D83" s="264" t="s">
        <v>936</v>
      </c>
      <c r="E83" s="264">
        <f>G30</f>
        <v>1</v>
      </c>
      <c r="F83" s="265">
        <f>I30</f>
        <v>2026</v>
      </c>
      <c r="G83" s="266">
        <f>-SUMIF($J30:$AC30,"&lt;0")</f>
        <v>503334.98097346176</v>
      </c>
      <c r="H83" s="266">
        <f t="shared" si="35"/>
        <v>503334.98097346176</v>
      </c>
      <c r="I83" s="265">
        <f t="shared" si="36"/>
        <v>2029</v>
      </c>
      <c r="J83" s="266">
        <f>SUM($J30:$AC30)</f>
        <v>623875.12482325407</v>
      </c>
      <c r="K83" s="267">
        <f>IFERROR(SUMIF($J30:$AC30,"&gt;0")/G83,"-")</f>
        <v>2.2394829455657241</v>
      </c>
      <c r="L83" s="268">
        <f>IFERROR(IRR($J30:$AC30),"n/a")</f>
        <v>9.1472956389102134E-2</v>
      </c>
      <c r="M83" s="268">
        <f>IFERROR(IRR($J30:$AD30),"n/a")</f>
        <v>0.12084351448707786</v>
      </c>
      <c r="N83" s="266">
        <f>NPV($H$6,$J30:$AD30)*(1+$H$6)</f>
        <v>154364.1161828617</v>
      </c>
      <c r="O83" s="266">
        <f>$AD30/(1+$H$6)^20</f>
        <v>149210.9613274147</v>
      </c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  <row r="84" spans="1:30" x14ac:dyDescent="0.2">
      <c r="A84" s="10"/>
      <c r="B84" s="263" t="str">
        <f t="shared" si="47"/>
        <v>Etapa 2 — 2029–30</v>
      </c>
      <c r="C84" s="268">
        <f t="shared" si="47"/>
        <v>0.50597986962716046</v>
      </c>
      <c r="D84" s="264" t="s">
        <v>936</v>
      </c>
      <c r="E84" s="264">
        <f>G31</f>
        <v>2</v>
      </c>
      <c r="F84" s="265">
        <f>I31</f>
        <v>2029</v>
      </c>
      <c r="G84" s="266">
        <f>-SUMIF($J31:$AC31,"&lt;0")</f>
        <v>102050.19081799695</v>
      </c>
      <c r="H84" s="266">
        <f t="shared" si="35"/>
        <v>102050.19081799695</v>
      </c>
      <c r="I84" s="265">
        <f t="shared" si="36"/>
        <v>2031</v>
      </c>
      <c r="J84" s="266">
        <f>SUM($J31:$AC31)</f>
        <v>277272.87606240308</v>
      </c>
      <c r="K84" s="267">
        <f>IFERROR(SUMIF($J31:$AC31,"&gt;0")/G84,"-")</f>
        <v>3.7170245723196129</v>
      </c>
      <c r="L84" s="268">
        <f>IFERROR(IRR($J31:$AC31),"n/a")</f>
        <v>0.50597986962716046</v>
      </c>
      <c r="M84" s="268">
        <f>IFERROR(IRR($J31:$AD31),"n/a")</f>
        <v>0.50597986962716046</v>
      </c>
      <c r="N84" s="266">
        <f>NPV($H$6,$J31:$AD31)*(1+$H$6)</f>
        <v>133468.62149394755</v>
      </c>
      <c r="O84" s="266">
        <f>$AD31/(1+$H$6)^20</f>
        <v>0</v>
      </c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30" x14ac:dyDescent="0.2">
      <c r="A85" s="10"/>
      <c r="B85" s="263" t="str">
        <f t="shared" si="47"/>
        <v>Etapa 3 — 2031–33</v>
      </c>
      <c r="C85" s="268">
        <f t="shared" si="47"/>
        <v>0.45365916481525903</v>
      </c>
      <c r="D85" s="264" t="s">
        <v>936</v>
      </c>
      <c r="E85" s="264">
        <f>G32</f>
        <v>3</v>
      </c>
      <c r="F85" s="265">
        <f>I32</f>
        <v>2031</v>
      </c>
      <c r="G85" s="266">
        <f>-SUMIF($J32:$AC32,"&lt;0")</f>
        <v>141808.14347251371</v>
      </c>
      <c r="H85" s="266">
        <f t="shared" si="35"/>
        <v>141808.14347251371</v>
      </c>
      <c r="I85" s="265">
        <f t="shared" si="36"/>
        <v>2033</v>
      </c>
      <c r="J85" s="266">
        <f>SUM($J32:$AC32)</f>
        <v>209872.78218058866</v>
      </c>
      <c r="K85" s="267">
        <f>IFERROR(SUMIF($J32:$AC32,"&gt;0")/G85,"-")</f>
        <v>2.4799769395561384</v>
      </c>
      <c r="L85" s="268">
        <f>IFERROR(IRR($J32:$AC32),"n/a")</f>
        <v>0.45365916481525903</v>
      </c>
      <c r="M85" s="268">
        <f>IFERROR(IRR($J32:$AD32),"n/a")</f>
        <v>0.45365916481525903</v>
      </c>
      <c r="N85" s="266">
        <f>NPV($H$6,$J32:$AD32)*(1+$H$6)</f>
        <v>80668.692118970474</v>
      </c>
      <c r="O85" s="266">
        <f>$AD32/(1+$H$6)^20</f>
        <v>0</v>
      </c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30" x14ac:dyDescent="0.2">
      <c r="A86" s="10"/>
      <c r="B86" s="269" t="str">
        <f t="shared" si="47"/>
        <v>TOTAL GRUPO SIRENA — MASTERPLAN</v>
      </c>
      <c r="C86" s="274">
        <f t="shared" si="47"/>
        <v>0.1586976368531301</v>
      </c>
      <c r="D86" s="270" t="s">
        <v>936</v>
      </c>
      <c r="E86" s="270" t="s">
        <v>995</v>
      </c>
      <c r="F86" s="271">
        <f>I33</f>
        <v>2026</v>
      </c>
      <c r="G86" s="272">
        <f>-SUMIF($J33:$AC33,"&lt;0")</f>
        <v>532370.75754012843</v>
      </c>
      <c r="H86" s="272">
        <f t="shared" si="35"/>
        <v>532370.75754012843</v>
      </c>
      <c r="I86" s="271">
        <f t="shared" si="36"/>
        <v>2029</v>
      </c>
      <c r="J86" s="272">
        <f>SUM($J33:$AC33)</f>
        <v>1111020.7830662457</v>
      </c>
      <c r="K86" s="273">
        <f>IFERROR(SUMIF($J33:$AC33,"&gt;0")/G86,"-")</f>
        <v>3.0869305222545034</v>
      </c>
      <c r="L86" s="274">
        <f>IFERROR(IRR($J33:$AC33),"n/a")</f>
        <v>0.14314653591666016</v>
      </c>
      <c r="M86" s="274">
        <f>IFERROR(IRR($J33:$AD33),"n/a")</f>
        <v>0.1586976368531301</v>
      </c>
      <c r="N86" s="272">
        <f>NPV($H$6,$J33:$AD33)*(1+$H$6)</f>
        <v>368501.42979577975</v>
      </c>
      <c r="O86" s="272">
        <f>$AD33/(1+$H$6)^20</f>
        <v>149210.9613274147</v>
      </c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</row>
    <row r="87" spans="1:30" x14ac:dyDescent="0.2">
      <c r="A87" s="10"/>
      <c r="B87" s="275" t="str">
        <f t="shared" ref="B87:C91" si="48">B37</f>
        <v>Hotelaria</v>
      </c>
      <c r="C87" s="287">
        <f t="shared" si="48"/>
        <v>8.3607277463832563E-2</v>
      </c>
      <c r="D87" s="276" t="str">
        <f>B37</f>
        <v>Hotelaria</v>
      </c>
      <c r="E87" s="276" t="s">
        <v>995</v>
      </c>
      <c r="F87" s="277">
        <f>I37</f>
        <v>2026</v>
      </c>
      <c r="G87" s="278">
        <f>-SUMIF($J37:$AC37,"&lt;0")</f>
        <v>222379.01542814809</v>
      </c>
      <c r="H87" s="278">
        <f t="shared" si="35"/>
        <v>222379.01542814809</v>
      </c>
      <c r="I87" s="277">
        <f t="shared" si="36"/>
        <v>2027</v>
      </c>
      <c r="J87" s="278">
        <f>SUM($J37:$AC37)</f>
        <v>139755.83152326909</v>
      </c>
      <c r="K87" s="279">
        <f>IFERROR(SUMIF($J37:$AC37,"&gt;0")/G87,"-")</f>
        <v>1.628457821230102</v>
      </c>
      <c r="L87" s="280">
        <f>IFERROR(IRR($J37:$AC37),"n/a")</f>
        <v>4.1496532947416398E-2</v>
      </c>
      <c r="M87" s="280">
        <f>IFERROR(IRR($J37:$AD37),"n/a")</f>
        <v>8.3607277463832563E-2</v>
      </c>
      <c r="N87" s="278">
        <f>NPV($H$6,$J37:$AD37)*(1+$H$6)</f>
        <v>-16065.165178251962</v>
      </c>
      <c r="O87" s="278">
        <f>$AD37/(1+$H$6)^20</f>
        <v>66274.853038162124</v>
      </c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</row>
    <row r="88" spans="1:30" x14ac:dyDescent="0.2">
      <c r="A88" s="10"/>
      <c r="B88" s="275" t="str">
        <f t="shared" si="48"/>
        <v>Entretenimento</v>
      </c>
      <c r="C88" s="287">
        <f t="shared" si="48"/>
        <v>0.18005338922109515</v>
      </c>
      <c r="D88" s="276" t="str">
        <f>B38</f>
        <v>Entretenimento</v>
      </c>
      <c r="E88" s="276" t="s">
        <v>995</v>
      </c>
      <c r="F88" s="277">
        <f>I38</f>
        <v>2028</v>
      </c>
      <c r="G88" s="278">
        <f>-SUMIF($J38:$AC38,"&lt;0")</f>
        <v>133277.70805000002</v>
      </c>
      <c r="H88" s="278">
        <f t="shared" si="35"/>
        <v>133277.70805000002</v>
      </c>
      <c r="I88" s="277">
        <f t="shared" si="36"/>
        <v>2029</v>
      </c>
      <c r="J88" s="278">
        <f>SUM($J38:$AC38)</f>
        <v>306235.94721228757</v>
      </c>
      <c r="K88" s="279">
        <f>IFERROR(SUMIF($J38:$AC38,"&gt;0")/G88,"-")</f>
        <v>3.2977281924551196</v>
      </c>
      <c r="L88" s="280">
        <f>IFERROR(IRR($J38:$AC38),"n/a")</f>
        <v>0.15008702498414994</v>
      </c>
      <c r="M88" s="280">
        <f>IFERROR(IRR($J38:$AD38),"n/a")</f>
        <v>0.18005338922109515</v>
      </c>
      <c r="N88" s="278">
        <f>NPV($H$6,$J38:$AD38)*(1+$H$6)</f>
        <v>123284.18741368479</v>
      </c>
      <c r="O88" s="278">
        <f>$AD38/(1+$H$6)^20</f>
        <v>69137.223231679047</v>
      </c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1:30" x14ac:dyDescent="0.2">
      <c r="A89" s="10"/>
      <c r="B89" s="275" t="str">
        <f t="shared" si="48"/>
        <v>Eventos</v>
      </c>
      <c r="C89" s="287">
        <f t="shared" si="48"/>
        <v>0.29901095400214173</v>
      </c>
      <c r="D89" s="276" t="str">
        <f>B39</f>
        <v>Eventos</v>
      </c>
      <c r="E89" s="276" t="s">
        <v>995</v>
      </c>
      <c r="F89" s="277">
        <f>I39</f>
        <v>2027</v>
      </c>
      <c r="G89" s="278">
        <f>-SUMIF($J39:$AC39,"&lt;0")</f>
        <v>32453.431689999998</v>
      </c>
      <c r="H89" s="278">
        <f t="shared" si="35"/>
        <v>29793.479159999999</v>
      </c>
      <c r="I89" s="277">
        <f t="shared" si="36"/>
        <v>2030</v>
      </c>
      <c r="J89" s="278">
        <f>SUM($J39:$AC39)</f>
        <v>116145.42652000001</v>
      </c>
      <c r="K89" s="279">
        <f>IFERROR(SUMIF($J39:$AC39,"&gt;0")/G89,"-")</f>
        <v>4.578833438307492</v>
      </c>
      <c r="L89" s="280">
        <f>IFERROR(IRR($J39:$AC39),"n/a")</f>
        <v>0.2925141400423672</v>
      </c>
      <c r="M89" s="280">
        <f>IFERROR(IRR($J39:$AD39),"n/a")</f>
        <v>0.29901095400214173</v>
      </c>
      <c r="N89" s="278">
        <f>NPV($H$6,$J39:$AD39)*(1+$H$6)</f>
        <v>52808.611273376715</v>
      </c>
      <c r="O89" s="278">
        <f>$AD39/(1+$H$6)^20</f>
        <v>13798.885057573503</v>
      </c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</row>
    <row r="90" spans="1:30" x14ac:dyDescent="0.2">
      <c r="A90" s="10"/>
      <c r="B90" s="275" t="str">
        <f t="shared" si="48"/>
        <v>Renda</v>
      </c>
      <c r="C90" s="287">
        <f t="shared" si="48"/>
        <v>0.18039894154650282</v>
      </c>
      <c r="D90" s="276" t="str">
        <f>B40</f>
        <v>Renda</v>
      </c>
      <c r="E90" s="276" t="s">
        <v>995</v>
      </c>
      <c r="F90" s="277">
        <f>I40</f>
        <v>2027</v>
      </c>
      <c r="G90" s="278">
        <f>-SUMIF($J40:$AC40,"&lt;0")</f>
        <v>31744.488600000001</v>
      </c>
      <c r="H90" s="278">
        <f t="shared" si="35"/>
        <v>29518.182732000001</v>
      </c>
      <c r="I90" s="277">
        <f t="shared" si="36"/>
        <v>2029</v>
      </c>
      <c r="J90" s="278">
        <f>SUM($J40:$AC40)</f>
        <v>20805.019668000004</v>
      </c>
      <c r="K90" s="279">
        <f>IFERROR(SUMIF($J40:$AC40,"&gt;0")/G90,"-")</f>
        <v>1.6553899774589533</v>
      </c>
      <c r="L90" s="280">
        <f>IFERROR(IRR($J40:$AC40),"n/a")</f>
        <v>0.18039894154650282</v>
      </c>
      <c r="M90" s="280">
        <f>IFERROR(IRR($J40:$AD40),"n/a")</f>
        <v>0.18039894154650282</v>
      </c>
      <c r="N90" s="278">
        <f>NPV($H$6,$J40:$AD40)*(1+$H$6)</f>
        <v>7611.7665471673681</v>
      </c>
      <c r="O90" s="278">
        <f>$AD40/(1+$H$6)^20</f>
        <v>0</v>
      </c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spans="1:30" x14ac:dyDescent="0.2">
      <c r="A91" s="10"/>
      <c r="B91" s="275" t="str">
        <f t="shared" si="48"/>
        <v>Imobiliário</v>
      </c>
      <c r="C91" s="287">
        <f t="shared" si="48"/>
        <v>0.58547617333736057</v>
      </c>
      <c r="D91" s="276" t="str">
        <f>B41</f>
        <v>Imobiliário</v>
      </c>
      <c r="E91" s="276" t="s">
        <v>995</v>
      </c>
      <c r="F91" s="277">
        <f>I41</f>
        <v>2026</v>
      </c>
      <c r="G91" s="278">
        <f>-SUMIF($J41:$AC41,"&lt;0")</f>
        <v>50995.490512764867</v>
      </c>
      <c r="H91" s="278">
        <f t="shared" si="35"/>
        <v>49579.018785790373</v>
      </c>
      <c r="I91" s="277">
        <f t="shared" si="36"/>
        <v>2030</v>
      </c>
      <c r="J91" s="278">
        <f>SUM($J41:$AC41)</f>
        <v>628078.55814268906</v>
      </c>
      <c r="K91" s="279">
        <f>IFERROR(SUMIF($J41:$AC41,"&gt;0")/G91,"-")</f>
        <v>13.316354874270157</v>
      </c>
      <c r="L91" s="280">
        <f>IFERROR(IRR($J41:$AC41),"n/a")</f>
        <v>0.58547617333736057</v>
      </c>
      <c r="M91" s="280">
        <f>IFERROR(IRR($J41:$AD41),"n/a")</f>
        <v>0.58547617333736057</v>
      </c>
      <c r="N91" s="278">
        <f>NPV($H$6,$J41:$AD41)*(1+$H$6)</f>
        <v>300862.02973980282</v>
      </c>
      <c r="O91" s="278">
        <f>$AD41/(1+$H$6)^20</f>
        <v>0</v>
      </c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</row>
    <row r="92" spans="1:30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1:30" x14ac:dyDescent="0.2">
      <c r="A93" s="10"/>
      <c r="B93" s="23" t="s">
        <v>1034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  <row r="94" spans="1:30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</row>
    <row r="95" spans="1:30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</row>
  </sheetData>
  <conditionalFormatting sqref="I34">
    <cfRule type="containsText" dxfId="5" priority="1" operator="containsText" text="ERRO">
      <formula>NOT(ISERROR(SEARCH("ERRO",I34)))</formula>
    </cfRule>
  </conditionalFormatting>
  <conditionalFormatting sqref="I42">
    <cfRule type="containsText" dxfId="4" priority="2" operator="containsText" text="ERRO">
      <formula>NOT(ISERROR(SEARCH("ERRO",I42)))</formula>
    </cfRule>
  </conditionalFormatting>
  <dataValidations count="3">
    <dataValidation type="list" allowBlank="1" showInputMessage="1" showErrorMessage="1" sqref="H13:H17 H19:H24 H26:H27" xr:uid="{C764A97E-C284-1F4E-BD87-404DDC28AFF1}">
      <formula1>"S,N"</formula1>
    </dataValidation>
    <dataValidation type="list" allowBlank="1" showInputMessage="1" showErrorMessage="1" sqref="G13:G17 G19:G24 G26:G27" xr:uid="{5ED40481-B31C-DA4F-8D47-09C8E33F07D4}">
      <formula1>"1,2,3"</formula1>
    </dataValidation>
    <dataValidation type="list" allowBlank="1" showInputMessage="1" showErrorMessage="1" sqref="F13:F17 F19:F24 F26:F27" xr:uid="{F0368F4B-D56C-A34A-B845-ABCC20BA4073}">
      <formula1>"Hospitality,Entertainment,Events,Income,Real Estate"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8766D-C69D-494F-AAA4-3ECE07581891}">
  <dimension ref="A1:AB342"/>
  <sheetViews>
    <sheetView showGridLines="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K20" sqref="K20"/>
    </sheetView>
  </sheetViews>
  <sheetFormatPr baseColWidth="10" defaultRowHeight="15" x14ac:dyDescent="0.2"/>
  <cols>
    <col min="1" max="1" width="1.6640625" customWidth="1"/>
    <col min="2" max="2" width="2.33203125" customWidth="1"/>
    <col min="3" max="3" width="43.33203125" customWidth="1"/>
    <col min="4" max="4" width="1.6640625" customWidth="1"/>
    <col min="5" max="5" width="13.33203125" customWidth="1"/>
    <col min="6" max="6" width="1.6640625" customWidth="1"/>
    <col min="7" max="8" width="11.1640625" bestFit="1" customWidth="1"/>
    <col min="9" max="27" width="10.33203125" customWidth="1"/>
  </cols>
  <sheetData>
    <row r="1" spans="1:28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6" x14ac:dyDescent="0.2">
      <c r="A2" s="7"/>
      <c r="B2" s="21" t="s">
        <v>31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x14ac:dyDescent="0.2">
      <c r="A3" s="7"/>
      <c r="B3" s="23" t="s">
        <v>222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2">
      <c r="A6" s="7"/>
      <c r="B6" s="24" t="s">
        <v>1</v>
      </c>
      <c r="C6" s="24"/>
      <c r="D6" s="24"/>
      <c r="E6" s="26" t="s">
        <v>38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7"/>
    </row>
    <row r="7" spans="1:28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24" t="s">
        <v>39</v>
      </c>
      <c r="C8" s="24"/>
      <c r="D8" s="24"/>
      <c r="E8" s="24"/>
      <c r="F8" s="24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7"/>
    </row>
    <row r="9" spans="1:28" x14ac:dyDescent="0.2">
      <c r="A9" s="7"/>
      <c r="B9" s="7"/>
      <c r="C9" s="7" t="s">
        <v>40</v>
      </c>
      <c r="D9" s="7"/>
      <c r="E9" s="38">
        <v>31000</v>
      </c>
      <c r="F9" s="7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7"/>
    </row>
    <row r="10" spans="1:28" x14ac:dyDescent="0.2">
      <c r="A10" s="7"/>
      <c r="B10" s="7"/>
      <c r="C10" s="7" t="s">
        <v>41</v>
      </c>
      <c r="D10" s="7"/>
      <c r="E10" s="38">
        <v>30000</v>
      </c>
      <c r="F10" s="7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7"/>
    </row>
    <row r="11" spans="1:28" x14ac:dyDescent="0.2">
      <c r="A11" s="7"/>
      <c r="B11" s="7"/>
      <c r="C11" s="7" t="s">
        <v>42</v>
      </c>
      <c r="D11" s="7"/>
      <c r="E11" s="46">
        <v>210000</v>
      </c>
      <c r="F11" s="7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7"/>
    </row>
    <row r="12" spans="1:28" x14ac:dyDescent="0.2">
      <c r="A12" s="7"/>
      <c r="B12" s="7"/>
      <c r="C12" s="7" t="s">
        <v>43</v>
      </c>
      <c r="D12" s="7"/>
      <c r="E12" s="36">
        <f>E11/E36</f>
        <v>0.46584257355554964</v>
      </c>
      <c r="F12" s="7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7"/>
    </row>
    <row r="13" spans="1:28" x14ac:dyDescent="0.2">
      <c r="A13" s="7"/>
      <c r="B13" s="7"/>
      <c r="C13" s="7" t="s">
        <v>44</v>
      </c>
      <c r="D13" s="7"/>
      <c r="E13" s="39">
        <v>0.1</v>
      </c>
      <c r="F13" s="7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7"/>
    </row>
    <row r="14" spans="1:28" x14ac:dyDescent="0.2">
      <c r="A14" s="7"/>
      <c r="B14" s="7"/>
      <c r="C14" s="7" t="s">
        <v>45</v>
      </c>
      <c r="D14" s="7"/>
      <c r="E14" s="39">
        <v>5.6800000000000003E-2</v>
      </c>
      <c r="F14" s="7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7"/>
    </row>
    <row r="15" spans="1:28" x14ac:dyDescent="0.2">
      <c r="A15" s="7"/>
      <c r="B15" s="7"/>
      <c r="C15" s="7" t="s">
        <v>37</v>
      </c>
      <c r="D15" s="7"/>
      <c r="E15" s="39">
        <v>0.105</v>
      </c>
      <c r="F15" s="7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7"/>
    </row>
    <row r="16" spans="1:28" x14ac:dyDescent="0.2">
      <c r="A16" s="7"/>
      <c r="B16" s="7"/>
      <c r="C16" s="7" t="s">
        <v>46</v>
      </c>
      <c r="D16" s="7"/>
      <c r="E16" s="38">
        <v>15000</v>
      </c>
      <c r="F16" s="7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7"/>
    </row>
    <row r="17" spans="1:28" x14ac:dyDescent="0.2">
      <c r="A17" s="7"/>
      <c r="B17" s="7"/>
      <c r="C17" s="7" t="s">
        <v>47</v>
      </c>
      <c r="D17" s="7"/>
      <c r="E17" s="38">
        <v>10</v>
      </c>
      <c r="F17" s="7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7"/>
    </row>
    <row r="18" spans="1:28" x14ac:dyDescent="0.2">
      <c r="A18" s="7"/>
      <c r="B18" s="7"/>
      <c r="C18" s="7" t="s">
        <v>48</v>
      </c>
      <c r="D18" s="7"/>
      <c r="E18" s="39">
        <v>0.02</v>
      </c>
      <c r="F18" s="7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7"/>
    </row>
    <row r="19" spans="1:28" x14ac:dyDescent="0.2">
      <c r="A19" s="7"/>
      <c r="B19" s="7"/>
      <c r="C19" s="7" t="s">
        <v>49</v>
      </c>
      <c r="D19" s="7"/>
      <c r="E19" s="39">
        <v>0</v>
      </c>
      <c r="F19" s="7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7"/>
    </row>
    <row r="20" spans="1:28" x14ac:dyDescent="0.2">
      <c r="A20" s="7"/>
      <c r="B20" s="7"/>
      <c r="C20" s="7" t="s">
        <v>50</v>
      </c>
      <c r="D20" s="7"/>
      <c r="E20" s="40">
        <v>18</v>
      </c>
      <c r="F20" s="7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7"/>
    </row>
    <row r="21" spans="1:28" x14ac:dyDescent="0.2">
      <c r="A21" s="7"/>
      <c r="B21" s="7"/>
      <c r="C21" s="7" t="s">
        <v>51</v>
      </c>
      <c r="D21" s="7"/>
      <c r="E21" s="40">
        <v>2028</v>
      </c>
      <c r="F21" s="7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7"/>
    </row>
    <row r="22" spans="1:28" x14ac:dyDescent="0.2">
      <c r="A22" s="7"/>
      <c r="B22" s="7"/>
      <c r="C22" s="7" t="s">
        <v>52</v>
      </c>
      <c r="D22" s="7"/>
      <c r="E22" s="40">
        <v>2029</v>
      </c>
      <c r="F22" s="7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7"/>
    </row>
    <row r="23" spans="1:28" x14ac:dyDescent="0.2">
      <c r="A23" s="7"/>
      <c r="B23" s="7"/>
      <c r="C23" s="7" t="s">
        <v>53</v>
      </c>
      <c r="D23" s="7"/>
      <c r="E23" s="40">
        <v>12</v>
      </c>
      <c r="F23" s="7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7"/>
    </row>
    <row r="24" spans="1:28" x14ac:dyDescent="0.2">
      <c r="A24" s="7"/>
      <c r="B24" s="7"/>
      <c r="C24" s="7" t="s">
        <v>54</v>
      </c>
      <c r="D24" s="7"/>
      <c r="E24" s="38" t="s">
        <v>5</v>
      </c>
      <c r="F24" s="7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7"/>
    </row>
    <row r="25" spans="1:28" x14ac:dyDescent="0.2">
      <c r="A25" s="7"/>
      <c r="B25" s="7"/>
      <c r="C25" s="7" t="s">
        <v>55</v>
      </c>
      <c r="D25" s="7"/>
      <c r="E25" s="42">
        <f>MANAGEMENT!$H$6</f>
        <v>0.09</v>
      </c>
      <c r="F25" s="7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7"/>
    </row>
    <row r="26" spans="1:28" x14ac:dyDescent="0.2">
      <c r="A26" s="7"/>
      <c r="B26" s="7"/>
      <c r="C26" s="7" t="s">
        <v>56</v>
      </c>
      <c r="D26" s="7"/>
      <c r="E26" s="39">
        <v>0.1</v>
      </c>
      <c r="F26" s="7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7"/>
    </row>
    <row r="27" spans="1:28" x14ac:dyDescent="0.2">
      <c r="A27" s="7"/>
      <c r="B27" s="7"/>
      <c r="C27" s="7"/>
      <c r="D27" s="7"/>
      <c r="E27" s="19"/>
      <c r="F27" s="7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7"/>
    </row>
    <row r="28" spans="1:28" x14ac:dyDescent="0.2">
      <c r="A28" s="7"/>
      <c r="B28" s="24" t="s">
        <v>57</v>
      </c>
      <c r="C28" s="24"/>
      <c r="D28" s="24"/>
      <c r="E28" s="28"/>
      <c r="F28" s="24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7"/>
    </row>
    <row r="29" spans="1:28" x14ac:dyDescent="0.2">
      <c r="A29" s="7"/>
      <c r="B29" s="7"/>
      <c r="C29" s="7" t="s">
        <v>1022</v>
      </c>
      <c r="D29" s="7"/>
      <c r="E29" s="19">
        <f t="shared" ref="E29:E36" si="1">SUM(G29:Z29)</f>
        <v>0</v>
      </c>
      <c r="F29" s="7"/>
      <c r="G29" s="19" cm="1">
        <f t="array" ref="G29">SUMPRODUCT(($G$318:$AA$318=G$6)*$G$331:$AA$331)</f>
        <v>0</v>
      </c>
      <c r="H29" s="19" cm="1">
        <f t="array" ref="H29">SUMPRODUCT(($G$318:$AA$318=H$6)*$G$331:$AA$331)</f>
        <v>0</v>
      </c>
      <c r="I29" s="19" cm="1">
        <f t="array" ref="I29">SUMPRODUCT(($G$318:$AA$318=I$6)*$G$331:$AA$331)</f>
        <v>0</v>
      </c>
      <c r="J29" s="19" cm="1">
        <f t="array" ref="J29">SUMPRODUCT(($G$318:$AA$318=J$6)*$G$331:$AA$331)</f>
        <v>0</v>
      </c>
      <c r="K29" s="19" cm="1">
        <f t="array" ref="K29">SUMPRODUCT(($G$318:$AA$318=K$6)*$G$331:$AA$331)</f>
        <v>0</v>
      </c>
      <c r="L29" s="19" cm="1">
        <f t="array" ref="L29">SUMPRODUCT(($G$318:$AA$318=L$6)*$G$331:$AA$331)</f>
        <v>0</v>
      </c>
      <c r="M29" s="19" cm="1">
        <f t="array" ref="M29">SUMPRODUCT(($G$318:$AA$318=M$6)*$G$331:$AA$331)</f>
        <v>0</v>
      </c>
      <c r="N29" s="19" cm="1">
        <f t="array" ref="N29">SUMPRODUCT(($G$318:$AA$318=N$6)*$G$331:$AA$331)</f>
        <v>0</v>
      </c>
      <c r="O29" s="19" cm="1">
        <f t="array" ref="O29">SUMPRODUCT(($G$318:$AA$318=O$6)*$G$331:$AA$331)</f>
        <v>0</v>
      </c>
      <c r="P29" s="19" cm="1">
        <f t="array" ref="P29">SUMPRODUCT(($G$318:$AA$318=P$6)*$G$331:$AA$331)</f>
        <v>0</v>
      </c>
      <c r="Q29" s="19" cm="1">
        <f t="array" ref="Q29">SUMPRODUCT(($G$318:$AA$318=Q$6)*$G$331:$AA$331)</f>
        <v>0</v>
      </c>
      <c r="R29" s="19" cm="1">
        <f t="array" ref="R29">SUMPRODUCT(($G$318:$AA$318=R$6)*$G$331:$AA$331)</f>
        <v>0</v>
      </c>
      <c r="S29" s="19" cm="1">
        <f t="array" ref="S29">SUMPRODUCT(($G$318:$AA$318=S$6)*$G$331:$AA$331)</f>
        <v>0</v>
      </c>
      <c r="T29" s="19" cm="1">
        <f t="array" ref="T29">SUMPRODUCT(($G$318:$AA$318=T$6)*$G$331:$AA$331)</f>
        <v>0</v>
      </c>
      <c r="U29" s="19" cm="1">
        <f t="array" ref="U29">SUMPRODUCT(($G$318:$AA$318=U$6)*$G$331:$AA$331)</f>
        <v>0</v>
      </c>
      <c r="V29" s="19" cm="1">
        <f t="array" ref="V29">SUMPRODUCT(($G$318:$AA$318=V$6)*$G$331:$AA$331)</f>
        <v>0</v>
      </c>
      <c r="W29" s="19" cm="1">
        <f t="array" ref="W29">SUMPRODUCT(($G$318:$AA$318=W$6)*$G$331:$AA$331)</f>
        <v>0</v>
      </c>
      <c r="X29" s="19" cm="1">
        <f t="array" ref="X29">SUMPRODUCT(($G$318:$AA$318=X$6)*$G$331:$AA$331)</f>
        <v>0</v>
      </c>
      <c r="Y29" s="19" cm="1">
        <f t="array" ref="Y29">SUMPRODUCT(($G$318:$AA$318=Y$6)*$G$331:$AA$331)</f>
        <v>0</v>
      </c>
      <c r="Z29" s="19" cm="1">
        <f t="array" ref="Z29">SUMPRODUCT(($G$318:$AA$318=Z$6)*$G$331:$AA$331)</f>
        <v>0</v>
      </c>
      <c r="AA29" s="19"/>
      <c r="AB29" s="7"/>
    </row>
    <row r="30" spans="1:28" x14ac:dyDescent="0.2">
      <c r="A30" s="7"/>
      <c r="B30" s="7"/>
      <c r="C30" s="7" t="s">
        <v>1023</v>
      </c>
      <c r="D30" s="7"/>
      <c r="E30" s="19">
        <f t="shared" si="1"/>
        <v>319000.00000000012</v>
      </c>
      <c r="F30" s="7"/>
      <c r="G30" s="19" cm="1">
        <f t="array" ref="G30">SUMPRODUCT(($G$318:$AA$318=G$6)*$G$329:$AA$329)</f>
        <v>122001.43977527981</v>
      </c>
      <c r="H30" s="19" cm="1">
        <f t="array" ref="H30">SUMPRODUCT(($G$318:$AA$318=H$6)*$G$329:$AA$329)</f>
        <v>196998.56022472028</v>
      </c>
      <c r="I30" s="19" cm="1">
        <f t="array" ref="I30">SUMPRODUCT(($G$318:$AA$318=I$6)*$G$329:$AA$329)</f>
        <v>0</v>
      </c>
      <c r="J30" s="19" cm="1">
        <f t="array" ref="J30">SUMPRODUCT(($G$318:$AA$318=J$6)*$G$329:$AA$329)</f>
        <v>0</v>
      </c>
      <c r="K30" s="19" cm="1">
        <f t="array" ref="K30">SUMPRODUCT(($G$318:$AA$318=K$6)*$G$329:$AA$329)</f>
        <v>0</v>
      </c>
      <c r="L30" s="19" cm="1">
        <f t="array" ref="L30">SUMPRODUCT(($G$318:$AA$318=L$6)*$G$329:$AA$329)</f>
        <v>0</v>
      </c>
      <c r="M30" s="19" cm="1">
        <f t="array" ref="M30">SUMPRODUCT(($G$318:$AA$318=M$6)*$G$329:$AA$329)</f>
        <v>0</v>
      </c>
      <c r="N30" s="19" cm="1">
        <f t="array" ref="N30">SUMPRODUCT(($G$318:$AA$318=N$6)*$G$329:$AA$329)</f>
        <v>0</v>
      </c>
      <c r="O30" s="19" cm="1">
        <f t="array" ref="O30">SUMPRODUCT(($G$318:$AA$318=O$6)*$G$329:$AA$329)</f>
        <v>0</v>
      </c>
      <c r="P30" s="19" cm="1">
        <f t="array" ref="P30">SUMPRODUCT(($G$318:$AA$318=P$6)*$G$329:$AA$329)</f>
        <v>0</v>
      </c>
      <c r="Q30" s="19" cm="1">
        <f t="array" ref="Q30">SUMPRODUCT(($G$318:$AA$318=Q$6)*$G$329:$AA$329)</f>
        <v>0</v>
      </c>
      <c r="R30" s="19" cm="1">
        <f t="array" ref="R30">SUMPRODUCT(($G$318:$AA$318=R$6)*$G$329:$AA$329)</f>
        <v>0</v>
      </c>
      <c r="S30" s="19" cm="1">
        <f t="array" ref="S30">SUMPRODUCT(($G$318:$AA$318=S$6)*$G$329:$AA$329)</f>
        <v>0</v>
      </c>
      <c r="T30" s="19" cm="1">
        <f t="array" ref="T30">SUMPRODUCT(($G$318:$AA$318=T$6)*$G$329:$AA$329)</f>
        <v>0</v>
      </c>
      <c r="U30" s="19" cm="1">
        <f t="array" ref="U30">SUMPRODUCT(($G$318:$AA$318=U$6)*$G$329:$AA$329)</f>
        <v>0</v>
      </c>
      <c r="V30" s="19" cm="1">
        <f t="array" ref="V30">SUMPRODUCT(($G$318:$AA$318=V$6)*$G$329:$AA$329)</f>
        <v>0</v>
      </c>
      <c r="W30" s="19" cm="1">
        <f t="array" ref="W30">SUMPRODUCT(($G$318:$AA$318=W$6)*$G$329:$AA$329)</f>
        <v>0</v>
      </c>
      <c r="X30" s="19" cm="1">
        <f t="array" ref="X30">SUMPRODUCT(($G$318:$AA$318=X$6)*$G$329:$AA$329)</f>
        <v>0</v>
      </c>
      <c r="Y30" s="19" cm="1">
        <f t="array" ref="Y30">SUMPRODUCT(($G$318:$AA$318=Y$6)*$G$329:$AA$329)</f>
        <v>0</v>
      </c>
      <c r="Z30" s="19" cm="1">
        <f t="array" ref="Z30">SUMPRODUCT(($G$318:$AA$318=Z$6)*$G$329:$AA$329)</f>
        <v>0</v>
      </c>
      <c r="AA30" s="19"/>
      <c r="AB30" s="7"/>
    </row>
    <row r="31" spans="1:28" x14ac:dyDescent="0.2">
      <c r="A31" s="7"/>
      <c r="B31" s="7"/>
      <c r="C31" s="7" t="s">
        <v>1024</v>
      </c>
      <c r="D31" s="7"/>
      <c r="E31" s="19">
        <f t="shared" si="1"/>
        <v>101536.06699999997</v>
      </c>
      <c r="F31" s="7"/>
      <c r="G31" s="19" cm="1">
        <f t="array" ref="G31">SUMPRODUCT(($G$286:$AA$286=G$6)*$G$299:$AA$299)</f>
        <v>2440.1211999999996</v>
      </c>
      <c r="H31" s="19" cm="1">
        <f t="array" ref="H31">SUMPRODUCT(($G$286:$AA$286=H$6)*$G$299:$AA$299)</f>
        <v>83394.485599999971</v>
      </c>
      <c r="I31" s="19" cm="1">
        <f t="array" ref="I31">SUMPRODUCT(($G$286:$AA$286=I$6)*$G$299:$AA$299)</f>
        <v>15701.460199999998</v>
      </c>
      <c r="J31" s="19" cm="1">
        <f t="array" ref="J31">SUMPRODUCT(($G$286:$AA$286=J$6)*$G$299:$AA$299)</f>
        <v>0</v>
      </c>
      <c r="K31" s="19" cm="1">
        <f t="array" ref="K31">SUMPRODUCT(($G$286:$AA$286=K$6)*$G$299:$AA$299)</f>
        <v>0</v>
      </c>
      <c r="L31" s="19" cm="1">
        <f t="array" ref="L31">SUMPRODUCT(($G$286:$AA$286=L$6)*$G$299:$AA$299)</f>
        <v>0</v>
      </c>
      <c r="M31" s="19" cm="1">
        <f t="array" ref="M31">SUMPRODUCT(($G$286:$AA$286=M$6)*$G$299:$AA$299)</f>
        <v>0</v>
      </c>
      <c r="N31" s="19" cm="1">
        <f t="array" ref="N31">SUMPRODUCT(($G$286:$AA$286=N$6)*$G$299:$AA$299)</f>
        <v>0</v>
      </c>
      <c r="O31" s="19" cm="1">
        <f t="array" ref="O31">SUMPRODUCT(($G$286:$AA$286=O$6)*$G$299:$AA$299)</f>
        <v>0</v>
      </c>
      <c r="P31" s="19" cm="1">
        <f t="array" ref="P31">SUMPRODUCT(($G$286:$AA$286=P$6)*$G$299:$AA$299)</f>
        <v>0</v>
      </c>
      <c r="Q31" s="19" cm="1">
        <f t="array" ref="Q31">SUMPRODUCT(($G$286:$AA$286=Q$6)*$G$299:$AA$299)</f>
        <v>0</v>
      </c>
      <c r="R31" s="19" cm="1">
        <f t="array" ref="R31">SUMPRODUCT(($G$286:$AA$286=R$6)*$G$299:$AA$299)</f>
        <v>0</v>
      </c>
      <c r="S31" s="19" cm="1">
        <f t="array" ref="S31">SUMPRODUCT(($G$286:$AA$286=S$6)*$G$299:$AA$299)</f>
        <v>0</v>
      </c>
      <c r="T31" s="19" cm="1">
        <f t="array" ref="T31">SUMPRODUCT(($G$286:$AA$286=T$6)*$G$299:$AA$299)</f>
        <v>0</v>
      </c>
      <c r="U31" s="19" cm="1">
        <f t="array" ref="U31">SUMPRODUCT(($G$286:$AA$286=U$6)*$G$299:$AA$299)</f>
        <v>0</v>
      </c>
      <c r="V31" s="19" cm="1">
        <f t="array" ref="V31">SUMPRODUCT(($G$286:$AA$286=V$6)*$G$299:$AA$299)</f>
        <v>0</v>
      </c>
      <c r="W31" s="19" cm="1">
        <f t="array" ref="W31">SUMPRODUCT(($G$286:$AA$286=W$6)*$G$299:$AA$299)</f>
        <v>0</v>
      </c>
      <c r="X31" s="19" cm="1">
        <f t="array" ref="X31">SUMPRODUCT(($G$286:$AA$286=X$6)*$G$299:$AA$299)</f>
        <v>0</v>
      </c>
      <c r="Y31" s="19" cm="1">
        <f t="array" ref="Y31">SUMPRODUCT(($G$286:$AA$286=Y$6)*$G$299:$AA$299)</f>
        <v>0</v>
      </c>
      <c r="Z31" s="19" cm="1">
        <f t="array" ref="Z31">SUMPRODUCT(($G$286:$AA$286=Z$6)*$G$299:$AA$299)</f>
        <v>0</v>
      </c>
      <c r="AA31" s="19"/>
      <c r="AB31" s="7"/>
    </row>
    <row r="32" spans="1:28" x14ac:dyDescent="0.2">
      <c r="A32" s="7"/>
      <c r="B32" s="7"/>
      <c r="C32" s="7" t="s">
        <v>1025</v>
      </c>
      <c r="D32" s="7"/>
      <c r="E32" s="19">
        <f t="shared" si="1"/>
        <v>12760.000000000004</v>
      </c>
      <c r="F32" s="7"/>
      <c r="G32" s="19" cm="1">
        <f t="array" ref="G32">SUMPRODUCT(($G$318:$AA$318=G$6)*$G$330:$AA$330)</f>
        <v>4880.057591011192</v>
      </c>
      <c r="H32" s="19" cm="1">
        <f t="array" ref="H32">SUMPRODUCT(($G$318:$AA$318=H$6)*$G$330:$AA$330)</f>
        <v>7879.9424089888107</v>
      </c>
      <c r="I32" s="19" cm="1">
        <f t="array" ref="I32">SUMPRODUCT(($G$318:$AA$318=I$6)*$G$330:$AA$330)</f>
        <v>0</v>
      </c>
      <c r="J32" s="19" cm="1">
        <f t="array" ref="J32">SUMPRODUCT(($G$318:$AA$318=J$6)*$G$330:$AA$330)</f>
        <v>0</v>
      </c>
      <c r="K32" s="19" cm="1">
        <f t="array" ref="K32">SUMPRODUCT(($G$318:$AA$318=K$6)*$G$330:$AA$330)</f>
        <v>0</v>
      </c>
      <c r="L32" s="19" cm="1">
        <f t="array" ref="L32">SUMPRODUCT(($G$318:$AA$318=L$6)*$G$330:$AA$330)</f>
        <v>0</v>
      </c>
      <c r="M32" s="19" cm="1">
        <f t="array" ref="M32">SUMPRODUCT(($G$318:$AA$318=M$6)*$G$330:$AA$330)</f>
        <v>0</v>
      </c>
      <c r="N32" s="19" cm="1">
        <f t="array" ref="N32">SUMPRODUCT(($G$318:$AA$318=N$6)*$G$330:$AA$330)</f>
        <v>0</v>
      </c>
      <c r="O32" s="19" cm="1">
        <f t="array" ref="O32">SUMPRODUCT(($G$318:$AA$318=O$6)*$G$330:$AA$330)</f>
        <v>0</v>
      </c>
      <c r="P32" s="19" cm="1">
        <f t="array" ref="P32">SUMPRODUCT(($G$318:$AA$318=P$6)*$G$330:$AA$330)</f>
        <v>0</v>
      </c>
      <c r="Q32" s="19" cm="1">
        <f t="array" ref="Q32">SUMPRODUCT(($G$318:$AA$318=Q$6)*$G$330:$AA$330)</f>
        <v>0</v>
      </c>
      <c r="R32" s="19" cm="1">
        <f t="array" ref="R32">SUMPRODUCT(($G$318:$AA$318=R$6)*$G$330:$AA$330)</f>
        <v>0</v>
      </c>
      <c r="S32" s="19" cm="1">
        <f t="array" ref="S32">SUMPRODUCT(($G$318:$AA$318=S$6)*$G$330:$AA$330)</f>
        <v>0</v>
      </c>
      <c r="T32" s="19" cm="1">
        <f t="array" ref="T32">SUMPRODUCT(($G$318:$AA$318=T$6)*$G$330:$AA$330)</f>
        <v>0</v>
      </c>
      <c r="U32" s="19" cm="1">
        <f t="array" ref="U32">SUMPRODUCT(($G$318:$AA$318=U$6)*$G$330:$AA$330)</f>
        <v>0</v>
      </c>
      <c r="V32" s="19" cm="1">
        <f t="array" ref="V32">SUMPRODUCT(($G$318:$AA$318=V$6)*$G$330:$AA$330)</f>
        <v>0</v>
      </c>
      <c r="W32" s="19" cm="1">
        <f t="array" ref="W32">SUMPRODUCT(($G$318:$AA$318=W$6)*$G$330:$AA$330)</f>
        <v>0</v>
      </c>
      <c r="X32" s="19" cm="1">
        <f t="array" ref="X32">SUMPRODUCT(($G$318:$AA$318=X$6)*$G$330:$AA$330)</f>
        <v>0</v>
      </c>
      <c r="Y32" s="19" cm="1">
        <f t="array" ref="Y32">SUMPRODUCT(($G$318:$AA$318=Y$6)*$G$330:$AA$330)</f>
        <v>0</v>
      </c>
      <c r="Z32" s="19" cm="1">
        <f t="array" ref="Z32">SUMPRODUCT(($G$318:$AA$318=Z$6)*$G$330:$AA$330)</f>
        <v>0</v>
      </c>
      <c r="AA32" s="19"/>
      <c r="AB32" s="7"/>
    </row>
    <row r="33" spans="1:28" x14ac:dyDescent="0.2">
      <c r="A33" s="7"/>
      <c r="B33" s="7"/>
      <c r="C33" s="7" t="s">
        <v>1026</v>
      </c>
      <c r="D33" s="7"/>
      <c r="E33" s="19">
        <f t="shared" si="1"/>
        <v>8500</v>
      </c>
      <c r="F33" s="7"/>
      <c r="G33" s="19">
        <f t="shared" ref="G33:Z33" si="2">$E$339/$G$339*MAX(0,MIN(YEAR($H$339)*12+MONTH($H$339),G$6*12+12)-MAX(YEAR($F$339)*12+MONTH($F$339),G$6*12+1)+1)</f>
        <v>0</v>
      </c>
      <c r="H33" s="19">
        <f t="shared" si="2"/>
        <v>8500</v>
      </c>
      <c r="I33" s="19">
        <f t="shared" si="2"/>
        <v>0</v>
      </c>
      <c r="J33" s="19">
        <f t="shared" si="2"/>
        <v>0</v>
      </c>
      <c r="K33" s="19">
        <f t="shared" si="2"/>
        <v>0</v>
      </c>
      <c r="L33" s="19">
        <f t="shared" si="2"/>
        <v>0</v>
      </c>
      <c r="M33" s="19">
        <f t="shared" si="2"/>
        <v>0</v>
      </c>
      <c r="N33" s="19">
        <f t="shared" si="2"/>
        <v>0</v>
      </c>
      <c r="O33" s="19">
        <f t="shared" si="2"/>
        <v>0</v>
      </c>
      <c r="P33" s="19">
        <f t="shared" si="2"/>
        <v>0</v>
      </c>
      <c r="Q33" s="19">
        <f t="shared" si="2"/>
        <v>0</v>
      </c>
      <c r="R33" s="19">
        <f t="shared" si="2"/>
        <v>0</v>
      </c>
      <c r="S33" s="19">
        <f t="shared" si="2"/>
        <v>0</v>
      </c>
      <c r="T33" s="19">
        <f t="shared" si="2"/>
        <v>0</v>
      </c>
      <c r="U33" s="19">
        <f t="shared" si="2"/>
        <v>0</v>
      </c>
      <c r="V33" s="19">
        <f t="shared" si="2"/>
        <v>0</v>
      </c>
      <c r="W33" s="19">
        <f t="shared" si="2"/>
        <v>0</v>
      </c>
      <c r="X33" s="19">
        <f t="shared" si="2"/>
        <v>0</v>
      </c>
      <c r="Y33" s="19">
        <f t="shared" si="2"/>
        <v>0</v>
      </c>
      <c r="Z33" s="19">
        <f t="shared" si="2"/>
        <v>0</v>
      </c>
      <c r="AA33" s="19"/>
      <c r="AB33" s="7"/>
    </row>
    <row r="34" spans="1:28" x14ac:dyDescent="0.2">
      <c r="A34" s="7"/>
      <c r="B34" s="7"/>
      <c r="C34" s="7" t="s">
        <v>1027</v>
      </c>
      <c r="D34" s="7"/>
      <c r="E34" s="19">
        <f t="shared" si="1"/>
        <v>7000</v>
      </c>
      <c r="F34" s="7"/>
      <c r="G34" s="19">
        <f t="shared" ref="G34:Z34" si="3">$E$340/$G$340*MAX(0,MIN(YEAR($H$340)*12+MONTH($H$340),G$6*12+12)-MAX(YEAR($F$340)*12+MONTH($F$340),G$6*12+1)+1)</f>
        <v>0</v>
      </c>
      <c r="H34" s="19">
        <f t="shared" si="3"/>
        <v>7000</v>
      </c>
      <c r="I34" s="19">
        <f t="shared" si="3"/>
        <v>0</v>
      </c>
      <c r="J34" s="19">
        <f t="shared" si="3"/>
        <v>0</v>
      </c>
      <c r="K34" s="19">
        <f t="shared" si="3"/>
        <v>0</v>
      </c>
      <c r="L34" s="19">
        <f t="shared" si="3"/>
        <v>0</v>
      </c>
      <c r="M34" s="19">
        <f t="shared" si="3"/>
        <v>0</v>
      </c>
      <c r="N34" s="19">
        <f t="shared" si="3"/>
        <v>0</v>
      </c>
      <c r="O34" s="19">
        <f t="shared" si="3"/>
        <v>0</v>
      </c>
      <c r="P34" s="19">
        <f t="shared" si="3"/>
        <v>0</v>
      </c>
      <c r="Q34" s="19">
        <f t="shared" si="3"/>
        <v>0</v>
      </c>
      <c r="R34" s="19">
        <f t="shared" si="3"/>
        <v>0</v>
      </c>
      <c r="S34" s="19">
        <f t="shared" si="3"/>
        <v>0</v>
      </c>
      <c r="T34" s="19">
        <f t="shared" si="3"/>
        <v>0</v>
      </c>
      <c r="U34" s="19">
        <f t="shared" si="3"/>
        <v>0</v>
      </c>
      <c r="V34" s="19">
        <f t="shared" si="3"/>
        <v>0</v>
      </c>
      <c r="W34" s="19">
        <f t="shared" si="3"/>
        <v>0</v>
      </c>
      <c r="X34" s="19">
        <f t="shared" si="3"/>
        <v>0</v>
      </c>
      <c r="Y34" s="19">
        <f t="shared" si="3"/>
        <v>0</v>
      </c>
      <c r="Z34" s="19">
        <f t="shared" si="3"/>
        <v>0</v>
      </c>
      <c r="AA34" s="19"/>
      <c r="AB34" s="7"/>
    </row>
    <row r="35" spans="1:28" x14ac:dyDescent="0.2">
      <c r="A35" s="7"/>
      <c r="B35" s="7"/>
      <c r="C35" s="7" t="s">
        <v>1028</v>
      </c>
      <c r="D35" s="7"/>
      <c r="E35" s="19">
        <f>SUM(G35:Z35)</f>
        <v>1999.9999999999998</v>
      </c>
      <c r="F35" s="19"/>
      <c r="G35" s="19">
        <f>IF($E$30=0,0,$E$325*G30/$E$30)</f>
        <v>764.89930893592327</v>
      </c>
      <c r="H35" s="19">
        <f t="shared" ref="H35:Z35" si="4">IF($E$30=0,0,$E$325*H30/$E$30)</f>
        <v>1235.1006910640765</v>
      </c>
      <c r="I35" s="19">
        <f t="shared" si="4"/>
        <v>0</v>
      </c>
      <c r="J35" s="19">
        <f t="shared" si="4"/>
        <v>0</v>
      </c>
      <c r="K35" s="19">
        <f t="shared" si="4"/>
        <v>0</v>
      </c>
      <c r="L35" s="19">
        <f t="shared" si="4"/>
        <v>0</v>
      </c>
      <c r="M35" s="19">
        <f t="shared" si="4"/>
        <v>0</v>
      </c>
      <c r="N35" s="19">
        <f t="shared" si="4"/>
        <v>0</v>
      </c>
      <c r="O35" s="19">
        <f t="shared" si="4"/>
        <v>0</v>
      </c>
      <c r="P35" s="19">
        <f t="shared" si="4"/>
        <v>0</v>
      </c>
      <c r="Q35" s="19">
        <f t="shared" si="4"/>
        <v>0</v>
      </c>
      <c r="R35" s="19">
        <f t="shared" si="4"/>
        <v>0</v>
      </c>
      <c r="S35" s="19">
        <f t="shared" si="4"/>
        <v>0</v>
      </c>
      <c r="T35" s="19">
        <f t="shared" si="4"/>
        <v>0</v>
      </c>
      <c r="U35" s="19">
        <f t="shared" si="4"/>
        <v>0</v>
      </c>
      <c r="V35" s="19">
        <f t="shared" si="4"/>
        <v>0</v>
      </c>
      <c r="W35" s="19">
        <f t="shared" si="4"/>
        <v>0</v>
      </c>
      <c r="X35" s="19">
        <f t="shared" si="4"/>
        <v>0</v>
      </c>
      <c r="Y35" s="19">
        <f t="shared" si="4"/>
        <v>0</v>
      </c>
      <c r="Z35" s="19">
        <f t="shared" si="4"/>
        <v>0</v>
      </c>
      <c r="AA35" s="19"/>
      <c r="AB35" s="7"/>
    </row>
    <row r="36" spans="1:28" x14ac:dyDescent="0.2">
      <c r="A36" s="7"/>
      <c r="B36" s="29" t="s">
        <v>60</v>
      </c>
      <c r="C36" s="29"/>
      <c r="D36" s="29"/>
      <c r="E36" s="30">
        <f t="shared" si="1"/>
        <v>450796.06700000004</v>
      </c>
      <c r="F36" s="29"/>
      <c r="G36" s="30">
        <f>SUM(G29:G35)</f>
        <v>130086.51787522693</v>
      </c>
      <c r="H36" s="30">
        <f t="shared" ref="H36:Z36" si="5">SUM(H29:H35)</f>
        <v>305008.08892477315</v>
      </c>
      <c r="I36" s="30">
        <f t="shared" si="5"/>
        <v>15701.460199999998</v>
      </c>
      <c r="J36" s="30">
        <f t="shared" si="5"/>
        <v>0</v>
      </c>
      <c r="K36" s="30">
        <f t="shared" si="5"/>
        <v>0</v>
      </c>
      <c r="L36" s="30">
        <f t="shared" si="5"/>
        <v>0</v>
      </c>
      <c r="M36" s="30">
        <f t="shared" si="5"/>
        <v>0</v>
      </c>
      <c r="N36" s="30">
        <f t="shared" si="5"/>
        <v>0</v>
      </c>
      <c r="O36" s="30">
        <f t="shared" si="5"/>
        <v>0</v>
      </c>
      <c r="P36" s="30">
        <f t="shared" si="5"/>
        <v>0</v>
      </c>
      <c r="Q36" s="30">
        <f t="shared" si="5"/>
        <v>0</v>
      </c>
      <c r="R36" s="30">
        <f t="shared" si="5"/>
        <v>0</v>
      </c>
      <c r="S36" s="30">
        <f t="shared" si="5"/>
        <v>0</v>
      </c>
      <c r="T36" s="30">
        <f t="shared" si="5"/>
        <v>0</v>
      </c>
      <c r="U36" s="30">
        <f t="shared" si="5"/>
        <v>0</v>
      </c>
      <c r="V36" s="30">
        <f t="shared" si="5"/>
        <v>0</v>
      </c>
      <c r="W36" s="30">
        <f t="shared" si="5"/>
        <v>0</v>
      </c>
      <c r="X36" s="30">
        <f t="shared" si="5"/>
        <v>0</v>
      </c>
      <c r="Y36" s="30">
        <f t="shared" si="5"/>
        <v>0</v>
      </c>
      <c r="Z36" s="30">
        <f t="shared" si="5"/>
        <v>0</v>
      </c>
      <c r="AA36" s="30"/>
      <c r="AB36" s="7"/>
    </row>
    <row r="37" spans="1:28" x14ac:dyDescent="0.2">
      <c r="A37" s="7"/>
      <c r="B37" s="7"/>
      <c r="C37" s="7"/>
      <c r="D37" s="7"/>
      <c r="E37" s="7"/>
      <c r="F37" s="7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7"/>
    </row>
    <row r="38" spans="1:28" x14ac:dyDescent="0.2">
      <c r="A38" s="7"/>
      <c r="B38" s="24" t="s">
        <v>23</v>
      </c>
      <c r="C38" s="24"/>
      <c r="D38" s="24"/>
      <c r="E38" s="24"/>
      <c r="F38" s="24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7"/>
    </row>
    <row r="39" spans="1:28" x14ac:dyDescent="0.2">
      <c r="A39" s="7"/>
      <c r="B39" s="7"/>
      <c r="C39" s="7" t="s">
        <v>44</v>
      </c>
      <c r="D39" s="7"/>
      <c r="E39" s="7"/>
      <c r="F39" s="7"/>
      <c r="G39" s="33">
        <f t="shared" ref="G39:Z39" si="6">$E$13</f>
        <v>0.1</v>
      </c>
      <c r="H39" s="33">
        <f t="shared" si="6"/>
        <v>0.1</v>
      </c>
      <c r="I39" s="33">
        <f t="shared" si="6"/>
        <v>0.1</v>
      </c>
      <c r="J39" s="33">
        <f t="shared" si="6"/>
        <v>0.1</v>
      </c>
      <c r="K39" s="33">
        <f t="shared" si="6"/>
        <v>0.1</v>
      </c>
      <c r="L39" s="33">
        <f t="shared" si="6"/>
        <v>0.1</v>
      </c>
      <c r="M39" s="33">
        <f t="shared" si="6"/>
        <v>0.1</v>
      </c>
      <c r="N39" s="33">
        <f t="shared" si="6"/>
        <v>0.1</v>
      </c>
      <c r="O39" s="33">
        <f t="shared" si="6"/>
        <v>0.1</v>
      </c>
      <c r="P39" s="33">
        <f t="shared" si="6"/>
        <v>0.1</v>
      </c>
      <c r="Q39" s="33">
        <f t="shared" si="6"/>
        <v>0.1</v>
      </c>
      <c r="R39" s="33">
        <f t="shared" si="6"/>
        <v>0.1</v>
      </c>
      <c r="S39" s="33">
        <f t="shared" si="6"/>
        <v>0.1</v>
      </c>
      <c r="T39" s="33">
        <f t="shared" si="6"/>
        <v>0.1</v>
      </c>
      <c r="U39" s="33">
        <f t="shared" si="6"/>
        <v>0.1</v>
      </c>
      <c r="V39" s="33">
        <f t="shared" si="6"/>
        <v>0.1</v>
      </c>
      <c r="W39" s="33">
        <f t="shared" si="6"/>
        <v>0.1</v>
      </c>
      <c r="X39" s="33">
        <f t="shared" si="6"/>
        <v>0.1</v>
      </c>
      <c r="Y39" s="33">
        <f t="shared" si="6"/>
        <v>0.1</v>
      </c>
      <c r="Z39" s="33">
        <f t="shared" si="6"/>
        <v>0.1</v>
      </c>
      <c r="AA39" s="19"/>
      <c r="AB39" s="7"/>
    </row>
    <row r="40" spans="1:28" x14ac:dyDescent="0.2">
      <c r="A40" s="7"/>
      <c r="B40" s="7"/>
      <c r="C40" s="7" t="s">
        <v>61</v>
      </c>
      <c r="D40" s="7"/>
      <c r="E40" s="7"/>
      <c r="F40" s="7"/>
      <c r="G40" s="33">
        <f t="shared" ref="G40:Z40" si="7">$E$14</f>
        <v>5.6800000000000003E-2</v>
      </c>
      <c r="H40" s="33">
        <f t="shared" si="7"/>
        <v>5.6800000000000003E-2</v>
      </c>
      <c r="I40" s="33">
        <f t="shared" si="7"/>
        <v>5.6800000000000003E-2</v>
      </c>
      <c r="J40" s="33">
        <f t="shared" si="7"/>
        <v>5.6800000000000003E-2</v>
      </c>
      <c r="K40" s="33">
        <f t="shared" si="7"/>
        <v>5.6800000000000003E-2</v>
      </c>
      <c r="L40" s="33">
        <f t="shared" si="7"/>
        <v>5.6800000000000003E-2</v>
      </c>
      <c r="M40" s="33">
        <f t="shared" si="7"/>
        <v>5.6800000000000003E-2</v>
      </c>
      <c r="N40" s="33">
        <f t="shared" si="7"/>
        <v>5.6800000000000003E-2</v>
      </c>
      <c r="O40" s="33">
        <f t="shared" si="7"/>
        <v>5.6800000000000003E-2</v>
      </c>
      <c r="P40" s="33">
        <f t="shared" si="7"/>
        <v>5.6800000000000003E-2</v>
      </c>
      <c r="Q40" s="33">
        <f t="shared" si="7"/>
        <v>5.6800000000000003E-2</v>
      </c>
      <c r="R40" s="33">
        <f t="shared" si="7"/>
        <v>5.6800000000000003E-2</v>
      </c>
      <c r="S40" s="33">
        <f t="shared" si="7"/>
        <v>5.6800000000000003E-2</v>
      </c>
      <c r="T40" s="33">
        <f t="shared" si="7"/>
        <v>5.6800000000000003E-2</v>
      </c>
      <c r="U40" s="33">
        <f t="shared" si="7"/>
        <v>5.6800000000000003E-2</v>
      </c>
      <c r="V40" s="33">
        <f t="shared" si="7"/>
        <v>5.6800000000000003E-2</v>
      </c>
      <c r="W40" s="33">
        <f t="shared" si="7"/>
        <v>5.6800000000000003E-2</v>
      </c>
      <c r="X40" s="33">
        <f t="shared" si="7"/>
        <v>5.6800000000000003E-2</v>
      </c>
      <c r="Y40" s="33">
        <f t="shared" si="7"/>
        <v>5.6800000000000003E-2</v>
      </c>
      <c r="Z40" s="33">
        <f t="shared" si="7"/>
        <v>5.6800000000000003E-2</v>
      </c>
      <c r="AA40" s="19"/>
      <c r="AB40" s="7"/>
    </row>
    <row r="41" spans="1:28" x14ac:dyDescent="0.2">
      <c r="A41" s="7"/>
      <c r="B41" s="7"/>
      <c r="C41" s="7" t="s">
        <v>62</v>
      </c>
      <c r="D41" s="7"/>
      <c r="E41" s="7"/>
      <c r="F41" s="7"/>
      <c r="G41" s="33">
        <f t="shared" ref="G41:Z41" si="8">(1+G39)/(1+G40)-1</f>
        <v>4.0878122634367964E-2</v>
      </c>
      <c r="H41" s="33">
        <f t="shared" si="8"/>
        <v>4.0878122634367964E-2</v>
      </c>
      <c r="I41" s="33">
        <f t="shared" si="8"/>
        <v>4.0878122634367964E-2</v>
      </c>
      <c r="J41" s="33">
        <f t="shared" si="8"/>
        <v>4.0878122634367964E-2</v>
      </c>
      <c r="K41" s="33">
        <f t="shared" si="8"/>
        <v>4.0878122634367964E-2</v>
      </c>
      <c r="L41" s="33">
        <f t="shared" si="8"/>
        <v>4.0878122634367964E-2</v>
      </c>
      <c r="M41" s="33">
        <f t="shared" si="8"/>
        <v>4.0878122634367964E-2</v>
      </c>
      <c r="N41" s="33">
        <f t="shared" si="8"/>
        <v>4.0878122634367964E-2</v>
      </c>
      <c r="O41" s="33">
        <f t="shared" si="8"/>
        <v>4.0878122634367964E-2</v>
      </c>
      <c r="P41" s="33">
        <f t="shared" si="8"/>
        <v>4.0878122634367964E-2</v>
      </c>
      <c r="Q41" s="33">
        <f t="shared" si="8"/>
        <v>4.0878122634367964E-2</v>
      </c>
      <c r="R41" s="33">
        <f t="shared" si="8"/>
        <v>4.0878122634367964E-2</v>
      </c>
      <c r="S41" s="33">
        <f t="shared" si="8"/>
        <v>4.0878122634367964E-2</v>
      </c>
      <c r="T41" s="33">
        <f t="shared" si="8"/>
        <v>4.0878122634367964E-2</v>
      </c>
      <c r="U41" s="33">
        <f t="shared" si="8"/>
        <v>4.0878122634367964E-2</v>
      </c>
      <c r="V41" s="33">
        <f t="shared" si="8"/>
        <v>4.0878122634367964E-2</v>
      </c>
      <c r="W41" s="33">
        <f t="shared" si="8"/>
        <v>4.0878122634367964E-2</v>
      </c>
      <c r="X41" s="33">
        <f t="shared" si="8"/>
        <v>4.0878122634367964E-2</v>
      </c>
      <c r="Y41" s="33">
        <f t="shared" si="8"/>
        <v>4.0878122634367964E-2</v>
      </c>
      <c r="Z41" s="33">
        <f t="shared" si="8"/>
        <v>4.0878122634367964E-2</v>
      </c>
      <c r="AA41" s="19"/>
      <c r="AB41" s="7"/>
    </row>
    <row r="42" spans="1:28" x14ac:dyDescent="0.2">
      <c r="A42" s="7"/>
      <c r="B42" s="7"/>
      <c r="C42" s="7" t="s">
        <v>63</v>
      </c>
      <c r="D42" s="7"/>
      <c r="E42" s="7"/>
      <c r="F42" s="7"/>
      <c r="G42" s="19">
        <v>0</v>
      </c>
      <c r="H42" s="19">
        <f t="shared" ref="H42:Z42" si="9">G47</f>
        <v>60599.83827187572</v>
      </c>
      <c r="I42" s="19">
        <f t="shared" si="9"/>
        <v>202685.59137185197</v>
      </c>
      <c r="J42" s="19">
        <f t="shared" si="9"/>
        <v>210000</v>
      </c>
      <c r="K42" s="19">
        <f t="shared" si="9"/>
        <v>192500</v>
      </c>
      <c r="L42" s="19">
        <f t="shared" si="9"/>
        <v>175000</v>
      </c>
      <c r="M42" s="19">
        <f t="shared" si="9"/>
        <v>157500</v>
      </c>
      <c r="N42" s="19">
        <f t="shared" si="9"/>
        <v>140000</v>
      </c>
      <c r="O42" s="19">
        <f t="shared" si="9"/>
        <v>122499.99999999999</v>
      </c>
      <c r="P42" s="19">
        <f t="shared" si="9"/>
        <v>104999.99999999999</v>
      </c>
      <c r="Q42" s="19">
        <f t="shared" si="9"/>
        <v>87499.999999999985</v>
      </c>
      <c r="R42" s="19">
        <f t="shared" si="9"/>
        <v>69999.999999999985</v>
      </c>
      <c r="S42" s="19">
        <f t="shared" si="9"/>
        <v>52499.999999999985</v>
      </c>
      <c r="T42" s="19">
        <f t="shared" si="9"/>
        <v>34999.999999999985</v>
      </c>
      <c r="U42" s="19">
        <f t="shared" si="9"/>
        <v>17499.999999999985</v>
      </c>
      <c r="V42" s="19">
        <f t="shared" si="9"/>
        <v>0</v>
      </c>
      <c r="W42" s="19">
        <f t="shared" si="9"/>
        <v>0</v>
      </c>
      <c r="X42" s="19">
        <f t="shared" si="9"/>
        <v>0</v>
      </c>
      <c r="Y42" s="19">
        <f t="shared" si="9"/>
        <v>0</v>
      </c>
      <c r="Z42" s="19">
        <f t="shared" si="9"/>
        <v>0</v>
      </c>
      <c r="AA42" s="19"/>
      <c r="AB42" s="7"/>
    </row>
    <row r="43" spans="1:28" x14ac:dyDescent="0.2">
      <c r="A43" s="7"/>
      <c r="B43" s="7"/>
      <c r="C43" s="7" t="s">
        <v>64</v>
      </c>
      <c r="D43" s="7"/>
      <c r="E43" s="7"/>
      <c r="F43" s="7"/>
      <c r="G43" s="19">
        <f t="shared" ref="G43:Z43" si="10">G36*$E$12</f>
        <v>60599.83827187572</v>
      </c>
      <c r="H43" s="19">
        <f t="shared" si="10"/>
        <v>142085.75309997625</v>
      </c>
      <c r="I43" s="19">
        <f t="shared" si="10"/>
        <v>7314.408628148034</v>
      </c>
      <c r="J43" s="19">
        <f t="shared" si="10"/>
        <v>0</v>
      </c>
      <c r="K43" s="19">
        <f t="shared" si="10"/>
        <v>0</v>
      </c>
      <c r="L43" s="19">
        <f t="shared" si="10"/>
        <v>0</v>
      </c>
      <c r="M43" s="19">
        <f t="shared" si="10"/>
        <v>0</v>
      </c>
      <c r="N43" s="19">
        <f t="shared" si="10"/>
        <v>0</v>
      </c>
      <c r="O43" s="19">
        <f t="shared" si="10"/>
        <v>0</v>
      </c>
      <c r="P43" s="19">
        <f t="shared" si="10"/>
        <v>0</v>
      </c>
      <c r="Q43" s="19">
        <f t="shared" si="10"/>
        <v>0</v>
      </c>
      <c r="R43" s="19">
        <f t="shared" si="10"/>
        <v>0</v>
      </c>
      <c r="S43" s="19">
        <f t="shared" si="10"/>
        <v>0</v>
      </c>
      <c r="T43" s="19">
        <f t="shared" si="10"/>
        <v>0</v>
      </c>
      <c r="U43" s="19">
        <f t="shared" si="10"/>
        <v>0</v>
      </c>
      <c r="V43" s="19">
        <f t="shared" si="10"/>
        <v>0</v>
      </c>
      <c r="W43" s="19">
        <f t="shared" si="10"/>
        <v>0</v>
      </c>
      <c r="X43" s="19">
        <f t="shared" si="10"/>
        <v>0</v>
      </c>
      <c r="Y43" s="19">
        <f t="shared" si="10"/>
        <v>0</v>
      </c>
      <c r="Z43" s="19">
        <f t="shared" si="10"/>
        <v>0</v>
      </c>
      <c r="AA43" s="19"/>
      <c r="AB43" s="7"/>
    </row>
    <row r="44" spans="1:28" x14ac:dyDescent="0.2">
      <c r="A44" s="7"/>
      <c r="B44" s="7"/>
      <c r="C44" s="7" t="s">
        <v>27</v>
      </c>
      <c r="D44" s="7"/>
      <c r="E44" s="7"/>
      <c r="F44" s="7"/>
      <c r="G44" s="19">
        <f t="shared" ref="G44:Z44" si="11">G42*G41</f>
        <v>0</v>
      </c>
      <c r="H44" s="19">
        <f t="shared" si="11"/>
        <v>2477.207620500601</v>
      </c>
      <c r="I44" s="19">
        <f t="shared" si="11"/>
        <v>8285.4064603179577</v>
      </c>
      <c r="J44" s="19">
        <f t="shared" si="11"/>
        <v>8584.4057532172719</v>
      </c>
      <c r="K44" s="19">
        <f t="shared" si="11"/>
        <v>7869.0386071158327</v>
      </c>
      <c r="L44" s="19">
        <f t="shared" si="11"/>
        <v>7153.6714610143936</v>
      </c>
      <c r="M44" s="19">
        <f t="shared" si="11"/>
        <v>6438.3043149129544</v>
      </c>
      <c r="N44" s="19">
        <f t="shared" si="11"/>
        <v>5722.9371688115152</v>
      </c>
      <c r="O44" s="19">
        <f t="shared" si="11"/>
        <v>5007.5700227100751</v>
      </c>
      <c r="P44" s="19">
        <f t="shared" si="11"/>
        <v>4292.202876608636</v>
      </c>
      <c r="Q44" s="19">
        <f t="shared" si="11"/>
        <v>3576.8357305071963</v>
      </c>
      <c r="R44" s="19">
        <f t="shared" si="11"/>
        <v>2861.4685844057567</v>
      </c>
      <c r="S44" s="19">
        <f t="shared" si="11"/>
        <v>2146.1014383043175</v>
      </c>
      <c r="T44" s="19">
        <f t="shared" si="11"/>
        <v>1430.7342922028781</v>
      </c>
      <c r="U44" s="19">
        <f t="shared" si="11"/>
        <v>715.36714610143872</v>
      </c>
      <c r="V44" s="19">
        <f t="shared" si="11"/>
        <v>0</v>
      </c>
      <c r="W44" s="19">
        <f t="shared" si="11"/>
        <v>0</v>
      </c>
      <c r="X44" s="19">
        <f t="shared" si="11"/>
        <v>0</v>
      </c>
      <c r="Y44" s="19">
        <f t="shared" si="11"/>
        <v>0</v>
      </c>
      <c r="Z44" s="19">
        <f t="shared" si="11"/>
        <v>0</v>
      </c>
      <c r="AA44" s="19"/>
      <c r="AB44" s="7"/>
    </row>
    <row r="45" spans="1:28" x14ac:dyDescent="0.2">
      <c r="A45" s="7"/>
      <c r="B45" s="7"/>
      <c r="C45" s="7" t="s">
        <v>65</v>
      </c>
      <c r="D45" s="7"/>
      <c r="E45" s="7"/>
      <c r="F45" s="7"/>
      <c r="G45" s="19">
        <f t="shared" ref="G45:Z45" si="12">IF(G$6&gt;=$E$22,-MIN(G42,SUM($G$43:$Z$43)/$E$23),0)</f>
        <v>0</v>
      </c>
      <c r="H45" s="19">
        <f t="shared" si="12"/>
        <v>0</v>
      </c>
      <c r="I45" s="19">
        <f t="shared" si="12"/>
        <v>0</v>
      </c>
      <c r="J45" s="19">
        <f t="shared" si="12"/>
        <v>-17500</v>
      </c>
      <c r="K45" s="19">
        <f t="shared" si="12"/>
        <v>-17500</v>
      </c>
      <c r="L45" s="19">
        <f t="shared" si="12"/>
        <v>-17500</v>
      </c>
      <c r="M45" s="19">
        <f t="shared" si="12"/>
        <v>-17500</v>
      </c>
      <c r="N45" s="19">
        <f t="shared" si="12"/>
        <v>-17500</v>
      </c>
      <c r="O45" s="19">
        <f t="shared" si="12"/>
        <v>-17500</v>
      </c>
      <c r="P45" s="19">
        <f t="shared" si="12"/>
        <v>-17500</v>
      </c>
      <c r="Q45" s="19">
        <f t="shared" si="12"/>
        <v>-17500</v>
      </c>
      <c r="R45" s="19">
        <f t="shared" si="12"/>
        <v>-17500</v>
      </c>
      <c r="S45" s="19">
        <f t="shared" si="12"/>
        <v>-17500</v>
      </c>
      <c r="T45" s="19">
        <f t="shared" si="12"/>
        <v>-17500</v>
      </c>
      <c r="U45" s="19">
        <f t="shared" si="12"/>
        <v>-17499.999999999985</v>
      </c>
      <c r="V45" s="19">
        <f t="shared" si="12"/>
        <v>0</v>
      </c>
      <c r="W45" s="19">
        <f t="shared" si="12"/>
        <v>0</v>
      </c>
      <c r="X45" s="19">
        <f t="shared" si="12"/>
        <v>0</v>
      </c>
      <c r="Y45" s="19">
        <f t="shared" si="12"/>
        <v>0</v>
      </c>
      <c r="Z45" s="19">
        <f t="shared" si="12"/>
        <v>0</v>
      </c>
      <c r="AA45" s="19"/>
      <c r="AB45" s="7"/>
    </row>
    <row r="46" spans="1:28" x14ac:dyDescent="0.2">
      <c r="A46" s="7"/>
      <c r="B46" s="7"/>
      <c r="C46" s="7" t="s">
        <v>66</v>
      </c>
      <c r="D46" s="7"/>
      <c r="E46" s="7"/>
      <c r="F46" s="7"/>
      <c r="G46" s="19">
        <f t="shared" ref="G46:Z46" si="13">-G44</f>
        <v>0</v>
      </c>
      <c r="H46" s="19">
        <f t="shared" si="13"/>
        <v>-2477.207620500601</v>
      </c>
      <c r="I46" s="19">
        <f t="shared" si="13"/>
        <v>-8285.4064603179577</v>
      </c>
      <c r="J46" s="19">
        <f t="shared" si="13"/>
        <v>-8584.4057532172719</v>
      </c>
      <c r="K46" s="19">
        <f t="shared" si="13"/>
        <v>-7869.0386071158327</v>
      </c>
      <c r="L46" s="19">
        <f t="shared" si="13"/>
        <v>-7153.6714610143936</v>
      </c>
      <c r="M46" s="19">
        <f t="shared" si="13"/>
        <v>-6438.3043149129544</v>
      </c>
      <c r="N46" s="19">
        <f t="shared" si="13"/>
        <v>-5722.9371688115152</v>
      </c>
      <c r="O46" s="19">
        <f t="shared" si="13"/>
        <v>-5007.5700227100751</v>
      </c>
      <c r="P46" s="19">
        <f t="shared" si="13"/>
        <v>-4292.202876608636</v>
      </c>
      <c r="Q46" s="19">
        <f t="shared" si="13"/>
        <v>-3576.8357305071963</v>
      </c>
      <c r="R46" s="19">
        <f t="shared" si="13"/>
        <v>-2861.4685844057567</v>
      </c>
      <c r="S46" s="19">
        <f t="shared" si="13"/>
        <v>-2146.1014383043175</v>
      </c>
      <c r="T46" s="19">
        <f t="shared" si="13"/>
        <v>-1430.7342922028781</v>
      </c>
      <c r="U46" s="19">
        <f t="shared" si="13"/>
        <v>-715.36714610143872</v>
      </c>
      <c r="V46" s="19">
        <f t="shared" si="13"/>
        <v>0</v>
      </c>
      <c r="W46" s="19">
        <f t="shared" si="13"/>
        <v>0</v>
      </c>
      <c r="X46" s="19">
        <f t="shared" si="13"/>
        <v>0</v>
      </c>
      <c r="Y46" s="19">
        <f t="shared" si="13"/>
        <v>0</v>
      </c>
      <c r="Z46" s="19">
        <f t="shared" si="13"/>
        <v>0</v>
      </c>
      <c r="AA46" s="19"/>
      <c r="AB46" s="7"/>
    </row>
    <row r="47" spans="1:28" x14ac:dyDescent="0.2">
      <c r="A47" s="7"/>
      <c r="B47" s="29" t="s">
        <v>67</v>
      </c>
      <c r="C47" s="29"/>
      <c r="D47" s="29"/>
      <c r="E47" s="29"/>
      <c r="F47" s="29"/>
      <c r="G47" s="30">
        <f t="shared" ref="G47:Z47" si="14">G42+G43+G44+G45+G46</f>
        <v>60599.83827187572</v>
      </c>
      <c r="H47" s="30">
        <f t="shared" si="14"/>
        <v>202685.59137185197</v>
      </c>
      <c r="I47" s="30">
        <f t="shared" si="14"/>
        <v>210000</v>
      </c>
      <c r="J47" s="30">
        <f t="shared" si="14"/>
        <v>192500</v>
      </c>
      <c r="K47" s="30">
        <f t="shared" si="14"/>
        <v>175000</v>
      </c>
      <c r="L47" s="30">
        <f t="shared" si="14"/>
        <v>157500</v>
      </c>
      <c r="M47" s="30">
        <f t="shared" si="14"/>
        <v>140000</v>
      </c>
      <c r="N47" s="30">
        <f t="shared" si="14"/>
        <v>122499.99999999999</v>
      </c>
      <c r="O47" s="30">
        <f t="shared" si="14"/>
        <v>104999.99999999999</v>
      </c>
      <c r="P47" s="30">
        <f t="shared" si="14"/>
        <v>87499.999999999985</v>
      </c>
      <c r="Q47" s="30">
        <f t="shared" si="14"/>
        <v>69999.999999999985</v>
      </c>
      <c r="R47" s="30">
        <f t="shared" si="14"/>
        <v>52499.999999999985</v>
      </c>
      <c r="S47" s="30">
        <f t="shared" si="14"/>
        <v>34999.999999999985</v>
      </c>
      <c r="T47" s="30">
        <f t="shared" si="14"/>
        <v>17499.999999999985</v>
      </c>
      <c r="U47" s="30">
        <f t="shared" si="14"/>
        <v>0</v>
      </c>
      <c r="V47" s="30">
        <f t="shared" si="14"/>
        <v>0</v>
      </c>
      <c r="W47" s="30">
        <f t="shared" si="14"/>
        <v>0</v>
      </c>
      <c r="X47" s="30">
        <f t="shared" si="14"/>
        <v>0</v>
      </c>
      <c r="Y47" s="30">
        <f t="shared" si="14"/>
        <v>0</v>
      </c>
      <c r="Z47" s="30">
        <f t="shared" si="14"/>
        <v>0</v>
      </c>
      <c r="AA47" s="30"/>
      <c r="AB47" s="7"/>
    </row>
    <row r="48" spans="1:28" x14ac:dyDescent="0.2">
      <c r="A48" s="7"/>
      <c r="B48" s="7"/>
      <c r="C48" s="7" t="s">
        <v>68</v>
      </c>
      <c r="D48" s="7"/>
      <c r="E48" s="7"/>
      <c r="F48" s="7"/>
      <c r="G48" s="19">
        <f>$E$17</f>
        <v>10</v>
      </c>
      <c r="H48" s="19">
        <f t="shared" ref="H48:Z48" si="15">G48*(1+H49)</f>
        <v>25</v>
      </c>
      <c r="I48" s="19">
        <f t="shared" si="15"/>
        <v>25</v>
      </c>
      <c r="J48" s="19">
        <f t="shared" si="15"/>
        <v>25</v>
      </c>
      <c r="K48" s="19">
        <f t="shared" si="15"/>
        <v>25</v>
      </c>
      <c r="L48" s="19">
        <f t="shared" si="15"/>
        <v>25</v>
      </c>
      <c r="M48" s="19">
        <f t="shared" si="15"/>
        <v>25</v>
      </c>
      <c r="N48" s="19">
        <f t="shared" si="15"/>
        <v>25</v>
      </c>
      <c r="O48" s="19">
        <f t="shared" si="15"/>
        <v>25</v>
      </c>
      <c r="P48" s="19">
        <f t="shared" si="15"/>
        <v>25</v>
      </c>
      <c r="Q48" s="19">
        <f t="shared" si="15"/>
        <v>25</v>
      </c>
      <c r="R48" s="19">
        <f t="shared" si="15"/>
        <v>25</v>
      </c>
      <c r="S48" s="19">
        <f t="shared" si="15"/>
        <v>25</v>
      </c>
      <c r="T48" s="19">
        <f t="shared" si="15"/>
        <v>25</v>
      </c>
      <c r="U48" s="19">
        <f t="shared" si="15"/>
        <v>25</v>
      </c>
      <c r="V48" s="19">
        <f t="shared" si="15"/>
        <v>25</v>
      </c>
      <c r="W48" s="19">
        <f t="shared" si="15"/>
        <v>25</v>
      </c>
      <c r="X48" s="19">
        <f t="shared" si="15"/>
        <v>25</v>
      </c>
      <c r="Y48" s="19">
        <f t="shared" si="15"/>
        <v>25</v>
      </c>
      <c r="Z48" s="19">
        <f t="shared" si="15"/>
        <v>25</v>
      </c>
      <c r="AA48" s="19"/>
      <c r="AB48" s="7"/>
    </row>
    <row r="49" spans="1:28" x14ac:dyDescent="0.2">
      <c r="A49" s="7"/>
      <c r="B49" s="7"/>
      <c r="C49" s="7" t="s">
        <v>69</v>
      </c>
      <c r="D49" s="7"/>
      <c r="E49" s="7"/>
      <c r="F49" s="7"/>
      <c r="G49" s="35" t="s">
        <v>0</v>
      </c>
      <c r="H49" s="34">
        <v>1.5</v>
      </c>
      <c r="I49" s="34">
        <v>0</v>
      </c>
      <c r="J49" s="34">
        <v>0</v>
      </c>
      <c r="K49" s="34">
        <v>0</v>
      </c>
      <c r="L49" s="34">
        <v>0</v>
      </c>
      <c r="M49" s="34">
        <v>0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0</v>
      </c>
      <c r="T49" s="34">
        <v>0</v>
      </c>
      <c r="U49" s="34">
        <v>0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19"/>
      <c r="AB49" s="7"/>
    </row>
    <row r="50" spans="1:28" x14ac:dyDescent="0.2">
      <c r="A50" s="7"/>
      <c r="B50" s="7"/>
      <c r="C50" s="7" t="s">
        <v>70</v>
      </c>
      <c r="D50" s="7"/>
      <c r="E50" s="7"/>
      <c r="F50" s="7"/>
      <c r="G50" s="19">
        <f>$E$16</f>
        <v>15000</v>
      </c>
      <c r="H50" s="19">
        <f t="shared" ref="H50:Z50" si="16">MAX(G54,0)</f>
        <v>15684</v>
      </c>
      <c r="I50" s="19">
        <f t="shared" si="16"/>
        <v>13921.792379499399</v>
      </c>
      <c r="J50" s="19">
        <f t="shared" si="16"/>
        <v>6271.3859191814408</v>
      </c>
      <c r="K50" s="19">
        <f t="shared" si="16"/>
        <v>0</v>
      </c>
      <c r="L50" s="19">
        <f t="shared" si="16"/>
        <v>0</v>
      </c>
      <c r="M50" s="19">
        <f t="shared" si="16"/>
        <v>0</v>
      </c>
      <c r="N50" s="19">
        <f t="shared" si="16"/>
        <v>0</v>
      </c>
      <c r="O50" s="19">
        <f t="shared" si="16"/>
        <v>0</v>
      </c>
      <c r="P50" s="19">
        <f t="shared" si="16"/>
        <v>0</v>
      </c>
      <c r="Q50" s="19">
        <f t="shared" si="16"/>
        <v>0</v>
      </c>
      <c r="R50" s="19">
        <f t="shared" si="16"/>
        <v>0</v>
      </c>
      <c r="S50" s="19">
        <f t="shared" si="16"/>
        <v>0</v>
      </c>
      <c r="T50" s="19">
        <f t="shared" si="16"/>
        <v>0</v>
      </c>
      <c r="U50" s="19">
        <f t="shared" si="16"/>
        <v>0</v>
      </c>
      <c r="V50" s="19">
        <f t="shared" si="16"/>
        <v>0</v>
      </c>
      <c r="W50" s="19">
        <f t="shared" si="16"/>
        <v>0</v>
      </c>
      <c r="X50" s="19">
        <f t="shared" si="16"/>
        <v>0</v>
      </c>
      <c r="Y50" s="19">
        <f t="shared" si="16"/>
        <v>0</v>
      </c>
      <c r="Z50" s="19">
        <f t="shared" si="16"/>
        <v>0</v>
      </c>
      <c r="AA50" s="19"/>
      <c r="AB50" s="7"/>
    </row>
    <row r="51" spans="1:28" x14ac:dyDescent="0.2">
      <c r="A51" s="7"/>
      <c r="B51" s="7"/>
      <c r="C51" s="7" t="s">
        <v>71</v>
      </c>
      <c r="D51" s="7"/>
      <c r="E51" s="7"/>
      <c r="F51" s="7"/>
      <c r="G51" s="19">
        <f>$E$16</f>
        <v>15000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/>
      <c r="AB51" s="7"/>
    </row>
    <row r="52" spans="1:28" x14ac:dyDescent="0.2">
      <c r="A52" s="7"/>
      <c r="B52" s="7"/>
      <c r="C52" s="7" t="s">
        <v>72</v>
      </c>
      <c r="D52" s="7"/>
      <c r="E52" s="7"/>
      <c r="F52" s="7"/>
      <c r="G52" s="19">
        <f t="shared" ref="G52:Z52" si="17">ROUND(G50*((1+$E$15)/(1+G40)-1),0)</f>
        <v>684</v>
      </c>
      <c r="H52" s="19">
        <f t="shared" si="17"/>
        <v>715</v>
      </c>
      <c r="I52" s="19">
        <f t="shared" si="17"/>
        <v>635</v>
      </c>
      <c r="J52" s="19">
        <f t="shared" si="17"/>
        <v>286</v>
      </c>
      <c r="K52" s="19">
        <f t="shared" si="17"/>
        <v>0</v>
      </c>
      <c r="L52" s="19">
        <f t="shared" si="17"/>
        <v>0</v>
      </c>
      <c r="M52" s="19">
        <f t="shared" si="17"/>
        <v>0</v>
      </c>
      <c r="N52" s="19">
        <f t="shared" si="17"/>
        <v>0</v>
      </c>
      <c r="O52" s="19">
        <f t="shared" si="17"/>
        <v>0</v>
      </c>
      <c r="P52" s="19">
        <f t="shared" si="17"/>
        <v>0</v>
      </c>
      <c r="Q52" s="19">
        <f t="shared" si="17"/>
        <v>0</v>
      </c>
      <c r="R52" s="19">
        <f t="shared" si="17"/>
        <v>0</v>
      </c>
      <c r="S52" s="19">
        <f t="shared" si="17"/>
        <v>0</v>
      </c>
      <c r="T52" s="19">
        <f t="shared" si="17"/>
        <v>0</v>
      </c>
      <c r="U52" s="19">
        <f t="shared" si="17"/>
        <v>0</v>
      </c>
      <c r="V52" s="19">
        <f t="shared" si="17"/>
        <v>0</v>
      </c>
      <c r="W52" s="19">
        <f t="shared" si="17"/>
        <v>0</v>
      </c>
      <c r="X52" s="19">
        <f t="shared" si="17"/>
        <v>0</v>
      </c>
      <c r="Y52" s="19">
        <f t="shared" si="17"/>
        <v>0</v>
      </c>
      <c r="Z52" s="19">
        <f t="shared" si="17"/>
        <v>0</v>
      </c>
      <c r="AA52" s="19"/>
      <c r="AB52" s="7"/>
    </row>
    <row r="53" spans="1:28" x14ac:dyDescent="0.2">
      <c r="A53" s="7"/>
      <c r="B53" s="7"/>
      <c r="C53" s="7" t="s">
        <v>73</v>
      </c>
      <c r="D53" s="7"/>
      <c r="E53" s="7"/>
      <c r="F53" s="7"/>
      <c r="G53" s="19">
        <f t="shared" ref="G53:Z53" si="18">-MIN(-G46,(G50+G52))</f>
        <v>0</v>
      </c>
      <c r="H53" s="19">
        <f t="shared" si="18"/>
        <v>-2477.207620500601</v>
      </c>
      <c r="I53" s="19">
        <f t="shared" si="18"/>
        <v>-8285.4064603179577</v>
      </c>
      <c r="J53" s="19">
        <f t="shared" si="18"/>
        <v>-6557.3859191814408</v>
      </c>
      <c r="K53" s="19">
        <f t="shared" si="18"/>
        <v>0</v>
      </c>
      <c r="L53" s="19">
        <f t="shared" si="18"/>
        <v>0</v>
      </c>
      <c r="M53" s="19">
        <f t="shared" si="18"/>
        <v>0</v>
      </c>
      <c r="N53" s="19">
        <f t="shared" si="18"/>
        <v>0</v>
      </c>
      <c r="O53" s="19">
        <f t="shared" si="18"/>
        <v>0</v>
      </c>
      <c r="P53" s="19">
        <f t="shared" si="18"/>
        <v>0</v>
      </c>
      <c r="Q53" s="19">
        <f t="shared" si="18"/>
        <v>0</v>
      </c>
      <c r="R53" s="19">
        <f t="shared" si="18"/>
        <v>0</v>
      </c>
      <c r="S53" s="19">
        <f t="shared" si="18"/>
        <v>0</v>
      </c>
      <c r="T53" s="19">
        <f t="shared" si="18"/>
        <v>0</v>
      </c>
      <c r="U53" s="19">
        <f t="shared" si="18"/>
        <v>0</v>
      </c>
      <c r="V53" s="19">
        <f t="shared" si="18"/>
        <v>0</v>
      </c>
      <c r="W53" s="19">
        <f t="shared" si="18"/>
        <v>0</v>
      </c>
      <c r="X53" s="19">
        <f t="shared" si="18"/>
        <v>0</v>
      </c>
      <c r="Y53" s="19">
        <f t="shared" si="18"/>
        <v>0</v>
      </c>
      <c r="Z53" s="19">
        <f t="shared" si="18"/>
        <v>0</v>
      </c>
      <c r="AA53" s="19"/>
      <c r="AB53" s="7"/>
    </row>
    <row r="54" spans="1:28" x14ac:dyDescent="0.2">
      <c r="A54" s="7"/>
      <c r="B54" s="29" t="s">
        <v>34</v>
      </c>
      <c r="C54" s="29"/>
      <c r="D54" s="29"/>
      <c r="E54" s="29"/>
      <c r="F54" s="29"/>
      <c r="G54" s="30">
        <f t="shared" ref="G54:Z54" si="19">MAX(G50+G52+G53,0)</f>
        <v>15684</v>
      </c>
      <c r="H54" s="30">
        <f t="shared" si="19"/>
        <v>13921.792379499399</v>
      </c>
      <c r="I54" s="30">
        <f t="shared" si="19"/>
        <v>6271.3859191814408</v>
      </c>
      <c r="J54" s="30">
        <f t="shared" si="19"/>
        <v>0</v>
      </c>
      <c r="K54" s="30">
        <f t="shared" si="19"/>
        <v>0</v>
      </c>
      <c r="L54" s="30">
        <f t="shared" si="19"/>
        <v>0</v>
      </c>
      <c r="M54" s="30">
        <f t="shared" si="19"/>
        <v>0</v>
      </c>
      <c r="N54" s="30">
        <f t="shared" si="19"/>
        <v>0</v>
      </c>
      <c r="O54" s="30">
        <f t="shared" si="19"/>
        <v>0</v>
      </c>
      <c r="P54" s="30">
        <f t="shared" si="19"/>
        <v>0</v>
      </c>
      <c r="Q54" s="30">
        <f t="shared" si="19"/>
        <v>0</v>
      </c>
      <c r="R54" s="30">
        <f t="shared" si="19"/>
        <v>0</v>
      </c>
      <c r="S54" s="30">
        <f t="shared" si="19"/>
        <v>0</v>
      </c>
      <c r="T54" s="30">
        <f t="shared" si="19"/>
        <v>0</v>
      </c>
      <c r="U54" s="30">
        <f t="shared" si="19"/>
        <v>0</v>
      </c>
      <c r="V54" s="30">
        <f t="shared" si="19"/>
        <v>0</v>
      </c>
      <c r="W54" s="30">
        <f t="shared" si="19"/>
        <v>0</v>
      </c>
      <c r="X54" s="30">
        <f t="shared" si="19"/>
        <v>0</v>
      </c>
      <c r="Y54" s="30">
        <f t="shared" si="19"/>
        <v>0</v>
      </c>
      <c r="Z54" s="30">
        <f t="shared" si="19"/>
        <v>0</v>
      </c>
      <c r="AA54" s="30"/>
      <c r="AB54" s="7"/>
    </row>
    <row r="55" spans="1:28" x14ac:dyDescent="0.2">
      <c r="A55" s="7"/>
      <c r="B55" s="7"/>
      <c r="C55" s="7"/>
      <c r="D55" s="7"/>
      <c r="E55" s="7"/>
      <c r="F55" s="7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7"/>
    </row>
    <row r="56" spans="1:28" x14ac:dyDescent="0.2">
      <c r="A56" s="7"/>
      <c r="B56" s="24" t="s">
        <v>74</v>
      </c>
      <c r="C56" s="24"/>
      <c r="D56" s="24"/>
      <c r="E56" s="24"/>
      <c r="F56" s="24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7"/>
    </row>
    <row r="57" spans="1:28" x14ac:dyDescent="0.2">
      <c r="A57" s="7"/>
      <c r="B57" s="29" t="s">
        <v>3</v>
      </c>
      <c r="C57" s="29"/>
      <c r="D57" s="29"/>
      <c r="E57" s="29"/>
      <c r="F57" s="29"/>
      <c r="G57" s="30">
        <f t="shared" ref="G57:Z57" si="20">SUM(G58:G59)</f>
        <v>0</v>
      </c>
      <c r="H57" s="30">
        <f t="shared" si="20"/>
        <v>30000</v>
      </c>
      <c r="I57" s="30">
        <f t="shared" si="20"/>
        <v>28500</v>
      </c>
      <c r="J57" s="30">
        <f t="shared" si="20"/>
        <v>29500</v>
      </c>
      <c r="K57" s="30">
        <f t="shared" si="20"/>
        <v>32000</v>
      </c>
      <c r="L57" s="30">
        <f t="shared" si="20"/>
        <v>43000</v>
      </c>
      <c r="M57" s="30">
        <f t="shared" si="20"/>
        <v>43000</v>
      </c>
      <c r="N57" s="30">
        <f t="shared" si="20"/>
        <v>44500</v>
      </c>
      <c r="O57" s="30">
        <f t="shared" si="20"/>
        <v>44500</v>
      </c>
      <c r="P57" s="30">
        <f t="shared" si="20"/>
        <v>44500</v>
      </c>
      <c r="Q57" s="30">
        <f t="shared" si="20"/>
        <v>44500</v>
      </c>
      <c r="R57" s="30">
        <f t="shared" si="20"/>
        <v>44500</v>
      </c>
      <c r="S57" s="30">
        <f t="shared" si="20"/>
        <v>44500</v>
      </c>
      <c r="T57" s="30">
        <f t="shared" si="20"/>
        <v>44500</v>
      </c>
      <c r="U57" s="30">
        <f t="shared" si="20"/>
        <v>44500</v>
      </c>
      <c r="V57" s="30">
        <f t="shared" si="20"/>
        <v>44500</v>
      </c>
      <c r="W57" s="30">
        <f t="shared" si="20"/>
        <v>44500</v>
      </c>
      <c r="X57" s="30">
        <f t="shared" si="20"/>
        <v>44500</v>
      </c>
      <c r="Y57" s="30">
        <f t="shared" si="20"/>
        <v>44500</v>
      </c>
      <c r="Z57" s="30">
        <f t="shared" si="20"/>
        <v>44500</v>
      </c>
      <c r="AA57" s="30"/>
      <c r="AB57" s="7"/>
    </row>
    <row r="58" spans="1:28" x14ac:dyDescent="0.2">
      <c r="A58" s="7"/>
      <c r="B58" s="7"/>
      <c r="C58" s="7" t="s">
        <v>75</v>
      </c>
      <c r="D58" s="7"/>
      <c r="E58" s="7"/>
      <c r="F58" s="7"/>
      <c r="G58" s="19">
        <v>0</v>
      </c>
      <c r="H58" s="19">
        <f>$E$10</f>
        <v>30000</v>
      </c>
      <c r="I58" s="19">
        <f>$E$9-$H$58/3</f>
        <v>21000</v>
      </c>
      <c r="J58" s="19">
        <f>$E$9-$H$58/3</f>
        <v>21000</v>
      </c>
      <c r="K58" s="19">
        <f>$E$9-$H$58/3</f>
        <v>21000</v>
      </c>
      <c r="L58" s="19">
        <f t="shared" ref="L58:Z58" si="21">$E$9</f>
        <v>31000</v>
      </c>
      <c r="M58" s="19">
        <f t="shared" si="21"/>
        <v>31000</v>
      </c>
      <c r="N58" s="19">
        <f t="shared" si="21"/>
        <v>31000</v>
      </c>
      <c r="O58" s="19">
        <f t="shared" si="21"/>
        <v>31000</v>
      </c>
      <c r="P58" s="19">
        <f t="shared" si="21"/>
        <v>31000</v>
      </c>
      <c r="Q58" s="19">
        <f t="shared" si="21"/>
        <v>31000</v>
      </c>
      <c r="R58" s="19">
        <f t="shared" si="21"/>
        <v>31000</v>
      </c>
      <c r="S58" s="19">
        <f t="shared" si="21"/>
        <v>31000</v>
      </c>
      <c r="T58" s="19">
        <f t="shared" si="21"/>
        <v>31000</v>
      </c>
      <c r="U58" s="19">
        <f t="shared" si="21"/>
        <v>31000</v>
      </c>
      <c r="V58" s="19">
        <f t="shared" si="21"/>
        <v>31000</v>
      </c>
      <c r="W58" s="19">
        <f t="shared" si="21"/>
        <v>31000</v>
      </c>
      <c r="X58" s="19">
        <f t="shared" si="21"/>
        <v>31000</v>
      </c>
      <c r="Y58" s="19">
        <f t="shared" si="21"/>
        <v>31000</v>
      </c>
      <c r="Z58" s="19">
        <f t="shared" si="21"/>
        <v>31000</v>
      </c>
      <c r="AA58" s="19"/>
      <c r="AB58" s="7"/>
    </row>
    <row r="59" spans="1:28" x14ac:dyDescent="0.2">
      <c r="A59" s="7"/>
      <c r="B59" s="7"/>
      <c r="C59" s="7" t="s">
        <v>76</v>
      </c>
      <c r="D59" s="7"/>
      <c r="E59" s="7"/>
      <c r="F59" s="7"/>
      <c r="G59" s="19">
        <v>0</v>
      </c>
      <c r="H59" s="19">
        <v>0</v>
      </c>
      <c r="I59" s="19">
        <f t="shared" ref="I59:Z59" si="22">VLOOKUP(ROUND(I60,2),$E$230:$H$280,4,TRUE)/1000</f>
        <v>7500</v>
      </c>
      <c r="J59" s="19">
        <f t="shared" si="22"/>
        <v>8500</v>
      </c>
      <c r="K59" s="19">
        <f t="shared" si="22"/>
        <v>11000</v>
      </c>
      <c r="L59" s="19">
        <f t="shared" si="22"/>
        <v>12000</v>
      </c>
      <c r="M59" s="19">
        <f t="shared" si="22"/>
        <v>12000</v>
      </c>
      <c r="N59" s="19">
        <f t="shared" si="22"/>
        <v>13500</v>
      </c>
      <c r="O59" s="19">
        <f t="shared" si="22"/>
        <v>13500</v>
      </c>
      <c r="P59" s="19">
        <f t="shared" si="22"/>
        <v>13500</v>
      </c>
      <c r="Q59" s="19">
        <f t="shared" si="22"/>
        <v>13500</v>
      </c>
      <c r="R59" s="19">
        <f t="shared" si="22"/>
        <v>13500</v>
      </c>
      <c r="S59" s="19">
        <f t="shared" si="22"/>
        <v>13500</v>
      </c>
      <c r="T59" s="19">
        <f t="shared" si="22"/>
        <v>13500</v>
      </c>
      <c r="U59" s="19">
        <f t="shared" si="22"/>
        <v>13500</v>
      </c>
      <c r="V59" s="19">
        <f t="shared" si="22"/>
        <v>13500</v>
      </c>
      <c r="W59" s="19">
        <f t="shared" si="22"/>
        <v>13500</v>
      </c>
      <c r="X59" s="19">
        <f t="shared" si="22"/>
        <v>13500</v>
      </c>
      <c r="Y59" s="19">
        <f t="shared" si="22"/>
        <v>13500</v>
      </c>
      <c r="Z59" s="19">
        <f t="shared" si="22"/>
        <v>13500</v>
      </c>
      <c r="AA59" s="19"/>
      <c r="AB59" s="7"/>
    </row>
    <row r="60" spans="1:28" x14ac:dyDescent="0.2">
      <c r="A60" s="7"/>
      <c r="B60" s="7"/>
      <c r="C60" s="7" t="s">
        <v>77</v>
      </c>
      <c r="D60" s="7"/>
      <c r="E60" s="7"/>
      <c r="F60" s="7"/>
      <c r="G60" s="34">
        <v>0</v>
      </c>
      <c r="H60" s="34">
        <v>0</v>
      </c>
      <c r="I60" s="34">
        <v>0.68</v>
      </c>
      <c r="J60" s="34">
        <v>0.7</v>
      </c>
      <c r="K60" s="34">
        <v>0.75</v>
      </c>
      <c r="L60" s="34">
        <v>0.77</v>
      </c>
      <c r="M60" s="34">
        <v>0.77</v>
      </c>
      <c r="N60" s="34">
        <v>0.8</v>
      </c>
      <c r="O60" s="34">
        <v>0.8</v>
      </c>
      <c r="P60" s="34">
        <v>0.8</v>
      </c>
      <c r="Q60" s="34">
        <v>0.8</v>
      </c>
      <c r="R60" s="34">
        <v>0.8</v>
      </c>
      <c r="S60" s="34">
        <v>0.8</v>
      </c>
      <c r="T60" s="34">
        <v>0.8</v>
      </c>
      <c r="U60" s="34">
        <v>0.8</v>
      </c>
      <c r="V60" s="34">
        <v>0.8</v>
      </c>
      <c r="W60" s="34">
        <v>0.8</v>
      </c>
      <c r="X60" s="34">
        <v>0.8</v>
      </c>
      <c r="Y60" s="34">
        <v>0.8</v>
      </c>
      <c r="Z60" s="34">
        <v>0.8</v>
      </c>
      <c r="AA60" s="19"/>
      <c r="AB60" s="7"/>
    </row>
    <row r="61" spans="1:28" x14ac:dyDescent="0.2">
      <c r="A61" s="7"/>
      <c r="B61" s="29" t="s">
        <v>6</v>
      </c>
      <c r="C61" s="29"/>
      <c r="D61" s="29"/>
      <c r="E61" s="29"/>
      <c r="F61" s="29"/>
      <c r="G61" s="30">
        <f t="shared" ref="G61:Z61" si="23">SUM(G62:G63)</f>
        <v>0</v>
      </c>
      <c r="H61" s="30">
        <f t="shared" si="23"/>
        <v>-1095</v>
      </c>
      <c r="I61" s="30">
        <f t="shared" si="23"/>
        <v>-1040.25</v>
      </c>
      <c r="J61" s="30">
        <f t="shared" si="23"/>
        <v>-1076.75</v>
      </c>
      <c r="K61" s="30">
        <f t="shared" si="23"/>
        <v>-1168</v>
      </c>
      <c r="L61" s="30">
        <f t="shared" si="23"/>
        <v>-1569.5</v>
      </c>
      <c r="M61" s="30">
        <f t="shared" si="23"/>
        <v>-1569.5</v>
      </c>
      <c r="N61" s="30">
        <f t="shared" si="23"/>
        <v>-1624.25</v>
      </c>
      <c r="O61" s="30">
        <f t="shared" si="23"/>
        <v>-1624.25</v>
      </c>
      <c r="P61" s="30">
        <f t="shared" si="23"/>
        <v>-1624.25</v>
      </c>
      <c r="Q61" s="30">
        <f t="shared" si="23"/>
        <v>-1624.25</v>
      </c>
      <c r="R61" s="30">
        <f t="shared" si="23"/>
        <v>-1624.25</v>
      </c>
      <c r="S61" s="30">
        <f t="shared" si="23"/>
        <v>-1624.25</v>
      </c>
      <c r="T61" s="30">
        <f t="shared" si="23"/>
        <v>-1624.25</v>
      </c>
      <c r="U61" s="30">
        <f t="shared" si="23"/>
        <v>-1624.25</v>
      </c>
      <c r="V61" s="30">
        <f t="shared" si="23"/>
        <v>-1624.25</v>
      </c>
      <c r="W61" s="30">
        <f t="shared" si="23"/>
        <v>-1624.25</v>
      </c>
      <c r="X61" s="30">
        <f t="shared" si="23"/>
        <v>-1624.25</v>
      </c>
      <c r="Y61" s="30">
        <f t="shared" si="23"/>
        <v>-1624.25</v>
      </c>
      <c r="Z61" s="30">
        <f t="shared" si="23"/>
        <v>-1624.25</v>
      </c>
      <c r="AA61" s="30"/>
      <c r="AB61" s="7"/>
    </row>
    <row r="62" spans="1:28" x14ac:dyDescent="0.2">
      <c r="A62" s="7"/>
      <c r="B62" s="7"/>
      <c r="C62" s="7" t="str">
        <f>IF($E$24="Actual Profit (Lucro Real)","PIS - 1.65%","PIS - 0.65%")</f>
        <v>PIS - 0,65%</v>
      </c>
      <c r="D62" s="7"/>
      <c r="E62" s="7"/>
      <c r="F62" s="7"/>
      <c r="G62" s="19">
        <f t="shared" ref="G62:Z62" si="24">IF($E$24="Actual Profit (Lucro Real)",-G57*1.65%,-G57*0.65%)</f>
        <v>0</v>
      </c>
      <c r="H62" s="19">
        <f t="shared" si="24"/>
        <v>-195.00000000000003</v>
      </c>
      <c r="I62" s="19">
        <f t="shared" si="24"/>
        <v>-185.25000000000003</v>
      </c>
      <c r="J62" s="19">
        <f t="shared" si="24"/>
        <v>-191.75000000000003</v>
      </c>
      <c r="K62" s="19">
        <f t="shared" si="24"/>
        <v>-208.00000000000003</v>
      </c>
      <c r="L62" s="19">
        <f t="shared" si="24"/>
        <v>-279.5</v>
      </c>
      <c r="M62" s="19">
        <f t="shared" si="24"/>
        <v>-279.5</v>
      </c>
      <c r="N62" s="19">
        <f t="shared" si="24"/>
        <v>-289.25</v>
      </c>
      <c r="O62" s="19">
        <f t="shared" si="24"/>
        <v>-289.25</v>
      </c>
      <c r="P62" s="19">
        <f t="shared" si="24"/>
        <v>-289.25</v>
      </c>
      <c r="Q62" s="19">
        <f t="shared" si="24"/>
        <v>-289.25</v>
      </c>
      <c r="R62" s="19">
        <f t="shared" si="24"/>
        <v>-289.25</v>
      </c>
      <c r="S62" s="19">
        <f t="shared" si="24"/>
        <v>-289.25</v>
      </c>
      <c r="T62" s="19">
        <f t="shared" si="24"/>
        <v>-289.25</v>
      </c>
      <c r="U62" s="19">
        <f t="shared" si="24"/>
        <v>-289.25</v>
      </c>
      <c r="V62" s="19">
        <f t="shared" si="24"/>
        <v>-289.25</v>
      </c>
      <c r="W62" s="19">
        <f t="shared" si="24"/>
        <v>-289.25</v>
      </c>
      <c r="X62" s="19">
        <f t="shared" si="24"/>
        <v>-289.25</v>
      </c>
      <c r="Y62" s="19">
        <f t="shared" si="24"/>
        <v>-289.25</v>
      </c>
      <c r="Z62" s="19">
        <f t="shared" si="24"/>
        <v>-289.25</v>
      </c>
      <c r="AA62" s="19"/>
      <c r="AB62" s="7"/>
    </row>
    <row r="63" spans="1:28" x14ac:dyDescent="0.2">
      <c r="A63" s="7"/>
      <c r="B63" s="7"/>
      <c r="C63" s="7" t="str">
        <f>IF($E$24="Actual Profit (Lucro Real)","COFINS - 7.60%","COFINS - 3.00%")</f>
        <v>COFINS - 3,00%</v>
      </c>
      <c r="D63" s="7"/>
      <c r="E63" s="7"/>
      <c r="F63" s="7"/>
      <c r="G63" s="19">
        <f t="shared" ref="G63:Z63" si="25">IF($E$24="Actual Profit (Lucro Real)",-G57*7.6%,-G57*3%)</f>
        <v>0</v>
      </c>
      <c r="H63" s="19">
        <f t="shared" si="25"/>
        <v>-900</v>
      </c>
      <c r="I63" s="19">
        <f t="shared" si="25"/>
        <v>-855</v>
      </c>
      <c r="J63" s="19">
        <f t="shared" si="25"/>
        <v>-885</v>
      </c>
      <c r="K63" s="19">
        <f t="shared" si="25"/>
        <v>-960</v>
      </c>
      <c r="L63" s="19">
        <f t="shared" si="25"/>
        <v>-1290</v>
      </c>
      <c r="M63" s="19">
        <f t="shared" si="25"/>
        <v>-1290</v>
      </c>
      <c r="N63" s="19">
        <f t="shared" si="25"/>
        <v>-1335</v>
      </c>
      <c r="O63" s="19">
        <f t="shared" si="25"/>
        <v>-1335</v>
      </c>
      <c r="P63" s="19">
        <f t="shared" si="25"/>
        <v>-1335</v>
      </c>
      <c r="Q63" s="19">
        <f t="shared" si="25"/>
        <v>-1335</v>
      </c>
      <c r="R63" s="19">
        <f t="shared" si="25"/>
        <v>-1335</v>
      </c>
      <c r="S63" s="19">
        <f t="shared" si="25"/>
        <v>-1335</v>
      </c>
      <c r="T63" s="19">
        <f t="shared" si="25"/>
        <v>-1335</v>
      </c>
      <c r="U63" s="19">
        <f t="shared" si="25"/>
        <v>-1335</v>
      </c>
      <c r="V63" s="19">
        <f t="shared" si="25"/>
        <v>-1335</v>
      </c>
      <c r="W63" s="19">
        <f t="shared" si="25"/>
        <v>-1335</v>
      </c>
      <c r="X63" s="19">
        <f t="shared" si="25"/>
        <v>-1335</v>
      </c>
      <c r="Y63" s="19">
        <f t="shared" si="25"/>
        <v>-1335</v>
      </c>
      <c r="Z63" s="19">
        <f t="shared" si="25"/>
        <v>-1335</v>
      </c>
      <c r="AA63" s="19"/>
      <c r="AB63" s="7"/>
    </row>
    <row r="64" spans="1:28" x14ac:dyDescent="0.2">
      <c r="A64" s="7"/>
      <c r="B64" s="29" t="s">
        <v>7</v>
      </c>
      <c r="C64" s="29"/>
      <c r="D64" s="29"/>
      <c r="E64" s="29"/>
      <c r="F64" s="29"/>
      <c r="G64" s="30">
        <f t="shared" ref="G64:Z64" si="26">G57+G61</f>
        <v>0</v>
      </c>
      <c r="H64" s="30">
        <f t="shared" si="26"/>
        <v>28905</v>
      </c>
      <c r="I64" s="30">
        <f t="shared" si="26"/>
        <v>27459.75</v>
      </c>
      <c r="J64" s="30">
        <f t="shared" si="26"/>
        <v>28423.25</v>
      </c>
      <c r="K64" s="30">
        <f t="shared" si="26"/>
        <v>30832</v>
      </c>
      <c r="L64" s="30">
        <f t="shared" si="26"/>
        <v>41430.5</v>
      </c>
      <c r="M64" s="30">
        <f t="shared" si="26"/>
        <v>41430.5</v>
      </c>
      <c r="N64" s="30">
        <f t="shared" si="26"/>
        <v>42875.75</v>
      </c>
      <c r="O64" s="30">
        <f t="shared" si="26"/>
        <v>42875.75</v>
      </c>
      <c r="P64" s="30">
        <f t="shared" si="26"/>
        <v>42875.75</v>
      </c>
      <c r="Q64" s="30">
        <f t="shared" si="26"/>
        <v>42875.75</v>
      </c>
      <c r="R64" s="30">
        <f t="shared" si="26"/>
        <v>42875.75</v>
      </c>
      <c r="S64" s="30">
        <f t="shared" si="26"/>
        <v>42875.75</v>
      </c>
      <c r="T64" s="30">
        <f t="shared" si="26"/>
        <v>42875.75</v>
      </c>
      <c r="U64" s="30">
        <f t="shared" si="26"/>
        <v>42875.75</v>
      </c>
      <c r="V64" s="30">
        <f t="shared" si="26"/>
        <v>42875.75</v>
      </c>
      <c r="W64" s="30">
        <f t="shared" si="26"/>
        <v>42875.75</v>
      </c>
      <c r="X64" s="30">
        <f t="shared" si="26"/>
        <v>42875.75</v>
      </c>
      <c r="Y64" s="30">
        <f t="shared" si="26"/>
        <v>42875.75</v>
      </c>
      <c r="Z64" s="30">
        <f t="shared" si="26"/>
        <v>42875.75</v>
      </c>
      <c r="AA64" s="30"/>
      <c r="AB64" s="7"/>
    </row>
    <row r="65" spans="1:28" x14ac:dyDescent="0.2">
      <c r="A65" s="7"/>
      <c r="B65" s="7"/>
      <c r="C65" s="7" t="s">
        <v>78</v>
      </c>
      <c r="D65" s="7"/>
      <c r="E65" s="7"/>
      <c r="F65" s="7"/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/>
      <c r="AB65" s="7"/>
    </row>
    <row r="66" spans="1:28" x14ac:dyDescent="0.2">
      <c r="A66" s="7"/>
      <c r="B66" s="29" t="s">
        <v>8</v>
      </c>
      <c r="C66" s="29"/>
      <c r="D66" s="29"/>
      <c r="E66" s="29"/>
      <c r="F66" s="29"/>
      <c r="G66" s="30">
        <f t="shared" ref="G66:Z66" si="27">G64+G65</f>
        <v>0</v>
      </c>
      <c r="H66" s="30">
        <f t="shared" si="27"/>
        <v>28905</v>
      </c>
      <c r="I66" s="30">
        <f t="shared" si="27"/>
        <v>27459.75</v>
      </c>
      <c r="J66" s="30">
        <f t="shared" si="27"/>
        <v>28423.25</v>
      </c>
      <c r="K66" s="30">
        <f t="shared" si="27"/>
        <v>30832</v>
      </c>
      <c r="L66" s="30">
        <f t="shared" si="27"/>
        <v>41430.5</v>
      </c>
      <c r="M66" s="30">
        <f t="shared" si="27"/>
        <v>41430.5</v>
      </c>
      <c r="N66" s="30">
        <f t="shared" si="27"/>
        <v>42875.75</v>
      </c>
      <c r="O66" s="30">
        <f t="shared" si="27"/>
        <v>42875.75</v>
      </c>
      <c r="P66" s="30">
        <f t="shared" si="27"/>
        <v>42875.75</v>
      </c>
      <c r="Q66" s="30">
        <f t="shared" si="27"/>
        <v>42875.75</v>
      </c>
      <c r="R66" s="30">
        <f t="shared" si="27"/>
        <v>42875.75</v>
      </c>
      <c r="S66" s="30">
        <f t="shared" si="27"/>
        <v>42875.75</v>
      </c>
      <c r="T66" s="30">
        <f t="shared" si="27"/>
        <v>42875.75</v>
      </c>
      <c r="U66" s="30">
        <f t="shared" si="27"/>
        <v>42875.75</v>
      </c>
      <c r="V66" s="30">
        <f t="shared" si="27"/>
        <v>42875.75</v>
      </c>
      <c r="W66" s="30">
        <f t="shared" si="27"/>
        <v>42875.75</v>
      </c>
      <c r="X66" s="30">
        <f t="shared" si="27"/>
        <v>42875.75</v>
      </c>
      <c r="Y66" s="30">
        <f t="shared" si="27"/>
        <v>42875.75</v>
      </c>
      <c r="Z66" s="30">
        <f t="shared" si="27"/>
        <v>42875.75</v>
      </c>
      <c r="AA66" s="30"/>
      <c r="AB66" s="7"/>
    </row>
    <row r="67" spans="1:28" x14ac:dyDescent="0.2">
      <c r="A67" s="7"/>
      <c r="B67" s="7"/>
      <c r="C67" s="7" t="s">
        <v>79</v>
      </c>
      <c r="D67" s="7"/>
      <c r="E67" s="7"/>
      <c r="F67" s="7"/>
      <c r="G67" s="19">
        <f t="shared" ref="G67:Z67" si="28">-$E$18*G57</f>
        <v>0</v>
      </c>
      <c r="H67" s="19">
        <f t="shared" si="28"/>
        <v>-600</v>
      </c>
      <c r="I67" s="19">
        <f t="shared" si="28"/>
        <v>-570</v>
      </c>
      <c r="J67" s="19">
        <f t="shared" si="28"/>
        <v>-590</v>
      </c>
      <c r="K67" s="19">
        <f t="shared" si="28"/>
        <v>-640</v>
      </c>
      <c r="L67" s="19">
        <f t="shared" si="28"/>
        <v>-860</v>
      </c>
      <c r="M67" s="19">
        <f t="shared" si="28"/>
        <v>-860</v>
      </c>
      <c r="N67" s="19">
        <f t="shared" si="28"/>
        <v>-890</v>
      </c>
      <c r="O67" s="19">
        <f t="shared" si="28"/>
        <v>-890</v>
      </c>
      <c r="P67" s="19">
        <f t="shared" si="28"/>
        <v>-890</v>
      </c>
      <c r="Q67" s="19">
        <f t="shared" si="28"/>
        <v>-890</v>
      </c>
      <c r="R67" s="19">
        <f t="shared" si="28"/>
        <v>-890</v>
      </c>
      <c r="S67" s="19">
        <f t="shared" si="28"/>
        <v>-890</v>
      </c>
      <c r="T67" s="19">
        <f t="shared" si="28"/>
        <v>-890</v>
      </c>
      <c r="U67" s="19">
        <f t="shared" si="28"/>
        <v>-890</v>
      </c>
      <c r="V67" s="19">
        <f t="shared" si="28"/>
        <v>-890</v>
      </c>
      <c r="W67" s="19">
        <f t="shared" si="28"/>
        <v>-890</v>
      </c>
      <c r="X67" s="19">
        <f t="shared" si="28"/>
        <v>-890</v>
      </c>
      <c r="Y67" s="19">
        <f t="shared" si="28"/>
        <v>-890</v>
      </c>
      <c r="Z67" s="19">
        <f t="shared" si="28"/>
        <v>-890</v>
      </c>
      <c r="AA67" s="19"/>
      <c r="AB67" s="7"/>
    </row>
    <row r="68" spans="1:28" x14ac:dyDescent="0.2">
      <c r="A68" s="7"/>
      <c r="B68" s="7"/>
      <c r="C68" s="7" t="s">
        <v>80</v>
      </c>
      <c r="D68" s="7"/>
      <c r="E68" s="7"/>
      <c r="F68" s="7"/>
      <c r="G68" s="19">
        <f t="shared" ref="G68:Z68" si="29">-$E$19*G57</f>
        <v>0</v>
      </c>
      <c r="H68" s="19">
        <f t="shared" si="29"/>
        <v>0</v>
      </c>
      <c r="I68" s="19">
        <f t="shared" si="29"/>
        <v>0</v>
      </c>
      <c r="J68" s="19">
        <f t="shared" si="29"/>
        <v>0</v>
      </c>
      <c r="K68" s="19">
        <f t="shared" si="29"/>
        <v>0</v>
      </c>
      <c r="L68" s="19">
        <f t="shared" si="29"/>
        <v>0</v>
      </c>
      <c r="M68" s="19">
        <f t="shared" si="29"/>
        <v>0</v>
      </c>
      <c r="N68" s="19">
        <f t="shared" si="29"/>
        <v>0</v>
      </c>
      <c r="O68" s="19">
        <f t="shared" si="29"/>
        <v>0</v>
      </c>
      <c r="P68" s="19">
        <f t="shared" si="29"/>
        <v>0</v>
      </c>
      <c r="Q68" s="19">
        <f t="shared" si="29"/>
        <v>0</v>
      </c>
      <c r="R68" s="19">
        <f t="shared" si="29"/>
        <v>0</v>
      </c>
      <c r="S68" s="19">
        <f t="shared" si="29"/>
        <v>0</v>
      </c>
      <c r="T68" s="19">
        <f t="shared" si="29"/>
        <v>0</v>
      </c>
      <c r="U68" s="19">
        <f t="shared" si="29"/>
        <v>0</v>
      </c>
      <c r="V68" s="19">
        <f t="shared" si="29"/>
        <v>0</v>
      </c>
      <c r="W68" s="19">
        <f t="shared" si="29"/>
        <v>0</v>
      </c>
      <c r="X68" s="19">
        <f t="shared" si="29"/>
        <v>0</v>
      </c>
      <c r="Y68" s="19">
        <f t="shared" si="29"/>
        <v>0</v>
      </c>
      <c r="Z68" s="19">
        <f t="shared" si="29"/>
        <v>0</v>
      </c>
      <c r="AA68" s="19"/>
      <c r="AB68" s="7"/>
    </row>
    <row r="69" spans="1:28" x14ac:dyDescent="0.2">
      <c r="A69" s="7"/>
      <c r="B69" s="29" t="s">
        <v>9</v>
      </c>
      <c r="C69" s="29"/>
      <c r="D69" s="29"/>
      <c r="E69" s="29"/>
      <c r="F69" s="29"/>
      <c r="G69" s="30">
        <f t="shared" ref="G69:Z69" si="30">G66+G67+G68</f>
        <v>0</v>
      </c>
      <c r="H69" s="30">
        <f t="shared" si="30"/>
        <v>28305</v>
      </c>
      <c r="I69" s="30">
        <f t="shared" si="30"/>
        <v>26889.75</v>
      </c>
      <c r="J69" s="30">
        <f t="shared" si="30"/>
        <v>27833.25</v>
      </c>
      <c r="K69" s="30">
        <f t="shared" si="30"/>
        <v>30192</v>
      </c>
      <c r="L69" s="30">
        <f t="shared" si="30"/>
        <v>40570.5</v>
      </c>
      <c r="M69" s="30">
        <f t="shared" si="30"/>
        <v>40570.5</v>
      </c>
      <c r="N69" s="30">
        <f t="shared" si="30"/>
        <v>41985.75</v>
      </c>
      <c r="O69" s="30">
        <f t="shared" si="30"/>
        <v>41985.75</v>
      </c>
      <c r="P69" s="30">
        <f t="shared" si="30"/>
        <v>41985.75</v>
      </c>
      <c r="Q69" s="30">
        <f t="shared" si="30"/>
        <v>41985.75</v>
      </c>
      <c r="R69" s="30">
        <f t="shared" si="30"/>
        <v>41985.75</v>
      </c>
      <c r="S69" s="30">
        <f t="shared" si="30"/>
        <v>41985.75</v>
      </c>
      <c r="T69" s="30">
        <f t="shared" si="30"/>
        <v>41985.75</v>
      </c>
      <c r="U69" s="30">
        <f t="shared" si="30"/>
        <v>41985.75</v>
      </c>
      <c r="V69" s="30">
        <f t="shared" si="30"/>
        <v>41985.75</v>
      </c>
      <c r="W69" s="30">
        <f t="shared" si="30"/>
        <v>41985.75</v>
      </c>
      <c r="X69" s="30">
        <f t="shared" si="30"/>
        <v>41985.75</v>
      </c>
      <c r="Y69" s="30">
        <f t="shared" si="30"/>
        <v>41985.75</v>
      </c>
      <c r="Z69" s="30">
        <f t="shared" si="30"/>
        <v>41985.75</v>
      </c>
      <c r="AA69" s="30"/>
      <c r="AB69" s="7"/>
    </row>
    <row r="70" spans="1:28" x14ac:dyDescent="0.2">
      <c r="A70" s="7"/>
      <c r="B70" s="7"/>
      <c r="C70" s="7" t="s">
        <v>10</v>
      </c>
      <c r="D70" s="7"/>
      <c r="E70" s="7"/>
      <c r="F70" s="7"/>
      <c r="G70" s="33" t="str">
        <f t="shared" ref="G70:Z70" si="31">IFERROR(G69/G64,"n/a")</f>
        <v>n/a</v>
      </c>
      <c r="H70" s="33">
        <f t="shared" si="31"/>
        <v>0.9792423456149455</v>
      </c>
      <c r="I70" s="33">
        <f t="shared" si="31"/>
        <v>0.9792423456149455</v>
      </c>
      <c r="J70" s="33">
        <f t="shared" si="31"/>
        <v>0.9792423456149455</v>
      </c>
      <c r="K70" s="33">
        <f t="shared" si="31"/>
        <v>0.9792423456149455</v>
      </c>
      <c r="L70" s="33">
        <f t="shared" si="31"/>
        <v>0.9792423456149455</v>
      </c>
      <c r="M70" s="33">
        <f t="shared" si="31"/>
        <v>0.9792423456149455</v>
      </c>
      <c r="N70" s="33">
        <f t="shared" si="31"/>
        <v>0.9792423456149455</v>
      </c>
      <c r="O70" s="33">
        <f t="shared" si="31"/>
        <v>0.9792423456149455</v>
      </c>
      <c r="P70" s="33">
        <f t="shared" si="31"/>
        <v>0.9792423456149455</v>
      </c>
      <c r="Q70" s="33">
        <f t="shared" si="31"/>
        <v>0.9792423456149455</v>
      </c>
      <c r="R70" s="33">
        <f t="shared" si="31"/>
        <v>0.9792423456149455</v>
      </c>
      <c r="S70" s="33">
        <f t="shared" si="31"/>
        <v>0.9792423456149455</v>
      </c>
      <c r="T70" s="33">
        <f t="shared" si="31"/>
        <v>0.9792423456149455</v>
      </c>
      <c r="U70" s="33">
        <f t="shared" si="31"/>
        <v>0.9792423456149455</v>
      </c>
      <c r="V70" s="33">
        <f t="shared" si="31"/>
        <v>0.9792423456149455</v>
      </c>
      <c r="W70" s="33">
        <f t="shared" si="31"/>
        <v>0.9792423456149455</v>
      </c>
      <c r="X70" s="33">
        <f t="shared" si="31"/>
        <v>0.9792423456149455</v>
      </c>
      <c r="Y70" s="33">
        <f t="shared" si="31"/>
        <v>0.9792423456149455</v>
      </c>
      <c r="Z70" s="33">
        <f t="shared" si="31"/>
        <v>0.9792423456149455</v>
      </c>
      <c r="AA70" s="19"/>
      <c r="AB70" s="7"/>
    </row>
    <row r="71" spans="1:28" x14ac:dyDescent="0.2">
      <c r="A71" s="7"/>
      <c r="B71" s="7"/>
      <c r="C71" s="7" t="s">
        <v>81</v>
      </c>
      <c r="D71" s="7"/>
      <c r="E71" s="7"/>
      <c r="F71" s="7"/>
      <c r="G71" s="19">
        <f t="shared" ref="G71:Z71" si="32">IF(AND(G$6&gt;=$E$21,G$6&lt;$E$21+$E$20),-$E$36/$E$20,0)</f>
        <v>0</v>
      </c>
      <c r="H71" s="19">
        <f t="shared" si="32"/>
        <v>0</v>
      </c>
      <c r="I71" s="19">
        <f t="shared" si="32"/>
        <v>-25044.225944444446</v>
      </c>
      <c r="J71" s="19">
        <f t="shared" si="32"/>
        <v>-25044.225944444446</v>
      </c>
      <c r="K71" s="19">
        <f t="shared" si="32"/>
        <v>-25044.225944444446</v>
      </c>
      <c r="L71" s="19">
        <f t="shared" si="32"/>
        <v>-25044.225944444446</v>
      </c>
      <c r="M71" s="19">
        <f t="shared" si="32"/>
        <v>-25044.225944444446</v>
      </c>
      <c r="N71" s="19">
        <f t="shared" si="32"/>
        <v>-25044.225944444446</v>
      </c>
      <c r="O71" s="19">
        <f t="shared" si="32"/>
        <v>-25044.225944444446</v>
      </c>
      <c r="P71" s="19">
        <f t="shared" si="32"/>
        <v>-25044.225944444446</v>
      </c>
      <c r="Q71" s="19">
        <f t="shared" si="32"/>
        <v>-25044.225944444446</v>
      </c>
      <c r="R71" s="19">
        <f t="shared" si="32"/>
        <v>-25044.225944444446</v>
      </c>
      <c r="S71" s="19">
        <f t="shared" si="32"/>
        <v>-25044.225944444446</v>
      </c>
      <c r="T71" s="19">
        <f t="shared" si="32"/>
        <v>-25044.225944444446</v>
      </c>
      <c r="U71" s="19">
        <f t="shared" si="32"/>
        <v>-25044.225944444446</v>
      </c>
      <c r="V71" s="19">
        <f t="shared" si="32"/>
        <v>-25044.225944444446</v>
      </c>
      <c r="W71" s="19">
        <f t="shared" si="32"/>
        <v>-25044.225944444446</v>
      </c>
      <c r="X71" s="19">
        <f t="shared" si="32"/>
        <v>-25044.225944444446</v>
      </c>
      <c r="Y71" s="19">
        <f t="shared" si="32"/>
        <v>-25044.225944444446</v>
      </c>
      <c r="Z71" s="19">
        <f t="shared" si="32"/>
        <v>-25044.225944444446</v>
      </c>
      <c r="AA71" s="19"/>
      <c r="AB71" s="7"/>
    </row>
    <row r="72" spans="1:28" x14ac:dyDescent="0.2">
      <c r="A72" s="7"/>
      <c r="B72" s="29" t="s">
        <v>11</v>
      </c>
      <c r="C72" s="29"/>
      <c r="D72" s="29"/>
      <c r="E72" s="29"/>
      <c r="F72" s="29"/>
      <c r="G72" s="30">
        <f t="shared" ref="G72:Z72" si="33">G69+G71</f>
        <v>0</v>
      </c>
      <c r="H72" s="30">
        <f t="shared" si="33"/>
        <v>28305</v>
      </c>
      <c r="I72" s="30">
        <f t="shared" si="33"/>
        <v>1845.5240555555538</v>
      </c>
      <c r="J72" s="30">
        <f t="shared" si="33"/>
        <v>2789.0240555555538</v>
      </c>
      <c r="K72" s="30">
        <f t="shared" si="33"/>
        <v>5147.7740555555538</v>
      </c>
      <c r="L72" s="30">
        <f t="shared" si="33"/>
        <v>15526.274055555554</v>
      </c>
      <c r="M72" s="30">
        <f t="shared" si="33"/>
        <v>15526.274055555554</v>
      </c>
      <c r="N72" s="30">
        <f t="shared" si="33"/>
        <v>16941.524055555554</v>
      </c>
      <c r="O72" s="30">
        <f t="shared" si="33"/>
        <v>16941.524055555554</v>
      </c>
      <c r="P72" s="30">
        <f t="shared" si="33"/>
        <v>16941.524055555554</v>
      </c>
      <c r="Q72" s="30">
        <f t="shared" si="33"/>
        <v>16941.524055555554</v>
      </c>
      <c r="R72" s="30">
        <f t="shared" si="33"/>
        <v>16941.524055555554</v>
      </c>
      <c r="S72" s="30">
        <f t="shared" si="33"/>
        <v>16941.524055555554</v>
      </c>
      <c r="T72" s="30">
        <f t="shared" si="33"/>
        <v>16941.524055555554</v>
      </c>
      <c r="U72" s="30">
        <f t="shared" si="33"/>
        <v>16941.524055555554</v>
      </c>
      <c r="V72" s="30">
        <f t="shared" si="33"/>
        <v>16941.524055555554</v>
      </c>
      <c r="W72" s="30">
        <f t="shared" si="33"/>
        <v>16941.524055555554</v>
      </c>
      <c r="X72" s="30">
        <f t="shared" si="33"/>
        <v>16941.524055555554</v>
      </c>
      <c r="Y72" s="30">
        <f t="shared" si="33"/>
        <v>16941.524055555554</v>
      </c>
      <c r="Z72" s="30">
        <f t="shared" si="33"/>
        <v>16941.524055555554</v>
      </c>
      <c r="AA72" s="30"/>
      <c r="AB72" s="7"/>
    </row>
    <row r="73" spans="1:28" x14ac:dyDescent="0.2">
      <c r="A73" s="7"/>
      <c r="B73" s="7"/>
      <c r="C73" s="7" t="s">
        <v>82</v>
      </c>
      <c r="D73" s="7"/>
      <c r="E73" s="7"/>
      <c r="F73" s="7"/>
      <c r="G73" s="19">
        <f t="shared" ref="G73:Z73" si="34">-G44-G48</f>
        <v>-10</v>
      </c>
      <c r="H73" s="19">
        <f t="shared" si="34"/>
        <v>-2502.207620500601</v>
      </c>
      <c r="I73" s="19">
        <f t="shared" si="34"/>
        <v>-8310.4064603179577</v>
      </c>
      <c r="J73" s="19">
        <f t="shared" si="34"/>
        <v>-8609.4057532172719</v>
      </c>
      <c r="K73" s="19">
        <f t="shared" si="34"/>
        <v>-7894.0386071158327</v>
      </c>
      <c r="L73" s="19">
        <f t="shared" si="34"/>
        <v>-7178.6714610143936</v>
      </c>
      <c r="M73" s="19">
        <f t="shared" si="34"/>
        <v>-6463.3043149129544</v>
      </c>
      <c r="N73" s="19">
        <f t="shared" si="34"/>
        <v>-5747.9371688115152</v>
      </c>
      <c r="O73" s="19">
        <f t="shared" si="34"/>
        <v>-5032.5700227100751</v>
      </c>
      <c r="P73" s="19">
        <f t="shared" si="34"/>
        <v>-4317.202876608636</v>
      </c>
      <c r="Q73" s="19">
        <f t="shared" si="34"/>
        <v>-3601.8357305071963</v>
      </c>
      <c r="R73" s="19">
        <f t="shared" si="34"/>
        <v>-2886.4685844057567</v>
      </c>
      <c r="S73" s="19">
        <f t="shared" si="34"/>
        <v>-2171.1014383043175</v>
      </c>
      <c r="T73" s="19">
        <f t="shared" si="34"/>
        <v>-1455.7342922028781</v>
      </c>
      <c r="U73" s="19">
        <f t="shared" si="34"/>
        <v>-740.36714610143872</v>
      </c>
      <c r="V73" s="19">
        <f t="shared" si="34"/>
        <v>-25</v>
      </c>
      <c r="W73" s="19">
        <f t="shared" si="34"/>
        <v>-25</v>
      </c>
      <c r="X73" s="19">
        <f t="shared" si="34"/>
        <v>-25</v>
      </c>
      <c r="Y73" s="19">
        <f t="shared" si="34"/>
        <v>-25</v>
      </c>
      <c r="Z73" s="19">
        <f t="shared" si="34"/>
        <v>-25</v>
      </c>
      <c r="AA73" s="19"/>
      <c r="AB73" s="7"/>
    </row>
    <row r="74" spans="1:28" x14ac:dyDescent="0.2">
      <c r="A74" s="7"/>
      <c r="B74" s="7"/>
      <c r="C74" s="7" t="s">
        <v>83</v>
      </c>
      <c r="D74" s="7"/>
      <c r="E74" s="7"/>
      <c r="F74" s="7"/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/>
      <c r="AB74" s="7"/>
    </row>
    <row r="75" spans="1:28" x14ac:dyDescent="0.2">
      <c r="A75" s="7"/>
      <c r="B75" s="29" t="s">
        <v>12</v>
      </c>
      <c r="C75" s="29"/>
      <c r="D75" s="29"/>
      <c r="E75" s="29"/>
      <c r="F75" s="29"/>
      <c r="G75" s="30">
        <f t="shared" ref="G75:Z75" si="35">G72+G73+G74</f>
        <v>-10</v>
      </c>
      <c r="H75" s="30">
        <f t="shared" si="35"/>
        <v>25802.792379499399</v>
      </c>
      <c r="I75" s="30">
        <f t="shared" si="35"/>
        <v>-6464.8824047624039</v>
      </c>
      <c r="J75" s="30">
        <f t="shared" si="35"/>
        <v>-5820.3816976617181</v>
      </c>
      <c r="K75" s="30">
        <f t="shared" si="35"/>
        <v>-2746.264551560279</v>
      </c>
      <c r="L75" s="30">
        <f t="shared" si="35"/>
        <v>8347.6025945411602</v>
      </c>
      <c r="M75" s="30">
        <f t="shared" si="35"/>
        <v>9062.9697406425985</v>
      </c>
      <c r="N75" s="30">
        <f t="shared" si="35"/>
        <v>11193.586886744039</v>
      </c>
      <c r="O75" s="30">
        <f t="shared" si="35"/>
        <v>11908.954032845479</v>
      </c>
      <c r="P75" s="30">
        <f t="shared" si="35"/>
        <v>12624.321178946917</v>
      </c>
      <c r="Q75" s="30">
        <f t="shared" si="35"/>
        <v>13339.688325048357</v>
      </c>
      <c r="R75" s="30">
        <f t="shared" si="35"/>
        <v>14055.055471149797</v>
      </c>
      <c r="S75" s="30">
        <f t="shared" si="35"/>
        <v>14770.422617251235</v>
      </c>
      <c r="T75" s="30">
        <f t="shared" si="35"/>
        <v>15485.789763352675</v>
      </c>
      <c r="U75" s="30">
        <f t="shared" si="35"/>
        <v>16201.156909454116</v>
      </c>
      <c r="V75" s="30">
        <f t="shared" si="35"/>
        <v>16916.524055555554</v>
      </c>
      <c r="W75" s="30">
        <f t="shared" si="35"/>
        <v>16916.524055555554</v>
      </c>
      <c r="X75" s="30">
        <f t="shared" si="35"/>
        <v>16916.524055555554</v>
      </c>
      <c r="Y75" s="30">
        <f t="shared" si="35"/>
        <v>16916.524055555554</v>
      </c>
      <c r="Z75" s="30">
        <f t="shared" si="35"/>
        <v>16916.524055555554</v>
      </c>
      <c r="AA75" s="30"/>
      <c r="AB75" s="7"/>
    </row>
    <row r="76" spans="1:28" x14ac:dyDescent="0.2">
      <c r="A76" s="7"/>
      <c r="B76" s="7"/>
      <c r="C76" s="7" t="s">
        <v>13</v>
      </c>
      <c r="D76" s="7"/>
      <c r="E76" s="7"/>
      <c r="F76" s="7"/>
      <c r="G76" s="19">
        <f t="shared" ref="G76:Z76" si="36">IF($E$24="Actual Profit (Lucro Real)",-G93,-G86)</f>
        <v>0</v>
      </c>
      <c r="H76" s="19">
        <f t="shared" si="36"/>
        <v>-2376</v>
      </c>
      <c r="I76" s="19">
        <f t="shared" si="36"/>
        <v>-2256</v>
      </c>
      <c r="J76" s="19">
        <f t="shared" si="36"/>
        <v>-2336</v>
      </c>
      <c r="K76" s="19">
        <f t="shared" si="36"/>
        <v>-2536</v>
      </c>
      <c r="L76" s="19">
        <f t="shared" si="36"/>
        <v>-3416</v>
      </c>
      <c r="M76" s="19">
        <f t="shared" si="36"/>
        <v>-3416</v>
      </c>
      <c r="N76" s="19">
        <f t="shared" si="36"/>
        <v>-3536</v>
      </c>
      <c r="O76" s="19">
        <f t="shared" si="36"/>
        <v>-3536</v>
      </c>
      <c r="P76" s="19">
        <f t="shared" si="36"/>
        <v>-3536</v>
      </c>
      <c r="Q76" s="19">
        <f t="shared" si="36"/>
        <v>-3536</v>
      </c>
      <c r="R76" s="19">
        <f t="shared" si="36"/>
        <v>-3536</v>
      </c>
      <c r="S76" s="19">
        <f t="shared" si="36"/>
        <v>-3536</v>
      </c>
      <c r="T76" s="19">
        <f t="shared" si="36"/>
        <v>-3536</v>
      </c>
      <c r="U76" s="19">
        <f t="shared" si="36"/>
        <v>-3536</v>
      </c>
      <c r="V76" s="19">
        <f t="shared" si="36"/>
        <v>-3536</v>
      </c>
      <c r="W76" s="19">
        <f t="shared" si="36"/>
        <v>-3536</v>
      </c>
      <c r="X76" s="19">
        <f t="shared" si="36"/>
        <v>-3536</v>
      </c>
      <c r="Y76" s="19">
        <f t="shared" si="36"/>
        <v>-3536</v>
      </c>
      <c r="Z76" s="19">
        <f t="shared" si="36"/>
        <v>-3536</v>
      </c>
      <c r="AA76" s="19"/>
      <c r="AB76" s="7"/>
    </row>
    <row r="77" spans="1:28" x14ac:dyDescent="0.2">
      <c r="A77" s="7"/>
      <c r="B77" s="7"/>
      <c r="C77" s="7" t="s">
        <v>14</v>
      </c>
      <c r="D77" s="7"/>
      <c r="E77" s="7"/>
      <c r="F77" s="7"/>
      <c r="G77" s="19">
        <f t="shared" ref="G77:Z77" si="37">IF($E$24="Actual Profit (Lucro Real)",-G94,-G87)</f>
        <v>0</v>
      </c>
      <c r="H77" s="19">
        <f t="shared" si="37"/>
        <v>-864</v>
      </c>
      <c r="I77" s="19">
        <f t="shared" si="37"/>
        <v>-820.8</v>
      </c>
      <c r="J77" s="19">
        <f t="shared" si="37"/>
        <v>-849.6</v>
      </c>
      <c r="K77" s="19">
        <f t="shared" si="37"/>
        <v>-921.59999999999991</v>
      </c>
      <c r="L77" s="19">
        <f t="shared" si="37"/>
        <v>-1238.3999999999999</v>
      </c>
      <c r="M77" s="19">
        <f t="shared" si="37"/>
        <v>-1238.3999999999999</v>
      </c>
      <c r="N77" s="19">
        <f t="shared" si="37"/>
        <v>-1281.5999999999999</v>
      </c>
      <c r="O77" s="19">
        <f t="shared" si="37"/>
        <v>-1281.5999999999999</v>
      </c>
      <c r="P77" s="19">
        <f t="shared" si="37"/>
        <v>-1281.5999999999999</v>
      </c>
      <c r="Q77" s="19">
        <f t="shared" si="37"/>
        <v>-1281.5999999999999</v>
      </c>
      <c r="R77" s="19">
        <f t="shared" si="37"/>
        <v>-1281.5999999999999</v>
      </c>
      <c r="S77" s="19">
        <f t="shared" si="37"/>
        <v>-1281.5999999999999</v>
      </c>
      <c r="T77" s="19">
        <f t="shared" si="37"/>
        <v>-1281.5999999999999</v>
      </c>
      <c r="U77" s="19">
        <f t="shared" si="37"/>
        <v>-1281.5999999999999</v>
      </c>
      <c r="V77" s="19">
        <f t="shared" si="37"/>
        <v>-1281.5999999999999</v>
      </c>
      <c r="W77" s="19">
        <f t="shared" si="37"/>
        <v>-1281.5999999999999</v>
      </c>
      <c r="X77" s="19">
        <f t="shared" si="37"/>
        <v>-1281.5999999999999</v>
      </c>
      <c r="Y77" s="19">
        <f t="shared" si="37"/>
        <v>-1281.5999999999999</v>
      </c>
      <c r="Z77" s="19">
        <f t="shared" si="37"/>
        <v>-1281.5999999999999</v>
      </c>
      <c r="AA77" s="19"/>
      <c r="AB77" s="7"/>
    </row>
    <row r="78" spans="1:28" x14ac:dyDescent="0.2">
      <c r="A78" s="7"/>
      <c r="B78" s="29" t="s">
        <v>16</v>
      </c>
      <c r="C78" s="29"/>
      <c r="D78" s="29"/>
      <c r="E78" s="29"/>
      <c r="F78" s="29"/>
      <c r="G78" s="30">
        <f t="shared" ref="G78:Z78" si="38">G75+G76+G77</f>
        <v>-10</v>
      </c>
      <c r="H78" s="30">
        <f t="shared" si="38"/>
        <v>22562.792379499399</v>
      </c>
      <c r="I78" s="30">
        <f t="shared" si="38"/>
        <v>-9541.6824047624032</v>
      </c>
      <c r="J78" s="30">
        <f t="shared" si="38"/>
        <v>-9005.9816976617185</v>
      </c>
      <c r="K78" s="30">
        <f t="shared" si="38"/>
        <v>-6203.8645515602784</v>
      </c>
      <c r="L78" s="30">
        <f t="shared" si="38"/>
        <v>3693.2025945411606</v>
      </c>
      <c r="M78" s="30">
        <f t="shared" si="38"/>
        <v>4408.5697406425988</v>
      </c>
      <c r="N78" s="30">
        <f t="shared" si="38"/>
        <v>6375.9868867440382</v>
      </c>
      <c r="O78" s="30">
        <f t="shared" si="38"/>
        <v>7091.3540328454783</v>
      </c>
      <c r="P78" s="30">
        <f t="shared" si="38"/>
        <v>7806.7211789469166</v>
      </c>
      <c r="Q78" s="30">
        <f t="shared" si="38"/>
        <v>8522.0883250483566</v>
      </c>
      <c r="R78" s="30">
        <f t="shared" si="38"/>
        <v>9237.4554711497967</v>
      </c>
      <c r="S78" s="30">
        <f t="shared" si="38"/>
        <v>9952.822617251235</v>
      </c>
      <c r="T78" s="30">
        <f t="shared" si="38"/>
        <v>10668.189763352675</v>
      </c>
      <c r="U78" s="30">
        <f t="shared" si="38"/>
        <v>11383.556909454115</v>
      </c>
      <c r="V78" s="30">
        <f t="shared" si="38"/>
        <v>12098.924055555553</v>
      </c>
      <c r="W78" s="30">
        <f t="shared" si="38"/>
        <v>12098.924055555553</v>
      </c>
      <c r="X78" s="30">
        <f t="shared" si="38"/>
        <v>12098.924055555553</v>
      </c>
      <c r="Y78" s="30">
        <f t="shared" si="38"/>
        <v>12098.924055555553</v>
      </c>
      <c r="Z78" s="30">
        <f t="shared" si="38"/>
        <v>12098.924055555553</v>
      </c>
      <c r="AA78" s="30"/>
      <c r="AB78" s="7"/>
    </row>
    <row r="79" spans="1:28" x14ac:dyDescent="0.2">
      <c r="A79" s="7"/>
      <c r="B79" s="7"/>
      <c r="C79" s="7" t="s">
        <v>84</v>
      </c>
      <c r="D79" s="7"/>
      <c r="E79" s="7"/>
      <c r="F79" s="7"/>
      <c r="G79" s="33" t="str">
        <f t="shared" ref="G79:Z79" si="39">IFERROR(G78/G64,"n/a")</f>
        <v>n/a</v>
      </c>
      <c r="H79" s="33">
        <f t="shared" si="39"/>
        <v>0.78058441029231618</v>
      </c>
      <c r="I79" s="33">
        <f t="shared" si="39"/>
        <v>-0.3474788519473922</v>
      </c>
      <c r="J79" s="33">
        <f t="shared" si="39"/>
        <v>-0.31685263640370886</v>
      </c>
      <c r="K79" s="33">
        <f t="shared" si="39"/>
        <v>-0.20121511908278017</v>
      </c>
      <c r="L79" s="33">
        <f t="shared" si="39"/>
        <v>8.9142119804037134E-2</v>
      </c>
      <c r="M79" s="33">
        <f t="shared" si="39"/>
        <v>0.10640879884728881</v>
      </c>
      <c r="N79" s="33">
        <f t="shared" si="39"/>
        <v>0.14870846309963179</v>
      </c>
      <c r="O79" s="33">
        <f t="shared" si="39"/>
        <v>0.16539311925378514</v>
      </c>
      <c r="P79" s="33">
        <f t="shared" si="39"/>
        <v>0.18207777540793843</v>
      </c>
      <c r="Q79" s="33">
        <f t="shared" si="39"/>
        <v>0.19876243156209178</v>
      </c>
      <c r="R79" s="33">
        <f t="shared" si="39"/>
        <v>0.21544708771624513</v>
      </c>
      <c r="S79" s="33">
        <f t="shared" si="39"/>
        <v>0.23213174387039842</v>
      </c>
      <c r="T79" s="33">
        <f t="shared" si="39"/>
        <v>0.24881640002455177</v>
      </c>
      <c r="U79" s="33">
        <f t="shared" si="39"/>
        <v>0.26550105617870512</v>
      </c>
      <c r="V79" s="33">
        <f t="shared" si="39"/>
        <v>0.28218571233285838</v>
      </c>
      <c r="W79" s="33">
        <f t="shared" si="39"/>
        <v>0.28218571233285838</v>
      </c>
      <c r="X79" s="33">
        <f t="shared" si="39"/>
        <v>0.28218571233285838</v>
      </c>
      <c r="Y79" s="33">
        <f t="shared" si="39"/>
        <v>0.28218571233285838</v>
      </c>
      <c r="Z79" s="33">
        <f t="shared" si="39"/>
        <v>0.28218571233285838</v>
      </c>
      <c r="AA79" s="19"/>
      <c r="AB79" s="7"/>
    </row>
    <row r="80" spans="1:28" x14ac:dyDescent="0.2">
      <c r="A80" s="7"/>
      <c r="B80" s="7"/>
      <c r="C80" s="22" t="s">
        <v>1042</v>
      </c>
      <c r="D80" s="7"/>
      <c r="E80" s="319">
        <f>MAX(G80:Z80)</f>
        <v>37168.15</v>
      </c>
      <c r="F80" s="318"/>
      <c r="G80" s="319">
        <f>G69+G76+G77</f>
        <v>0</v>
      </c>
      <c r="H80" s="319">
        <f t="shared" ref="H80:Z80" si="40">H69+H76+H77</f>
        <v>25065</v>
      </c>
      <c r="I80" s="319">
        <f t="shared" si="40"/>
        <v>23812.95</v>
      </c>
      <c r="J80" s="319">
        <f t="shared" si="40"/>
        <v>24647.65</v>
      </c>
      <c r="K80" s="319">
        <f t="shared" si="40"/>
        <v>26734.400000000001</v>
      </c>
      <c r="L80" s="319">
        <f t="shared" si="40"/>
        <v>35916.1</v>
      </c>
      <c r="M80" s="319">
        <f t="shared" si="40"/>
        <v>35916.1</v>
      </c>
      <c r="N80" s="319">
        <f t="shared" si="40"/>
        <v>37168.15</v>
      </c>
      <c r="O80" s="319">
        <f t="shared" si="40"/>
        <v>37168.15</v>
      </c>
      <c r="P80" s="319">
        <f t="shared" si="40"/>
        <v>37168.15</v>
      </c>
      <c r="Q80" s="319">
        <f t="shared" si="40"/>
        <v>37168.15</v>
      </c>
      <c r="R80" s="319">
        <f t="shared" si="40"/>
        <v>37168.15</v>
      </c>
      <c r="S80" s="319">
        <f t="shared" si="40"/>
        <v>37168.15</v>
      </c>
      <c r="T80" s="319">
        <f t="shared" si="40"/>
        <v>37168.15</v>
      </c>
      <c r="U80" s="319">
        <f t="shared" si="40"/>
        <v>37168.15</v>
      </c>
      <c r="V80" s="319">
        <f t="shared" si="40"/>
        <v>37168.15</v>
      </c>
      <c r="W80" s="319">
        <f t="shared" si="40"/>
        <v>37168.15</v>
      </c>
      <c r="X80" s="319">
        <f t="shared" si="40"/>
        <v>37168.15</v>
      </c>
      <c r="Y80" s="319">
        <f t="shared" si="40"/>
        <v>37168.15</v>
      </c>
      <c r="Z80" s="319">
        <f t="shared" si="40"/>
        <v>37168.15</v>
      </c>
      <c r="AA80" s="19"/>
      <c r="AB80" s="7"/>
    </row>
    <row r="81" spans="1:28" x14ac:dyDescent="0.2">
      <c r="A81" s="7"/>
      <c r="B81" s="24" t="s">
        <v>85</v>
      </c>
      <c r="C81" s="24"/>
      <c r="D81" s="24"/>
      <c r="E81" s="24"/>
      <c r="F81" s="24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7"/>
    </row>
    <row r="82" spans="1:28" x14ac:dyDescent="0.2">
      <c r="A82" s="7"/>
      <c r="B82" s="7"/>
      <c r="C82" s="20" t="s">
        <v>5</v>
      </c>
      <c r="D82" s="7"/>
      <c r="E82" s="7"/>
      <c r="F82" s="7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7"/>
    </row>
    <row r="83" spans="1:28" x14ac:dyDescent="0.2">
      <c r="A83" s="7"/>
      <c r="B83" s="7"/>
      <c r="C83" s="7" t="s">
        <v>86</v>
      </c>
      <c r="D83" s="7"/>
      <c r="E83" s="7"/>
      <c r="F83" s="7"/>
      <c r="G83" s="19">
        <f t="shared" ref="G83:Z83" si="41">G57*32%</f>
        <v>0</v>
      </c>
      <c r="H83" s="19">
        <f t="shared" si="41"/>
        <v>9600</v>
      </c>
      <c r="I83" s="19">
        <f t="shared" si="41"/>
        <v>9120</v>
      </c>
      <c r="J83" s="19">
        <f t="shared" si="41"/>
        <v>9440</v>
      </c>
      <c r="K83" s="19">
        <f t="shared" si="41"/>
        <v>10240</v>
      </c>
      <c r="L83" s="19">
        <f t="shared" si="41"/>
        <v>13760</v>
      </c>
      <c r="M83" s="19">
        <f t="shared" si="41"/>
        <v>13760</v>
      </c>
      <c r="N83" s="19">
        <f t="shared" si="41"/>
        <v>14240</v>
      </c>
      <c r="O83" s="19">
        <f t="shared" si="41"/>
        <v>14240</v>
      </c>
      <c r="P83" s="19">
        <f t="shared" si="41"/>
        <v>14240</v>
      </c>
      <c r="Q83" s="19">
        <f t="shared" si="41"/>
        <v>14240</v>
      </c>
      <c r="R83" s="19">
        <f t="shared" si="41"/>
        <v>14240</v>
      </c>
      <c r="S83" s="19">
        <f t="shared" si="41"/>
        <v>14240</v>
      </c>
      <c r="T83" s="19">
        <f t="shared" si="41"/>
        <v>14240</v>
      </c>
      <c r="U83" s="19">
        <f t="shared" si="41"/>
        <v>14240</v>
      </c>
      <c r="V83" s="19">
        <f t="shared" si="41"/>
        <v>14240</v>
      </c>
      <c r="W83" s="19">
        <f t="shared" si="41"/>
        <v>14240</v>
      </c>
      <c r="X83" s="19">
        <f t="shared" si="41"/>
        <v>14240</v>
      </c>
      <c r="Y83" s="19">
        <f t="shared" si="41"/>
        <v>14240</v>
      </c>
      <c r="Z83" s="19">
        <f t="shared" si="41"/>
        <v>14240</v>
      </c>
      <c r="AA83" s="19"/>
      <c r="AB83" s="7"/>
    </row>
    <row r="84" spans="1:28" x14ac:dyDescent="0.2">
      <c r="A84" s="7"/>
      <c r="B84" s="7"/>
      <c r="C84" s="7" t="s">
        <v>25</v>
      </c>
      <c r="D84" s="7"/>
      <c r="E84" s="7"/>
      <c r="F84" s="7"/>
      <c r="G84" s="19">
        <f t="shared" ref="G84:Z84" si="42">G83*15%</f>
        <v>0</v>
      </c>
      <c r="H84" s="19">
        <f t="shared" si="42"/>
        <v>1440</v>
      </c>
      <c r="I84" s="19">
        <f t="shared" si="42"/>
        <v>1368</v>
      </c>
      <c r="J84" s="19">
        <f t="shared" si="42"/>
        <v>1416</v>
      </c>
      <c r="K84" s="19">
        <f t="shared" si="42"/>
        <v>1536</v>
      </c>
      <c r="L84" s="19">
        <f t="shared" si="42"/>
        <v>2064</v>
      </c>
      <c r="M84" s="19">
        <f t="shared" si="42"/>
        <v>2064</v>
      </c>
      <c r="N84" s="19">
        <f t="shared" si="42"/>
        <v>2136</v>
      </c>
      <c r="O84" s="19">
        <f t="shared" si="42"/>
        <v>2136</v>
      </c>
      <c r="P84" s="19">
        <f t="shared" si="42"/>
        <v>2136</v>
      </c>
      <c r="Q84" s="19">
        <f t="shared" si="42"/>
        <v>2136</v>
      </c>
      <c r="R84" s="19">
        <f t="shared" si="42"/>
        <v>2136</v>
      </c>
      <c r="S84" s="19">
        <f t="shared" si="42"/>
        <v>2136</v>
      </c>
      <c r="T84" s="19">
        <f t="shared" si="42"/>
        <v>2136</v>
      </c>
      <c r="U84" s="19">
        <f t="shared" si="42"/>
        <v>2136</v>
      </c>
      <c r="V84" s="19">
        <f t="shared" si="42"/>
        <v>2136</v>
      </c>
      <c r="W84" s="19">
        <f t="shared" si="42"/>
        <v>2136</v>
      </c>
      <c r="X84" s="19">
        <f t="shared" si="42"/>
        <v>2136</v>
      </c>
      <c r="Y84" s="19">
        <f t="shared" si="42"/>
        <v>2136</v>
      </c>
      <c r="Z84" s="19">
        <f t="shared" si="42"/>
        <v>2136</v>
      </c>
      <c r="AA84" s="19"/>
      <c r="AB84" s="7"/>
    </row>
    <row r="85" spans="1:28" x14ac:dyDescent="0.2">
      <c r="A85" s="7"/>
      <c r="B85" s="7"/>
      <c r="C85" s="7" t="s">
        <v>87</v>
      </c>
      <c r="D85" s="7"/>
      <c r="E85" s="7"/>
      <c r="F85" s="7"/>
      <c r="G85" s="19">
        <f t="shared" ref="G85:Z85" si="43">IF(G83&lt;240,0,(G83-240)*10%)</f>
        <v>0</v>
      </c>
      <c r="H85" s="19">
        <f t="shared" si="43"/>
        <v>936</v>
      </c>
      <c r="I85" s="19">
        <f t="shared" si="43"/>
        <v>888</v>
      </c>
      <c r="J85" s="19">
        <f t="shared" si="43"/>
        <v>920</v>
      </c>
      <c r="K85" s="19">
        <f t="shared" si="43"/>
        <v>1000</v>
      </c>
      <c r="L85" s="19">
        <f t="shared" si="43"/>
        <v>1352</v>
      </c>
      <c r="M85" s="19">
        <f t="shared" si="43"/>
        <v>1352</v>
      </c>
      <c r="N85" s="19">
        <f t="shared" si="43"/>
        <v>1400</v>
      </c>
      <c r="O85" s="19">
        <f t="shared" si="43"/>
        <v>1400</v>
      </c>
      <c r="P85" s="19">
        <f t="shared" si="43"/>
        <v>1400</v>
      </c>
      <c r="Q85" s="19">
        <f t="shared" si="43"/>
        <v>1400</v>
      </c>
      <c r="R85" s="19">
        <f t="shared" si="43"/>
        <v>1400</v>
      </c>
      <c r="S85" s="19">
        <f t="shared" si="43"/>
        <v>1400</v>
      </c>
      <c r="T85" s="19">
        <f t="shared" si="43"/>
        <v>1400</v>
      </c>
      <c r="U85" s="19">
        <f t="shared" si="43"/>
        <v>1400</v>
      </c>
      <c r="V85" s="19">
        <f t="shared" si="43"/>
        <v>1400</v>
      </c>
      <c r="W85" s="19">
        <f t="shared" si="43"/>
        <v>1400</v>
      </c>
      <c r="X85" s="19">
        <f t="shared" si="43"/>
        <v>1400</v>
      </c>
      <c r="Y85" s="19">
        <f t="shared" si="43"/>
        <v>1400</v>
      </c>
      <c r="Z85" s="19">
        <f t="shared" si="43"/>
        <v>1400</v>
      </c>
      <c r="AA85" s="19"/>
      <c r="AB85" s="7"/>
    </row>
    <row r="86" spans="1:28" x14ac:dyDescent="0.2">
      <c r="A86" s="7"/>
      <c r="B86" s="7"/>
      <c r="C86" s="7" t="s">
        <v>88</v>
      </c>
      <c r="D86" s="7"/>
      <c r="E86" s="7"/>
      <c r="F86" s="7"/>
      <c r="G86" s="19">
        <f t="shared" ref="G86:Z86" si="44">G84+G85</f>
        <v>0</v>
      </c>
      <c r="H86" s="19">
        <f t="shared" si="44"/>
        <v>2376</v>
      </c>
      <c r="I86" s="19">
        <f t="shared" si="44"/>
        <v>2256</v>
      </c>
      <c r="J86" s="19">
        <f t="shared" si="44"/>
        <v>2336</v>
      </c>
      <c r="K86" s="19">
        <f t="shared" si="44"/>
        <v>2536</v>
      </c>
      <c r="L86" s="19">
        <f t="shared" si="44"/>
        <v>3416</v>
      </c>
      <c r="M86" s="19">
        <f t="shared" si="44"/>
        <v>3416</v>
      </c>
      <c r="N86" s="19">
        <f t="shared" si="44"/>
        <v>3536</v>
      </c>
      <c r="O86" s="19">
        <f t="shared" si="44"/>
        <v>3536</v>
      </c>
      <c r="P86" s="19">
        <f t="shared" si="44"/>
        <v>3536</v>
      </c>
      <c r="Q86" s="19">
        <f t="shared" si="44"/>
        <v>3536</v>
      </c>
      <c r="R86" s="19">
        <f t="shared" si="44"/>
        <v>3536</v>
      </c>
      <c r="S86" s="19">
        <f t="shared" si="44"/>
        <v>3536</v>
      </c>
      <c r="T86" s="19">
        <f t="shared" si="44"/>
        <v>3536</v>
      </c>
      <c r="U86" s="19">
        <f t="shared" si="44"/>
        <v>3536</v>
      </c>
      <c r="V86" s="19">
        <f t="shared" si="44"/>
        <v>3536</v>
      </c>
      <c r="W86" s="19">
        <f t="shared" si="44"/>
        <v>3536</v>
      </c>
      <c r="X86" s="19">
        <f t="shared" si="44"/>
        <v>3536</v>
      </c>
      <c r="Y86" s="19">
        <f t="shared" si="44"/>
        <v>3536</v>
      </c>
      <c r="Z86" s="19">
        <f t="shared" si="44"/>
        <v>3536</v>
      </c>
      <c r="AA86" s="19"/>
      <c r="AB86" s="7"/>
    </row>
    <row r="87" spans="1:28" x14ac:dyDescent="0.2">
      <c r="A87" s="7"/>
      <c r="B87" s="7"/>
      <c r="C87" s="7" t="s">
        <v>26</v>
      </c>
      <c r="D87" s="7"/>
      <c r="E87" s="7"/>
      <c r="F87" s="7"/>
      <c r="G87" s="19">
        <f t="shared" ref="G87:Z87" si="45">G83*9%</f>
        <v>0</v>
      </c>
      <c r="H87" s="19">
        <f t="shared" si="45"/>
        <v>864</v>
      </c>
      <c r="I87" s="19">
        <f t="shared" si="45"/>
        <v>820.8</v>
      </c>
      <c r="J87" s="19">
        <f t="shared" si="45"/>
        <v>849.6</v>
      </c>
      <c r="K87" s="19">
        <f t="shared" si="45"/>
        <v>921.59999999999991</v>
      </c>
      <c r="L87" s="19">
        <f t="shared" si="45"/>
        <v>1238.3999999999999</v>
      </c>
      <c r="M87" s="19">
        <f t="shared" si="45"/>
        <v>1238.3999999999999</v>
      </c>
      <c r="N87" s="19">
        <f t="shared" si="45"/>
        <v>1281.5999999999999</v>
      </c>
      <c r="O87" s="19">
        <f t="shared" si="45"/>
        <v>1281.5999999999999</v>
      </c>
      <c r="P87" s="19">
        <f t="shared" si="45"/>
        <v>1281.5999999999999</v>
      </c>
      <c r="Q87" s="19">
        <f t="shared" si="45"/>
        <v>1281.5999999999999</v>
      </c>
      <c r="R87" s="19">
        <f t="shared" si="45"/>
        <v>1281.5999999999999</v>
      </c>
      <c r="S87" s="19">
        <f t="shared" si="45"/>
        <v>1281.5999999999999</v>
      </c>
      <c r="T87" s="19">
        <f t="shared" si="45"/>
        <v>1281.5999999999999</v>
      </c>
      <c r="U87" s="19">
        <f t="shared" si="45"/>
        <v>1281.5999999999999</v>
      </c>
      <c r="V87" s="19">
        <f t="shared" si="45"/>
        <v>1281.5999999999999</v>
      </c>
      <c r="W87" s="19">
        <f t="shared" si="45"/>
        <v>1281.5999999999999</v>
      </c>
      <c r="X87" s="19">
        <f t="shared" si="45"/>
        <v>1281.5999999999999</v>
      </c>
      <c r="Y87" s="19">
        <f t="shared" si="45"/>
        <v>1281.5999999999999</v>
      </c>
      <c r="Z87" s="19">
        <f t="shared" si="45"/>
        <v>1281.5999999999999</v>
      </c>
      <c r="AA87" s="19"/>
      <c r="AB87" s="7"/>
    </row>
    <row r="88" spans="1:28" x14ac:dyDescent="0.2">
      <c r="A88" s="7"/>
      <c r="B88" s="7"/>
      <c r="C88" s="20" t="s">
        <v>4</v>
      </c>
      <c r="D88" s="7"/>
      <c r="E88" s="7"/>
      <c r="F88" s="7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7"/>
    </row>
    <row r="89" spans="1:28" x14ac:dyDescent="0.2">
      <c r="A89" s="7"/>
      <c r="B89" s="7"/>
      <c r="C89" s="7" t="s">
        <v>89</v>
      </c>
      <c r="D89" s="7"/>
      <c r="E89" s="7"/>
      <c r="F89" s="7"/>
      <c r="G89" s="45" t="str">
        <f t="shared" ref="G89:Z89" si="46">IF(G75&lt;0,"NO","YES")</f>
        <v>NÃO</v>
      </c>
      <c r="H89" s="45" t="str">
        <f t="shared" si="46"/>
        <v>SIM</v>
      </c>
      <c r="I89" s="45" t="str">
        <f t="shared" si="46"/>
        <v>NÃO</v>
      </c>
      <c r="J89" s="45" t="str">
        <f t="shared" si="46"/>
        <v>NÃO</v>
      </c>
      <c r="K89" s="45" t="str">
        <f t="shared" si="46"/>
        <v>NÃO</v>
      </c>
      <c r="L89" s="45" t="str">
        <f t="shared" si="46"/>
        <v>SIM</v>
      </c>
      <c r="M89" s="45" t="str">
        <f t="shared" si="46"/>
        <v>SIM</v>
      </c>
      <c r="N89" s="45" t="str">
        <f t="shared" si="46"/>
        <v>SIM</v>
      </c>
      <c r="O89" s="45" t="str">
        <f t="shared" si="46"/>
        <v>SIM</v>
      </c>
      <c r="P89" s="45" t="str">
        <f t="shared" si="46"/>
        <v>SIM</v>
      </c>
      <c r="Q89" s="45" t="str">
        <f t="shared" si="46"/>
        <v>SIM</v>
      </c>
      <c r="R89" s="45" t="str">
        <f t="shared" si="46"/>
        <v>SIM</v>
      </c>
      <c r="S89" s="45" t="str">
        <f t="shared" si="46"/>
        <v>SIM</v>
      </c>
      <c r="T89" s="45" t="str">
        <f t="shared" si="46"/>
        <v>SIM</v>
      </c>
      <c r="U89" s="45" t="str">
        <f t="shared" si="46"/>
        <v>SIM</v>
      </c>
      <c r="V89" s="45" t="str">
        <f t="shared" si="46"/>
        <v>SIM</v>
      </c>
      <c r="W89" s="45" t="str">
        <f t="shared" si="46"/>
        <v>SIM</v>
      </c>
      <c r="X89" s="45" t="str">
        <f t="shared" si="46"/>
        <v>SIM</v>
      </c>
      <c r="Y89" s="45" t="str">
        <f t="shared" si="46"/>
        <v>SIM</v>
      </c>
      <c r="Z89" s="45" t="str">
        <f t="shared" si="46"/>
        <v>SIM</v>
      </c>
      <c r="AA89" s="19"/>
      <c r="AB89" s="7"/>
    </row>
    <row r="90" spans="1:28" x14ac:dyDescent="0.2">
      <c r="A90" s="7"/>
      <c r="B90" s="7"/>
      <c r="C90" s="7" t="s">
        <v>90</v>
      </c>
      <c r="D90" s="7"/>
      <c r="E90" s="7"/>
      <c r="F90" s="7"/>
      <c r="G90" s="19">
        <f t="shared" ref="G90:Z90" si="47">IF(G89="NO",-G75,0)</f>
        <v>10</v>
      </c>
      <c r="H90" s="19">
        <f t="shared" si="47"/>
        <v>0</v>
      </c>
      <c r="I90" s="19">
        <f t="shared" si="47"/>
        <v>6464.8824047624039</v>
      </c>
      <c r="J90" s="19">
        <f t="shared" si="47"/>
        <v>5820.3816976617181</v>
      </c>
      <c r="K90" s="19">
        <f t="shared" si="47"/>
        <v>2746.264551560279</v>
      </c>
      <c r="L90" s="19">
        <f t="shared" si="47"/>
        <v>0</v>
      </c>
      <c r="M90" s="19">
        <f t="shared" si="47"/>
        <v>0</v>
      </c>
      <c r="N90" s="19">
        <f t="shared" si="47"/>
        <v>0</v>
      </c>
      <c r="O90" s="19">
        <f t="shared" si="47"/>
        <v>0</v>
      </c>
      <c r="P90" s="19">
        <f t="shared" si="47"/>
        <v>0</v>
      </c>
      <c r="Q90" s="19">
        <f t="shared" si="47"/>
        <v>0</v>
      </c>
      <c r="R90" s="19">
        <f t="shared" si="47"/>
        <v>0</v>
      </c>
      <c r="S90" s="19">
        <f t="shared" si="47"/>
        <v>0</v>
      </c>
      <c r="T90" s="19">
        <f t="shared" si="47"/>
        <v>0</v>
      </c>
      <c r="U90" s="19">
        <f t="shared" si="47"/>
        <v>0</v>
      </c>
      <c r="V90" s="19">
        <f t="shared" si="47"/>
        <v>0</v>
      </c>
      <c r="W90" s="19">
        <f t="shared" si="47"/>
        <v>0</v>
      </c>
      <c r="X90" s="19">
        <f t="shared" si="47"/>
        <v>0</v>
      </c>
      <c r="Y90" s="19">
        <f t="shared" si="47"/>
        <v>0</v>
      </c>
      <c r="Z90" s="19">
        <f t="shared" si="47"/>
        <v>0</v>
      </c>
      <c r="AA90" s="19"/>
      <c r="AB90" s="7"/>
    </row>
    <row r="91" spans="1:28" x14ac:dyDescent="0.2">
      <c r="A91" s="7"/>
      <c r="B91" s="7"/>
      <c r="C91" s="7" t="s">
        <v>91</v>
      </c>
      <c r="D91" s="7"/>
      <c r="E91" s="7"/>
      <c r="F91" s="7"/>
      <c r="G91" s="19">
        <f t="shared" ref="G91:Z91" si="48">IF(G89="YES",IF((G75*30%)&gt;N(F92),-N(F92),G75*-30%),0)</f>
        <v>0</v>
      </c>
      <c r="H91" s="19">
        <f t="shared" si="48"/>
        <v>-10</v>
      </c>
      <c r="I91" s="19">
        <f t="shared" si="48"/>
        <v>0</v>
      </c>
      <c r="J91" s="19">
        <f t="shared" si="48"/>
        <v>0</v>
      </c>
      <c r="K91" s="19">
        <f t="shared" si="48"/>
        <v>0</v>
      </c>
      <c r="L91" s="19">
        <f t="shared" si="48"/>
        <v>-2504.280778362348</v>
      </c>
      <c r="M91" s="19">
        <f t="shared" si="48"/>
        <v>-2718.8909221927793</v>
      </c>
      <c r="N91" s="19">
        <f t="shared" si="48"/>
        <v>-3358.0760660232113</v>
      </c>
      <c r="O91" s="19">
        <f t="shared" si="48"/>
        <v>-3572.6862098536435</v>
      </c>
      <c r="P91" s="19">
        <f t="shared" si="48"/>
        <v>-2877.5946775524194</v>
      </c>
      <c r="Q91" s="19">
        <f t="shared" si="48"/>
        <v>0</v>
      </c>
      <c r="R91" s="19">
        <f t="shared" si="48"/>
        <v>0</v>
      </c>
      <c r="S91" s="19">
        <f t="shared" si="48"/>
        <v>0</v>
      </c>
      <c r="T91" s="19">
        <f t="shared" si="48"/>
        <v>0</v>
      </c>
      <c r="U91" s="19">
        <f t="shared" si="48"/>
        <v>0</v>
      </c>
      <c r="V91" s="19">
        <f t="shared" si="48"/>
        <v>0</v>
      </c>
      <c r="W91" s="19">
        <f t="shared" si="48"/>
        <v>0</v>
      </c>
      <c r="X91" s="19">
        <f t="shared" si="48"/>
        <v>0</v>
      </c>
      <c r="Y91" s="19">
        <f t="shared" si="48"/>
        <v>0</v>
      </c>
      <c r="Z91" s="19">
        <f t="shared" si="48"/>
        <v>0</v>
      </c>
      <c r="AA91" s="19"/>
      <c r="AB91" s="7"/>
    </row>
    <row r="92" spans="1:28" x14ac:dyDescent="0.2">
      <c r="A92" s="7"/>
      <c r="B92" s="7"/>
      <c r="C92" s="7" t="s">
        <v>92</v>
      </c>
      <c r="D92" s="7"/>
      <c r="E92" s="7"/>
      <c r="F92" s="7"/>
      <c r="G92" s="19">
        <f t="shared" ref="G92:Z92" si="49">N(F92)+G90+G91</f>
        <v>10</v>
      </c>
      <c r="H92" s="19">
        <f t="shared" si="49"/>
        <v>0</v>
      </c>
      <c r="I92" s="19">
        <f t="shared" si="49"/>
        <v>6464.8824047624039</v>
      </c>
      <c r="J92" s="19">
        <f t="shared" si="49"/>
        <v>12285.264102424122</v>
      </c>
      <c r="K92" s="19">
        <f t="shared" si="49"/>
        <v>15031.528653984402</v>
      </c>
      <c r="L92" s="19">
        <f t="shared" si="49"/>
        <v>12527.247875622053</v>
      </c>
      <c r="M92" s="19">
        <f t="shared" si="49"/>
        <v>9808.3569534292747</v>
      </c>
      <c r="N92" s="19">
        <f t="shared" si="49"/>
        <v>6450.2808874060629</v>
      </c>
      <c r="O92" s="19">
        <f t="shared" si="49"/>
        <v>2877.5946775524194</v>
      </c>
      <c r="P92" s="19">
        <f t="shared" si="49"/>
        <v>0</v>
      </c>
      <c r="Q92" s="19">
        <f t="shared" si="49"/>
        <v>0</v>
      </c>
      <c r="R92" s="19">
        <f t="shared" si="49"/>
        <v>0</v>
      </c>
      <c r="S92" s="19">
        <f t="shared" si="49"/>
        <v>0</v>
      </c>
      <c r="T92" s="19">
        <f t="shared" si="49"/>
        <v>0</v>
      </c>
      <c r="U92" s="19">
        <f t="shared" si="49"/>
        <v>0</v>
      </c>
      <c r="V92" s="19">
        <f t="shared" si="49"/>
        <v>0</v>
      </c>
      <c r="W92" s="19">
        <f t="shared" si="49"/>
        <v>0</v>
      </c>
      <c r="X92" s="19">
        <f t="shared" si="49"/>
        <v>0</v>
      </c>
      <c r="Y92" s="19">
        <f t="shared" si="49"/>
        <v>0</v>
      </c>
      <c r="Z92" s="19">
        <f t="shared" si="49"/>
        <v>0</v>
      </c>
      <c r="AA92" s="19"/>
      <c r="AB92" s="7"/>
    </row>
    <row r="93" spans="1:28" x14ac:dyDescent="0.2">
      <c r="A93" s="7"/>
      <c r="B93" s="7"/>
      <c r="C93" s="7" t="s">
        <v>93</v>
      </c>
      <c r="D93" s="7"/>
      <c r="E93" s="7"/>
      <c r="F93" s="7"/>
      <c r="G93" s="19">
        <f t="shared" ref="G93:Z93" si="50">-IF(G89="NO",0,(G75+G91)*-25%)</f>
        <v>0</v>
      </c>
      <c r="H93" s="19">
        <f t="shared" si="50"/>
        <v>6448.1980948748496</v>
      </c>
      <c r="I93" s="19">
        <f t="shared" si="50"/>
        <v>0</v>
      </c>
      <c r="J93" s="19">
        <f t="shared" si="50"/>
        <v>0</v>
      </c>
      <c r="K93" s="19">
        <f t="shared" si="50"/>
        <v>0</v>
      </c>
      <c r="L93" s="19">
        <f t="shared" si="50"/>
        <v>1460.8304540447029</v>
      </c>
      <c r="M93" s="19">
        <f t="shared" si="50"/>
        <v>1586.0197046124549</v>
      </c>
      <c r="N93" s="19">
        <f t="shared" si="50"/>
        <v>1958.8777051802067</v>
      </c>
      <c r="O93" s="19">
        <f t="shared" si="50"/>
        <v>2084.0669557479587</v>
      </c>
      <c r="P93" s="19">
        <f t="shared" si="50"/>
        <v>2436.6816253486245</v>
      </c>
      <c r="Q93" s="19">
        <f t="shared" si="50"/>
        <v>3334.9220812620893</v>
      </c>
      <c r="R93" s="19">
        <f t="shared" si="50"/>
        <v>3513.7638677874493</v>
      </c>
      <c r="S93" s="19">
        <f t="shared" si="50"/>
        <v>3692.6056543128088</v>
      </c>
      <c r="T93" s="19">
        <f t="shared" si="50"/>
        <v>3871.4474408381689</v>
      </c>
      <c r="U93" s="19">
        <f t="shared" si="50"/>
        <v>4050.2892273635289</v>
      </c>
      <c r="V93" s="19">
        <f t="shared" si="50"/>
        <v>4229.1310138888884</v>
      </c>
      <c r="W93" s="19">
        <f t="shared" si="50"/>
        <v>4229.1310138888884</v>
      </c>
      <c r="X93" s="19">
        <f t="shared" si="50"/>
        <v>4229.1310138888884</v>
      </c>
      <c r="Y93" s="19">
        <f t="shared" si="50"/>
        <v>4229.1310138888884</v>
      </c>
      <c r="Z93" s="19">
        <f t="shared" si="50"/>
        <v>4229.1310138888884</v>
      </c>
      <c r="AA93" s="19"/>
      <c r="AB93" s="7"/>
    </row>
    <row r="94" spans="1:28" x14ac:dyDescent="0.2">
      <c r="A94" s="7"/>
      <c r="B94" s="7"/>
      <c r="C94" s="7" t="s">
        <v>94</v>
      </c>
      <c r="D94" s="7"/>
      <c r="E94" s="7"/>
      <c r="F94" s="7"/>
      <c r="G94" s="19">
        <f t="shared" ref="G94:Z94" si="51">-IF(G89="NO",0,(G75+G91)*-9%)</f>
        <v>0</v>
      </c>
      <c r="H94" s="19">
        <f t="shared" si="51"/>
        <v>2321.3513141549456</v>
      </c>
      <c r="I94" s="19">
        <f t="shared" si="51"/>
        <v>0</v>
      </c>
      <c r="J94" s="19">
        <f t="shared" si="51"/>
        <v>0</v>
      </c>
      <c r="K94" s="19">
        <f t="shared" si="51"/>
        <v>0</v>
      </c>
      <c r="L94" s="19">
        <f t="shared" si="51"/>
        <v>525.89896345609304</v>
      </c>
      <c r="M94" s="19">
        <f t="shared" si="51"/>
        <v>570.96709366048378</v>
      </c>
      <c r="N94" s="19">
        <f t="shared" si="51"/>
        <v>705.19597386487442</v>
      </c>
      <c r="O94" s="19">
        <f t="shared" si="51"/>
        <v>750.26410406926504</v>
      </c>
      <c r="P94" s="19">
        <f t="shared" si="51"/>
        <v>877.20538512550479</v>
      </c>
      <c r="Q94" s="19">
        <f t="shared" si="51"/>
        <v>1200.5719492543521</v>
      </c>
      <c r="R94" s="19">
        <f t="shared" si="51"/>
        <v>1264.9549924034816</v>
      </c>
      <c r="S94" s="19">
        <f t="shared" si="51"/>
        <v>1329.3380355526112</v>
      </c>
      <c r="T94" s="19">
        <f t="shared" si="51"/>
        <v>1393.7210787017407</v>
      </c>
      <c r="U94" s="19">
        <f t="shared" si="51"/>
        <v>1458.1041218508703</v>
      </c>
      <c r="V94" s="19">
        <f t="shared" si="51"/>
        <v>1522.4871649999998</v>
      </c>
      <c r="W94" s="19">
        <f t="shared" si="51"/>
        <v>1522.4871649999998</v>
      </c>
      <c r="X94" s="19">
        <f t="shared" si="51"/>
        <v>1522.4871649999998</v>
      </c>
      <c r="Y94" s="19">
        <f t="shared" si="51"/>
        <v>1522.4871649999998</v>
      </c>
      <c r="Z94" s="19">
        <f t="shared" si="51"/>
        <v>1522.4871649999998</v>
      </c>
      <c r="AA94" s="19"/>
      <c r="AB94" s="7"/>
    </row>
    <row r="95" spans="1:28" x14ac:dyDescent="0.2">
      <c r="A95" s="7"/>
      <c r="B95" s="7"/>
      <c r="C95" s="7"/>
      <c r="D95" s="7"/>
      <c r="E95" s="7"/>
      <c r="F95" s="7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7"/>
    </row>
    <row r="96" spans="1:28" x14ac:dyDescent="0.2">
      <c r="A96" s="7"/>
      <c r="B96" s="24" t="s">
        <v>15</v>
      </c>
      <c r="C96" s="24"/>
      <c r="D96" s="24"/>
      <c r="E96" s="24"/>
      <c r="F96" s="24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7"/>
    </row>
    <row r="97" spans="1:28" x14ac:dyDescent="0.2">
      <c r="A97" s="7"/>
      <c r="B97" s="7"/>
      <c r="C97" s="7" t="s">
        <v>95</v>
      </c>
      <c r="D97" s="7"/>
      <c r="E97" s="7"/>
      <c r="F97" s="7"/>
      <c r="G97" s="19">
        <f t="shared" ref="G97:Z97" si="52">G78</f>
        <v>-10</v>
      </c>
      <c r="H97" s="19">
        <f t="shared" si="52"/>
        <v>22562.792379499399</v>
      </c>
      <c r="I97" s="19">
        <f t="shared" si="52"/>
        <v>-9541.6824047624032</v>
      </c>
      <c r="J97" s="19">
        <f t="shared" si="52"/>
        <v>-9005.9816976617185</v>
      </c>
      <c r="K97" s="19">
        <f t="shared" si="52"/>
        <v>-6203.8645515602784</v>
      </c>
      <c r="L97" s="19">
        <f t="shared" si="52"/>
        <v>3693.2025945411606</v>
      </c>
      <c r="M97" s="19">
        <f t="shared" si="52"/>
        <v>4408.5697406425988</v>
      </c>
      <c r="N97" s="19">
        <f t="shared" si="52"/>
        <v>6375.9868867440382</v>
      </c>
      <c r="O97" s="19">
        <f t="shared" si="52"/>
        <v>7091.3540328454783</v>
      </c>
      <c r="P97" s="19">
        <f t="shared" si="52"/>
        <v>7806.7211789469166</v>
      </c>
      <c r="Q97" s="19">
        <f t="shared" si="52"/>
        <v>8522.0883250483566</v>
      </c>
      <c r="R97" s="19">
        <f t="shared" si="52"/>
        <v>9237.4554711497967</v>
      </c>
      <c r="S97" s="19">
        <f t="shared" si="52"/>
        <v>9952.822617251235</v>
      </c>
      <c r="T97" s="19">
        <f t="shared" si="52"/>
        <v>10668.189763352675</v>
      </c>
      <c r="U97" s="19">
        <f t="shared" si="52"/>
        <v>11383.556909454115</v>
      </c>
      <c r="V97" s="19">
        <f t="shared" si="52"/>
        <v>12098.924055555553</v>
      </c>
      <c r="W97" s="19">
        <f t="shared" si="52"/>
        <v>12098.924055555553</v>
      </c>
      <c r="X97" s="19">
        <f t="shared" si="52"/>
        <v>12098.924055555553</v>
      </c>
      <c r="Y97" s="19">
        <f t="shared" si="52"/>
        <v>12098.924055555553</v>
      </c>
      <c r="Z97" s="19">
        <f t="shared" si="52"/>
        <v>12098.924055555553</v>
      </c>
      <c r="AA97" s="19"/>
      <c r="AB97" s="7"/>
    </row>
    <row r="98" spans="1:28" x14ac:dyDescent="0.2">
      <c r="A98" s="7"/>
      <c r="B98" s="7"/>
      <c r="C98" s="7" t="s">
        <v>17</v>
      </c>
      <c r="D98" s="7"/>
      <c r="E98" s="7"/>
      <c r="F98" s="7"/>
      <c r="G98" s="19">
        <f t="shared" ref="G98:Z98" si="53">-G76</f>
        <v>0</v>
      </c>
      <c r="H98" s="19">
        <f t="shared" si="53"/>
        <v>2376</v>
      </c>
      <c r="I98" s="19">
        <f t="shared" si="53"/>
        <v>2256</v>
      </c>
      <c r="J98" s="19">
        <f t="shared" si="53"/>
        <v>2336</v>
      </c>
      <c r="K98" s="19">
        <f t="shared" si="53"/>
        <v>2536</v>
      </c>
      <c r="L98" s="19">
        <f t="shared" si="53"/>
        <v>3416</v>
      </c>
      <c r="M98" s="19">
        <f t="shared" si="53"/>
        <v>3416</v>
      </c>
      <c r="N98" s="19">
        <f t="shared" si="53"/>
        <v>3536</v>
      </c>
      <c r="O98" s="19">
        <f t="shared" si="53"/>
        <v>3536</v>
      </c>
      <c r="P98" s="19">
        <f t="shared" si="53"/>
        <v>3536</v>
      </c>
      <c r="Q98" s="19">
        <f t="shared" si="53"/>
        <v>3536</v>
      </c>
      <c r="R98" s="19">
        <f t="shared" si="53"/>
        <v>3536</v>
      </c>
      <c r="S98" s="19">
        <f t="shared" si="53"/>
        <v>3536</v>
      </c>
      <c r="T98" s="19">
        <f t="shared" si="53"/>
        <v>3536</v>
      </c>
      <c r="U98" s="19">
        <f t="shared" si="53"/>
        <v>3536</v>
      </c>
      <c r="V98" s="19">
        <f t="shared" si="53"/>
        <v>3536</v>
      </c>
      <c r="W98" s="19">
        <f t="shared" si="53"/>
        <v>3536</v>
      </c>
      <c r="X98" s="19">
        <f t="shared" si="53"/>
        <v>3536</v>
      </c>
      <c r="Y98" s="19">
        <f t="shared" si="53"/>
        <v>3536</v>
      </c>
      <c r="Z98" s="19">
        <f t="shared" si="53"/>
        <v>3536</v>
      </c>
      <c r="AA98" s="19"/>
      <c r="AB98" s="7"/>
    </row>
    <row r="99" spans="1:28" x14ac:dyDescent="0.2">
      <c r="A99" s="7"/>
      <c r="B99" s="7"/>
      <c r="C99" s="7" t="s">
        <v>18</v>
      </c>
      <c r="D99" s="7"/>
      <c r="E99" s="7"/>
      <c r="F99" s="7"/>
      <c r="G99" s="19">
        <f t="shared" ref="G99:Z99" si="54">-G77</f>
        <v>0</v>
      </c>
      <c r="H99" s="19">
        <f t="shared" si="54"/>
        <v>864</v>
      </c>
      <c r="I99" s="19">
        <f t="shared" si="54"/>
        <v>820.8</v>
      </c>
      <c r="J99" s="19">
        <f t="shared" si="54"/>
        <v>849.6</v>
      </c>
      <c r="K99" s="19">
        <f t="shared" si="54"/>
        <v>921.59999999999991</v>
      </c>
      <c r="L99" s="19">
        <f t="shared" si="54"/>
        <v>1238.3999999999999</v>
      </c>
      <c r="M99" s="19">
        <f t="shared" si="54"/>
        <v>1238.3999999999999</v>
      </c>
      <c r="N99" s="19">
        <f t="shared" si="54"/>
        <v>1281.5999999999999</v>
      </c>
      <c r="O99" s="19">
        <f t="shared" si="54"/>
        <v>1281.5999999999999</v>
      </c>
      <c r="P99" s="19">
        <f t="shared" si="54"/>
        <v>1281.5999999999999</v>
      </c>
      <c r="Q99" s="19">
        <f t="shared" si="54"/>
        <v>1281.5999999999999</v>
      </c>
      <c r="R99" s="19">
        <f t="shared" si="54"/>
        <v>1281.5999999999999</v>
      </c>
      <c r="S99" s="19">
        <f t="shared" si="54"/>
        <v>1281.5999999999999</v>
      </c>
      <c r="T99" s="19">
        <f t="shared" si="54"/>
        <v>1281.5999999999999</v>
      </c>
      <c r="U99" s="19">
        <f t="shared" si="54"/>
        <v>1281.5999999999999</v>
      </c>
      <c r="V99" s="19">
        <f t="shared" si="54"/>
        <v>1281.5999999999999</v>
      </c>
      <c r="W99" s="19">
        <f t="shared" si="54"/>
        <v>1281.5999999999999</v>
      </c>
      <c r="X99" s="19">
        <f t="shared" si="54"/>
        <v>1281.5999999999999</v>
      </c>
      <c r="Y99" s="19">
        <f t="shared" si="54"/>
        <v>1281.5999999999999</v>
      </c>
      <c r="Z99" s="19">
        <f t="shared" si="54"/>
        <v>1281.5999999999999</v>
      </c>
      <c r="AA99" s="19"/>
      <c r="AB99" s="7"/>
    </row>
    <row r="100" spans="1:28" x14ac:dyDescent="0.2">
      <c r="A100" s="7"/>
      <c r="B100" s="7"/>
      <c r="C100" s="7" t="s">
        <v>96</v>
      </c>
      <c r="D100" s="7"/>
      <c r="E100" s="7"/>
      <c r="F100" s="7"/>
      <c r="G100" s="19">
        <f t="shared" ref="G100:Z100" si="55">-G73</f>
        <v>10</v>
      </c>
      <c r="H100" s="19">
        <f t="shared" si="55"/>
        <v>2502.207620500601</v>
      </c>
      <c r="I100" s="19">
        <f t="shared" si="55"/>
        <v>8310.4064603179577</v>
      </c>
      <c r="J100" s="19">
        <f t="shared" si="55"/>
        <v>8609.4057532172719</v>
      </c>
      <c r="K100" s="19">
        <f t="shared" si="55"/>
        <v>7894.0386071158327</v>
      </c>
      <c r="L100" s="19">
        <f t="shared" si="55"/>
        <v>7178.6714610143936</v>
      </c>
      <c r="M100" s="19">
        <f t="shared" si="55"/>
        <v>6463.3043149129544</v>
      </c>
      <c r="N100" s="19">
        <f t="shared" si="55"/>
        <v>5747.9371688115152</v>
      </c>
      <c r="O100" s="19">
        <f t="shared" si="55"/>
        <v>5032.5700227100751</v>
      </c>
      <c r="P100" s="19">
        <f t="shared" si="55"/>
        <v>4317.202876608636</v>
      </c>
      <c r="Q100" s="19">
        <f t="shared" si="55"/>
        <v>3601.8357305071963</v>
      </c>
      <c r="R100" s="19">
        <f t="shared" si="55"/>
        <v>2886.4685844057567</v>
      </c>
      <c r="S100" s="19">
        <f t="shared" si="55"/>
        <v>2171.1014383043175</v>
      </c>
      <c r="T100" s="19">
        <f t="shared" si="55"/>
        <v>1455.7342922028781</v>
      </c>
      <c r="U100" s="19">
        <f t="shared" si="55"/>
        <v>740.36714610143872</v>
      </c>
      <c r="V100" s="19">
        <f t="shared" si="55"/>
        <v>25</v>
      </c>
      <c r="W100" s="19">
        <f t="shared" si="55"/>
        <v>25</v>
      </c>
      <c r="X100" s="19">
        <f t="shared" si="55"/>
        <v>25</v>
      </c>
      <c r="Y100" s="19">
        <f t="shared" si="55"/>
        <v>25</v>
      </c>
      <c r="Z100" s="19">
        <f t="shared" si="55"/>
        <v>25</v>
      </c>
      <c r="AA100" s="19"/>
      <c r="AB100" s="7"/>
    </row>
    <row r="101" spans="1:28" x14ac:dyDescent="0.2">
      <c r="A101" s="7"/>
      <c r="B101" s="7"/>
      <c r="C101" s="7" t="s">
        <v>97</v>
      </c>
      <c r="D101" s="7"/>
      <c r="E101" s="7"/>
      <c r="F101" s="7"/>
      <c r="G101" s="19">
        <f t="shared" ref="G101:Z101" si="56">-G74</f>
        <v>0</v>
      </c>
      <c r="H101" s="19">
        <f t="shared" si="56"/>
        <v>0</v>
      </c>
      <c r="I101" s="19">
        <f t="shared" si="56"/>
        <v>0</v>
      </c>
      <c r="J101" s="19">
        <f t="shared" si="56"/>
        <v>0</v>
      </c>
      <c r="K101" s="19">
        <f t="shared" si="56"/>
        <v>0</v>
      </c>
      <c r="L101" s="19">
        <f t="shared" si="56"/>
        <v>0</v>
      </c>
      <c r="M101" s="19">
        <f t="shared" si="56"/>
        <v>0</v>
      </c>
      <c r="N101" s="19">
        <f t="shared" si="56"/>
        <v>0</v>
      </c>
      <c r="O101" s="19">
        <f t="shared" si="56"/>
        <v>0</v>
      </c>
      <c r="P101" s="19">
        <f t="shared" si="56"/>
        <v>0</v>
      </c>
      <c r="Q101" s="19">
        <f t="shared" si="56"/>
        <v>0</v>
      </c>
      <c r="R101" s="19">
        <f t="shared" si="56"/>
        <v>0</v>
      </c>
      <c r="S101" s="19">
        <f t="shared" si="56"/>
        <v>0</v>
      </c>
      <c r="T101" s="19">
        <f t="shared" si="56"/>
        <v>0</v>
      </c>
      <c r="U101" s="19">
        <f t="shared" si="56"/>
        <v>0</v>
      </c>
      <c r="V101" s="19">
        <f t="shared" si="56"/>
        <v>0</v>
      </c>
      <c r="W101" s="19">
        <f t="shared" si="56"/>
        <v>0</v>
      </c>
      <c r="X101" s="19">
        <f t="shared" si="56"/>
        <v>0</v>
      </c>
      <c r="Y101" s="19">
        <f t="shared" si="56"/>
        <v>0</v>
      </c>
      <c r="Z101" s="19">
        <f t="shared" si="56"/>
        <v>0</v>
      </c>
      <c r="AA101" s="19"/>
      <c r="AB101" s="7"/>
    </row>
    <row r="102" spans="1:28" x14ac:dyDescent="0.2">
      <c r="A102" s="7"/>
      <c r="B102" s="7"/>
      <c r="C102" s="7" t="s">
        <v>98</v>
      </c>
      <c r="D102" s="7"/>
      <c r="E102" s="7"/>
      <c r="F102" s="7"/>
      <c r="G102" s="19">
        <f t="shared" ref="G102:Z102" si="57">-G71</f>
        <v>0</v>
      </c>
      <c r="H102" s="19">
        <f t="shared" si="57"/>
        <v>0</v>
      </c>
      <c r="I102" s="19">
        <f t="shared" si="57"/>
        <v>25044.225944444446</v>
      </c>
      <c r="J102" s="19">
        <f t="shared" si="57"/>
        <v>25044.225944444446</v>
      </c>
      <c r="K102" s="19">
        <f t="shared" si="57"/>
        <v>25044.225944444446</v>
      </c>
      <c r="L102" s="19">
        <f t="shared" si="57"/>
        <v>25044.225944444446</v>
      </c>
      <c r="M102" s="19">
        <f t="shared" si="57"/>
        <v>25044.225944444446</v>
      </c>
      <c r="N102" s="19">
        <f t="shared" si="57"/>
        <v>25044.225944444446</v>
      </c>
      <c r="O102" s="19">
        <f t="shared" si="57"/>
        <v>25044.225944444446</v>
      </c>
      <c r="P102" s="19">
        <f t="shared" si="57"/>
        <v>25044.225944444446</v>
      </c>
      <c r="Q102" s="19">
        <f t="shared" si="57"/>
        <v>25044.225944444446</v>
      </c>
      <c r="R102" s="19">
        <f t="shared" si="57"/>
        <v>25044.225944444446</v>
      </c>
      <c r="S102" s="19">
        <f t="shared" si="57"/>
        <v>25044.225944444446</v>
      </c>
      <c r="T102" s="19">
        <f t="shared" si="57"/>
        <v>25044.225944444446</v>
      </c>
      <c r="U102" s="19">
        <f t="shared" si="57"/>
        <v>25044.225944444446</v>
      </c>
      <c r="V102" s="19">
        <f t="shared" si="57"/>
        <v>25044.225944444446</v>
      </c>
      <c r="W102" s="19">
        <f t="shared" si="57"/>
        <v>25044.225944444446</v>
      </c>
      <c r="X102" s="19">
        <f t="shared" si="57"/>
        <v>25044.225944444446</v>
      </c>
      <c r="Y102" s="19">
        <f t="shared" si="57"/>
        <v>25044.225944444446</v>
      </c>
      <c r="Z102" s="19">
        <f t="shared" si="57"/>
        <v>25044.225944444446</v>
      </c>
      <c r="AA102" s="19"/>
      <c r="AB102" s="7"/>
    </row>
    <row r="103" spans="1:28" x14ac:dyDescent="0.2">
      <c r="A103" s="7"/>
      <c r="B103" s="29" t="s">
        <v>9</v>
      </c>
      <c r="C103" s="29"/>
      <c r="D103" s="29"/>
      <c r="E103" s="29"/>
      <c r="F103" s="29"/>
      <c r="G103" s="30">
        <f t="shared" ref="G103:Z103" si="58">SUM(G97:G102)</f>
        <v>0</v>
      </c>
      <c r="H103" s="30">
        <f t="shared" si="58"/>
        <v>28305</v>
      </c>
      <c r="I103" s="30">
        <f t="shared" si="58"/>
        <v>26889.75</v>
      </c>
      <c r="J103" s="30">
        <f t="shared" si="58"/>
        <v>27833.25</v>
      </c>
      <c r="K103" s="30">
        <f t="shared" si="58"/>
        <v>30192</v>
      </c>
      <c r="L103" s="30">
        <f t="shared" si="58"/>
        <v>40570.5</v>
      </c>
      <c r="M103" s="30">
        <f t="shared" si="58"/>
        <v>40570.5</v>
      </c>
      <c r="N103" s="30">
        <f t="shared" si="58"/>
        <v>41985.75</v>
      </c>
      <c r="O103" s="30">
        <f t="shared" si="58"/>
        <v>41985.75</v>
      </c>
      <c r="P103" s="30">
        <f t="shared" si="58"/>
        <v>41985.75</v>
      </c>
      <c r="Q103" s="30">
        <f t="shared" si="58"/>
        <v>41985.75</v>
      </c>
      <c r="R103" s="30">
        <f t="shared" si="58"/>
        <v>41985.75</v>
      </c>
      <c r="S103" s="30">
        <f t="shared" si="58"/>
        <v>41985.75</v>
      </c>
      <c r="T103" s="30">
        <f t="shared" si="58"/>
        <v>41985.75</v>
      </c>
      <c r="U103" s="30">
        <f t="shared" si="58"/>
        <v>41985.75</v>
      </c>
      <c r="V103" s="30">
        <f t="shared" si="58"/>
        <v>41985.75</v>
      </c>
      <c r="W103" s="30">
        <f t="shared" si="58"/>
        <v>41985.75</v>
      </c>
      <c r="X103" s="30">
        <f t="shared" si="58"/>
        <v>41985.75</v>
      </c>
      <c r="Y103" s="30">
        <f t="shared" si="58"/>
        <v>41985.75</v>
      </c>
      <c r="Z103" s="30">
        <f t="shared" si="58"/>
        <v>41985.75</v>
      </c>
      <c r="AA103" s="30"/>
      <c r="AB103" s="7"/>
    </row>
    <row r="104" spans="1:28" x14ac:dyDescent="0.2">
      <c r="A104" s="7"/>
      <c r="B104" s="7"/>
      <c r="C104" s="7" t="s">
        <v>58</v>
      </c>
      <c r="D104" s="7"/>
      <c r="E104" s="7"/>
      <c r="F104" s="7"/>
      <c r="G104" s="19">
        <f t="shared" ref="G104:Z104" si="59">-G29</f>
        <v>0</v>
      </c>
      <c r="H104" s="19">
        <f t="shared" si="59"/>
        <v>0</v>
      </c>
      <c r="I104" s="19">
        <f t="shared" si="59"/>
        <v>0</v>
      </c>
      <c r="J104" s="19">
        <f t="shared" si="59"/>
        <v>0</v>
      </c>
      <c r="K104" s="19">
        <f t="shared" si="59"/>
        <v>0</v>
      </c>
      <c r="L104" s="19">
        <f t="shared" si="59"/>
        <v>0</v>
      </c>
      <c r="M104" s="19">
        <f t="shared" si="59"/>
        <v>0</v>
      </c>
      <c r="N104" s="19">
        <f t="shared" si="59"/>
        <v>0</v>
      </c>
      <c r="O104" s="19">
        <f t="shared" si="59"/>
        <v>0</v>
      </c>
      <c r="P104" s="19">
        <f t="shared" si="59"/>
        <v>0</v>
      </c>
      <c r="Q104" s="19">
        <f t="shared" si="59"/>
        <v>0</v>
      </c>
      <c r="R104" s="19">
        <f t="shared" si="59"/>
        <v>0</v>
      </c>
      <c r="S104" s="19">
        <f t="shared" si="59"/>
        <v>0</v>
      </c>
      <c r="T104" s="19">
        <f t="shared" si="59"/>
        <v>0</v>
      </c>
      <c r="U104" s="19">
        <f t="shared" si="59"/>
        <v>0</v>
      </c>
      <c r="V104" s="19">
        <f t="shared" si="59"/>
        <v>0</v>
      </c>
      <c r="W104" s="19">
        <f t="shared" si="59"/>
        <v>0</v>
      </c>
      <c r="X104" s="19">
        <f t="shared" si="59"/>
        <v>0</v>
      </c>
      <c r="Y104" s="19">
        <f t="shared" si="59"/>
        <v>0</v>
      </c>
      <c r="Z104" s="19">
        <f t="shared" si="59"/>
        <v>0</v>
      </c>
      <c r="AA104" s="19"/>
      <c r="AB104" s="7"/>
    </row>
    <row r="105" spans="1:28" x14ac:dyDescent="0.2">
      <c r="A105" s="7"/>
      <c r="B105" s="7"/>
      <c r="C105" s="7" t="s">
        <v>1021</v>
      </c>
      <c r="D105" s="7"/>
      <c r="E105" s="7"/>
      <c r="F105" s="7"/>
      <c r="G105" s="19">
        <f>-SUM(G30:G35)</f>
        <v>-130086.51787522693</v>
      </c>
      <c r="H105" s="19">
        <f t="shared" ref="H105:Z105" si="60">-SUM(H30:H35)</f>
        <v>-305008.08892477315</v>
      </c>
      <c r="I105" s="19">
        <f t="shared" si="60"/>
        <v>-15701.460199999998</v>
      </c>
      <c r="J105" s="19">
        <f t="shared" si="60"/>
        <v>0</v>
      </c>
      <c r="K105" s="19">
        <f t="shared" si="60"/>
        <v>0</v>
      </c>
      <c r="L105" s="19">
        <f t="shared" si="60"/>
        <v>0</v>
      </c>
      <c r="M105" s="19">
        <f t="shared" si="60"/>
        <v>0</v>
      </c>
      <c r="N105" s="19">
        <f t="shared" si="60"/>
        <v>0</v>
      </c>
      <c r="O105" s="19">
        <f t="shared" si="60"/>
        <v>0</v>
      </c>
      <c r="P105" s="19">
        <f t="shared" si="60"/>
        <v>0</v>
      </c>
      <c r="Q105" s="19">
        <f t="shared" si="60"/>
        <v>0</v>
      </c>
      <c r="R105" s="19">
        <f t="shared" si="60"/>
        <v>0</v>
      </c>
      <c r="S105" s="19">
        <f t="shared" si="60"/>
        <v>0</v>
      </c>
      <c r="T105" s="19">
        <f t="shared" si="60"/>
        <v>0</v>
      </c>
      <c r="U105" s="19">
        <f t="shared" si="60"/>
        <v>0</v>
      </c>
      <c r="V105" s="19">
        <f t="shared" si="60"/>
        <v>0</v>
      </c>
      <c r="W105" s="19">
        <f t="shared" si="60"/>
        <v>0</v>
      </c>
      <c r="X105" s="19">
        <f t="shared" si="60"/>
        <v>0</v>
      </c>
      <c r="Y105" s="19">
        <f t="shared" si="60"/>
        <v>0</v>
      </c>
      <c r="Z105" s="19">
        <f t="shared" si="60"/>
        <v>0</v>
      </c>
      <c r="AA105" s="19"/>
      <c r="AB105" s="7"/>
    </row>
    <row r="106" spans="1:28" x14ac:dyDescent="0.2">
      <c r="A106" s="7"/>
      <c r="B106" s="29" t="s">
        <v>19</v>
      </c>
      <c r="C106" s="29"/>
      <c r="D106" s="29"/>
      <c r="E106" s="29"/>
      <c r="F106" s="29"/>
      <c r="G106" s="30">
        <f t="shared" ref="G106:Z106" si="61">SUM(G107:G110)</f>
        <v>45589.83827187572</v>
      </c>
      <c r="H106" s="30">
        <f t="shared" si="61"/>
        <v>142060.75309997625</v>
      </c>
      <c r="I106" s="30">
        <f t="shared" si="61"/>
        <v>7289.408628148034</v>
      </c>
      <c r="J106" s="30">
        <f t="shared" si="61"/>
        <v>-19552.019834035833</v>
      </c>
      <c r="K106" s="30">
        <f t="shared" si="61"/>
        <v>-25394.038607115832</v>
      </c>
      <c r="L106" s="30">
        <f t="shared" si="61"/>
        <v>-24678.671461014394</v>
      </c>
      <c r="M106" s="30">
        <f t="shared" si="61"/>
        <v>-23963.304314912955</v>
      </c>
      <c r="N106" s="30">
        <f t="shared" si="61"/>
        <v>-23247.937168811513</v>
      </c>
      <c r="O106" s="30">
        <f t="shared" si="61"/>
        <v>-22532.570022710075</v>
      </c>
      <c r="P106" s="30">
        <f t="shared" si="61"/>
        <v>-21817.202876608637</v>
      </c>
      <c r="Q106" s="30">
        <f t="shared" si="61"/>
        <v>-21101.835730507195</v>
      </c>
      <c r="R106" s="30">
        <f t="shared" si="61"/>
        <v>-20386.468584405757</v>
      </c>
      <c r="S106" s="30">
        <f t="shared" si="61"/>
        <v>-19671.101438304318</v>
      </c>
      <c r="T106" s="30">
        <f t="shared" si="61"/>
        <v>-18955.734292202877</v>
      </c>
      <c r="U106" s="30">
        <f t="shared" si="61"/>
        <v>-18240.367146101424</v>
      </c>
      <c r="V106" s="30">
        <f t="shared" si="61"/>
        <v>-25</v>
      </c>
      <c r="W106" s="30">
        <f t="shared" si="61"/>
        <v>-25</v>
      </c>
      <c r="X106" s="30">
        <f t="shared" si="61"/>
        <v>-25</v>
      </c>
      <c r="Y106" s="30">
        <f t="shared" si="61"/>
        <v>-25</v>
      </c>
      <c r="Z106" s="30">
        <f t="shared" si="61"/>
        <v>-25</v>
      </c>
      <c r="AA106" s="30"/>
      <c r="AB106" s="7"/>
    </row>
    <row r="107" spans="1:28" x14ac:dyDescent="0.2">
      <c r="A107" s="7"/>
      <c r="B107" s="7"/>
      <c r="C107" s="7" t="s">
        <v>20</v>
      </c>
      <c r="D107" s="7"/>
      <c r="E107" s="7"/>
      <c r="F107" s="7"/>
      <c r="G107" s="19">
        <f t="shared" ref="G107:Z107" si="62">G43</f>
        <v>60599.83827187572</v>
      </c>
      <c r="H107" s="19">
        <f t="shared" si="62"/>
        <v>142085.75309997625</v>
      </c>
      <c r="I107" s="19">
        <f t="shared" si="62"/>
        <v>7314.408628148034</v>
      </c>
      <c r="J107" s="19">
        <f t="shared" si="62"/>
        <v>0</v>
      </c>
      <c r="K107" s="19">
        <f t="shared" si="62"/>
        <v>0</v>
      </c>
      <c r="L107" s="19">
        <f t="shared" si="62"/>
        <v>0</v>
      </c>
      <c r="M107" s="19">
        <f t="shared" si="62"/>
        <v>0</v>
      </c>
      <c r="N107" s="19">
        <f t="shared" si="62"/>
        <v>0</v>
      </c>
      <c r="O107" s="19">
        <f t="shared" si="62"/>
        <v>0</v>
      </c>
      <c r="P107" s="19">
        <f t="shared" si="62"/>
        <v>0</v>
      </c>
      <c r="Q107" s="19">
        <f t="shared" si="62"/>
        <v>0</v>
      </c>
      <c r="R107" s="19">
        <f t="shared" si="62"/>
        <v>0</v>
      </c>
      <c r="S107" s="19">
        <f t="shared" si="62"/>
        <v>0</v>
      </c>
      <c r="T107" s="19">
        <f t="shared" si="62"/>
        <v>0</v>
      </c>
      <c r="U107" s="19">
        <f t="shared" si="62"/>
        <v>0</v>
      </c>
      <c r="V107" s="19">
        <f t="shared" si="62"/>
        <v>0</v>
      </c>
      <c r="W107" s="19">
        <f t="shared" si="62"/>
        <v>0</v>
      </c>
      <c r="X107" s="19">
        <f t="shared" si="62"/>
        <v>0</v>
      </c>
      <c r="Y107" s="19">
        <f t="shared" si="62"/>
        <v>0</v>
      </c>
      <c r="Z107" s="19">
        <f t="shared" si="62"/>
        <v>0</v>
      </c>
      <c r="AA107" s="19"/>
      <c r="AB107" s="7"/>
    </row>
    <row r="108" spans="1:28" x14ac:dyDescent="0.2">
      <c r="A108" s="7"/>
      <c r="B108" s="7"/>
      <c r="C108" s="7" t="s">
        <v>99</v>
      </c>
      <c r="D108" s="7"/>
      <c r="E108" s="7"/>
      <c r="F108" s="7"/>
      <c r="G108" s="19">
        <f t="shared" ref="G108:Z108" si="63">G45+G46-G53</f>
        <v>0</v>
      </c>
      <c r="H108" s="19">
        <f t="shared" si="63"/>
        <v>0</v>
      </c>
      <c r="I108" s="19">
        <f t="shared" si="63"/>
        <v>0</v>
      </c>
      <c r="J108" s="19">
        <f t="shared" si="63"/>
        <v>-19527.019834035833</v>
      </c>
      <c r="K108" s="19">
        <f t="shared" si="63"/>
        <v>-25369.038607115832</v>
      </c>
      <c r="L108" s="19">
        <f t="shared" si="63"/>
        <v>-24653.671461014394</v>
      </c>
      <c r="M108" s="19">
        <f t="shared" si="63"/>
        <v>-23938.304314912955</v>
      </c>
      <c r="N108" s="19">
        <f t="shared" si="63"/>
        <v>-23222.937168811513</v>
      </c>
      <c r="O108" s="19">
        <f t="shared" si="63"/>
        <v>-22507.570022710075</v>
      </c>
      <c r="P108" s="19">
        <f t="shared" si="63"/>
        <v>-21792.202876608637</v>
      </c>
      <c r="Q108" s="19">
        <f t="shared" si="63"/>
        <v>-21076.835730507195</v>
      </c>
      <c r="R108" s="19">
        <f t="shared" si="63"/>
        <v>-20361.468584405757</v>
      </c>
      <c r="S108" s="19">
        <f t="shared" si="63"/>
        <v>-19646.101438304318</v>
      </c>
      <c r="T108" s="19">
        <f t="shared" si="63"/>
        <v>-18930.734292202877</v>
      </c>
      <c r="U108" s="19">
        <f t="shared" si="63"/>
        <v>-18215.367146101424</v>
      </c>
      <c r="V108" s="19">
        <f t="shared" si="63"/>
        <v>0</v>
      </c>
      <c r="W108" s="19">
        <f t="shared" si="63"/>
        <v>0</v>
      </c>
      <c r="X108" s="19">
        <f t="shared" si="63"/>
        <v>0</v>
      </c>
      <c r="Y108" s="19">
        <f t="shared" si="63"/>
        <v>0</v>
      </c>
      <c r="Z108" s="19">
        <f t="shared" si="63"/>
        <v>0</v>
      </c>
      <c r="AA108" s="19"/>
      <c r="AB108" s="7"/>
    </row>
    <row r="109" spans="1:28" x14ac:dyDescent="0.2">
      <c r="A109" s="7"/>
      <c r="B109" s="7"/>
      <c r="C109" s="7" t="s">
        <v>68</v>
      </c>
      <c r="D109" s="7"/>
      <c r="E109" s="7"/>
      <c r="F109" s="7"/>
      <c r="G109" s="19">
        <f t="shared" ref="G109:Z109" si="64">-G48</f>
        <v>-10</v>
      </c>
      <c r="H109" s="19">
        <f t="shared" si="64"/>
        <v>-25</v>
      </c>
      <c r="I109" s="19">
        <f t="shared" si="64"/>
        <v>-25</v>
      </c>
      <c r="J109" s="19">
        <f t="shared" si="64"/>
        <v>-25</v>
      </c>
      <c r="K109" s="19">
        <f t="shared" si="64"/>
        <v>-25</v>
      </c>
      <c r="L109" s="19">
        <f t="shared" si="64"/>
        <v>-25</v>
      </c>
      <c r="M109" s="19">
        <f t="shared" si="64"/>
        <v>-25</v>
      </c>
      <c r="N109" s="19">
        <f t="shared" si="64"/>
        <v>-25</v>
      </c>
      <c r="O109" s="19">
        <f t="shared" si="64"/>
        <v>-25</v>
      </c>
      <c r="P109" s="19">
        <f t="shared" si="64"/>
        <v>-25</v>
      </c>
      <c r="Q109" s="19">
        <f t="shared" si="64"/>
        <v>-25</v>
      </c>
      <c r="R109" s="19">
        <f t="shared" si="64"/>
        <v>-25</v>
      </c>
      <c r="S109" s="19">
        <f t="shared" si="64"/>
        <v>-25</v>
      </c>
      <c r="T109" s="19">
        <f t="shared" si="64"/>
        <v>-25</v>
      </c>
      <c r="U109" s="19">
        <f t="shared" si="64"/>
        <v>-25</v>
      </c>
      <c r="V109" s="19">
        <f t="shared" si="64"/>
        <v>-25</v>
      </c>
      <c r="W109" s="19">
        <f t="shared" si="64"/>
        <v>-25</v>
      </c>
      <c r="X109" s="19">
        <f t="shared" si="64"/>
        <v>-25</v>
      </c>
      <c r="Y109" s="19">
        <f t="shared" si="64"/>
        <v>-25</v>
      </c>
      <c r="Z109" s="19">
        <f t="shared" si="64"/>
        <v>-25</v>
      </c>
      <c r="AA109" s="19"/>
      <c r="AB109" s="7"/>
    </row>
    <row r="110" spans="1:28" x14ac:dyDescent="0.2">
      <c r="A110" s="7"/>
      <c r="B110" s="7"/>
      <c r="C110" s="7" t="s">
        <v>100</v>
      </c>
      <c r="D110" s="7"/>
      <c r="E110" s="7"/>
      <c r="F110" s="7"/>
      <c r="G110" s="19">
        <f t="shared" ref="G110:Z110" si="65">-G51</f>
        <v>-15000</v>
      </c>
      <c r="H110" s="19">
        <f t="shared" si="65"/>
        <v>0</v>
      </c>
      <c r="I110" s="19">
        <f t="shared" si="65"/>
        <v>0</v>
      </c>
      <c r="J110" s="19">
        <f t="shared" si="65"/>
        <v>0</v>
      </c>
      <c r="K110" s="19">
        <f t="shared" si="65"/>
        <v>0</v>
      </c>
      <c r="L110" s="19">
        <f t="shared" si="65"/>
        <v>0</v>
      </c>
      <c r="M110" s="19">
        <f t="shared" si="65"/>
        <v>0</v>
      </c>
      <c r="N110" s="19">
        <f t="shared" si="65"/>
        <v>0</v>
      </c>
      <c r="O110" s="19">
        <f t="shared" si="65"/>
        <v>0</v>
      </c>
      <c r="P110" s="19">
        <f t="shared" si="65"/>
        <v>0</v>
      </c>
      <c r="Q110" s="19">
        <f t="shared" si="65"/>
        <v>0</v>
      </c>
      <c r="R110" s="19">
        <f t="shared" si="65"/>
        <v>0</v>
      </c>
      <c r="S110" s="19">
        <f t="shared" si="65"/>
        <v>0</v>
      </c>
      <c r="T110" s="19">
        <f t="shared" si="65"/>
        <v>0</v>
      </c>
      <c r="U110" s="19">
        <f t="shared" si="65"/>
        <v>0</v>
      </c>
      <c r="V110" s="19">
        <f t="shared" si="65"/>
        <v>0</v>
      </c>
      <c r="W110" s="19">
        <f t="shared" si="65"/>
        <v>0</v>
      </c>
      <c r="X110" s="19">
        <f t="shared" si="65"/>
        <v>0</v>
      </c>
      <c r="Y110" s="19">
        <f t="shared" si="65"/>
        <v>0</v>
      </c>
      <c r="Z110" s="19">
        <f t="shared" si="65"/>
        <v>0</v>
      </c>
      <c r="AA110" s="19"/>
      <c r="AB110" s="7"/>
    </row>
    <row r="111" spans="1:28" x14ac:dyDescent="0.2">
      <c r="A111" s="7"/>
      <c r="B111" s="7"/>
      <c r="C111" s="7" t="s">
        <v>21</v>
      </c>
      <c r="D111" s="7"/>
      <c r="E111" s="7"/>
      <c r="F111" s="7"/>
      <c r="G111" s="19">
        <f t="shared" ref="G111:Z111" si="66">G76+G77</f>
        <v>0</v>
      </c>
      <c r="H111" s="19">
        <f t="shared" si="66"/>
        <v>-3240</v>
      </c>
      <c r="I111" s="19">
        <f t="shared" si="66"/>
        <v>-3076.8</v>
      </c>
      <c r="J111" s="19">
        <f t="shared" si="66"/>
        <v>-3185.6</v>
      </c>
      <c r="K111" s="19">
        <f t="shared" si="66"/>
        <v>-3457.6</v>
      </c>
      <c r="L111" s="19">
        <f t="shared" si="66"/>
        <v>-4654.3999999999996</v>
      </c>
      <c r="M111" s="19">
        <f t="shared" si="66"/>
        <v>-4654.3999999999996</v>
      </c>
      <c r="N111" s="19">
        <f t="shared" si="66"/>
        <v>-4817.6000000000004</v>
      </c>
      <c r="O111" s="19">
        <f t="shared" si="66"/>
        <v>-4817.6000000000004</v>
      </c>
      <c r="P111" s="19">
        <f t="shared" si="66"/>
        <v>-4817.6000000000004</v>
      </c>
      <c r="Q111" s="19">
        <f t="shared" si="66"/>
        <v>-4817.6000000000004</v>
      </c>
      <c r="R111" s="19">
        <f t="shared" si="66"/>
        <v>-4817.6000000000004</v>
      </c>
      <c r="S111" s="19">
        <f t="shared" si="66"/>
        <v>-4817.6000000000004</v>
      </c>
      <c r="T111" s="19">
        <f t="shared" si="66"/>
        <v>-4817.6000000000004</v>
      </c>
      <c r="U111" s="19">
        <f t="shared" si="66"/>
        <v>-4817.6000000000004</v>
      </c>
      <c r="V111" s="19">
        <f t="shared" si="66"/>
        <v>-4817.6000000000004</v>
      </c>
      <c r="W111" s="19">
        <f t="shared" si="66"/>
        <v>-4817.6000000000004</v>
      </c>
      <c r="X111" s="19">
        <f t="shared" si="66"/>
        <v>-4817.6000000000004</v>
      </c>
      <c r="Y111" s="19">
        <f t="shared" si="66"/>
        <v>-4817.6000000000004</v>
      </c>
      <c r="Z111" s="19">
        <f t="shared" si="66"/>
        <v>-4817.6000000000004</v>
      </c>
      <c r="AA111" s="19"/>
      <c r="AB111" s="7"/>
    </row>
    <row r="112" spans="1:28" x14ac:dyDescent="0.2">
      <c r="A112" s="7"/>
      <c r="B112" s="31" t="s">
        <v>22</v>
      </c>
      <c r="C112" s="31"/>
      <c r="D112" s="31"/>
      <c r="E112" s="31"/>
      <c r="F112" s="31"/>
      <c r="G112" s="32">
        <f t="shared" ref="G112:Z112" si="67">G103+G104+G105+G106+G111</f>
        <v>-84496.679603351207</v>
      </c>
      <c r="H112" s="32">
        <f t="shared" si="67"/>
        <v>-137882.3358247969</v>
      </c>
      <c r="I112" s="32">
        <f t="shared" si="67"/>
        <v>15400.898428148037</v>
      </c>
      <c r="J112" s="32">
        <f t="shared" si="67"/>
        <v>5095.6301659641667</v>
      </c>
      <c r="K112" s="32">
        <f t="shared" si="67"/>
        <v>1340.3613928841683</v>
      </c>
      <c r="L112" s="32">
        <f t="shared" si="67"/>
        <v>11237.428538985607</v>
      </c>
      <c r="M112" s="32">
        <f t="shared" si="67"/>
        <v>11952.795685087045</v>
      </c>
      <c r="N112" s="32">
        <f t="shared" si="67"/>
        <v>13920.212831188486</v>
      </c>
      <c r="O112" s="32">
        <f t="shared" si="67"/>
        <v>14635.579977289924</v>
      </c>
      <c r="P112" s="32">
        <f t="shared" si="67"/>
        <v>15350.947123391363</v>
      </c>
      <c r="Q112" s="32">
        <f t="shared" si="67"/>
        <v>16066.314269492805</v>
      </c>
      <c r="R112" s="32">
        <f t="shared" si="67"/>
        <v>16781.681415594241</v>
      </c>
      <c r="S112" s="32">
        <f t="shared" si="67"/>
        <v>17497.048561695679</v>
      </c>
      <c r="T112" s="32">
        <f t="shared" si="67"/>
        <v>18212.415707797125</v>
      </c>
      <c r="U112" s="32">
        <f t="shared" si="67"/>
        <v>18927.782853898578</v>
      </c>
      <c r="V112" s="32">
        <f t="shared" si="67"/>
        <v>37143.15</v>
      </c>
      <c r="W112" s="32">
        <f t="shared" si="67"/>
        <v>37143.15</v>
      </c>
      <c r="X112" s="32">
        <f t="shared" si="67"/>
        <v>37143.15</v>
      </c>
      <c r="Y112" s="32">
        <f t="shared" si="67"/>
        <v>37143.15</v>
      </c>
      <c r="Z112" s="32">
        <f t="shared" si="67"/>
        <v>37143.15</v>
      </c>
      <c r="AA112" s="32">
        <f>Z112/$E$26</f>
        <v>371431.5</v>
      </c>
      <c r="AB112" s="7"/>
    </row>
    <row r="113" spans="1:28" x14ac:dyDescent="0.2">
      <c r="A113" s="7"/>
      <c r="B113" s="7"/>
      <c r="C113" s="7" t="s">
        <v>101</v>
      </c>
      <c r="D113" s="7"/>
      <c r="E113" s="7"/>
      <c r="F113" s="7"/>
      <c r="G113" s="19">
        <f>G112</f>
        <v>-84496.679603351207</v>
      </c>
      <c r="H113" s="19">
        <f t="shared" ref="H113:AA113" si="68">G113+H112</f>
        <v>-222379.01542814809</v>
      </c>
      <c r="I113" s="19">
        <f t="shared" si="68"/>
        <v>-206978.11700000006</v>
      </c>
      <c r="J113" s="19">
        <f t="shared" si="68"/>
        <v>-201882.4868340359</v>
      </c>
      <c r="K113" s="19">
        <f t="shared" si="68"/>
        <v>-200542.12544115173</v>
      </c>
      <c r="L113" s="19">
        <f t="shared" si="68"/>
        <v>-189304.69690216612</v>
      </c>
      <c r="M113" s="19">
        <f t="shared" si="68"/>
        <v>-177351.90121707908</v>
      </c>
      <c r="N113" s="19">
        <f t="shared" si="68"/>
        <v>-163431.68838589059</v>
      </c>
      <c r="O113" s="19">
        <f t="shared" si="68"/>
        <v>-148796.10840860067</v>
      </c>
      <c r="P113" s="19">
        <f t="shared" si="68"/>
        <v>-133445.16128520932</v>
      </c>
      <c r="Q113" s="19">
        <f t="shared" si="68"/>
        <v>-117378.84701571651</v>
      </c>
      <c r="R113" s="19">
        <f t="shared" si="68"/>
        <v>-100597.16560012227</v>
      </c>
      <c r="S113" s="19">
        <f t="shared" si="68"/>
        <v>-83100.117038426601</v>
      </c>
      <c r="T113" s="19">
        <f t="shared" si="68"/>
        <v>-64887.701330629476</v>
      </c>
      <c r="U113" s="19">
        <f t="shared" si="68"/>
        <v>-45959.918476730898</v>
      </c>
      <c r="V113" s="19">
        <f t="shared" si="68"/>
        <v>-8816.7684767308965</v>
      </c>
      <c r="W113" s="19">
        <f t="shared" si="68"/>
        <v>28326.381523269105</v>
      </c>
      <c r="X113" s="19">
        <f t="shared" si="68"/>
        <v>65469.531523269106</v>
      </c>
      <c r="Y113" s="19">
        <f t="shared" si="68"/>
        <v>102612.6815232691</v>
      </c>
      <c r="Z113" s="19">
        <f t="shared" si="68"/>
        <v>139755.83152326909</v>
      </c>
      <c r="AA113" s="19">
        <f t="shared" si="68"/>
        <v>511187.33152326907</v>
      </c>
      <c r="AB113" s="7"/>
    </row>
    <row r="114" spans="1:28" x14ac:dyDescent="0.2">
      <c r="A114" s="7"/>
      <c r="B114" s="7"/>
      <c r="C114" s="7" t="s">
        <v>102</v>
      </c>
      <c r="D114" s="7"/>
      <c r="E114" s="7"/>
      <c r="F114" s="7"/>
      <c r="G114" s="19">
        <v>0</v>
      </c>
      <c r="H114" s="19">
        <f t="shared" ref="H114:Z114" si="69">G115</f>
        <v>-84496.679603351207</v>
      </c>
      <c r="I114" s="19">
        <f t="shared" si="69"/>
        <v>-222379.01542814809</v>
      </c>
      <c r="J114" s="19">
        <f t="shared" si="69"/>
        <v>-206978.11700000006</v>
      </c>
      <c r="K114" s="19">
        <f t="shared" si="69"/>
        <v>-201882.4868340359</v>
      </c>
      <c r="L114" s="19">
        <f t="shared" si="69"/>
        <v>-200542.12544115173</v>
      </c>
      <c r="M114" s="19">
        <f t="shared" si="69"/>
        <v>-189304.69690216612</v>
      </c>
      <c r="N114" s="19">
        <f t="shared" si="69"/>
        <v>-177351.90121707908</v>
      </c>
      <c r="O114" s="19">
        <f t="shared" si="69"/>
        <v>-163431.68838589059</v>
      </c>
      <c r="P114" s="19">
        <f t="shared" si="69"/>
        <v>-148796.10840860067</v>
      </c>
      <c r="Q114" s="19">
        <f t="shared" si="69"/>
        <v>-133445.16128520932</v>
      </c>
      <c r="R114" s="19">
        <f t="shared" si="69"/>
        <v>-117378.84701571651</v>
      </c>
      <c r="S114" s="19">
        <f t="shared" si="69"/>
        <v>-100597.16560012227</v>
      </c>
      <c r="T114" s="19">
        <f t="shared" si="69"/>
        <v>-83100.117038426601</v>
      </c>
      <c r="U114" s="19">
        <f t="shared" si="69"/>
        <v>-64887.701330629476</v>
      </c>
      <c r="V114" s="19">
        <f t="shared" si="69"/>
        <v>-45959.918476730898</v>
      </c>
      <c r="W114" s="19">
        <f t="shared" si="69"/>
        <v>-8816.7684767308965</v>
      </c>
      <c r="X114" s="19">
        <f t="shared" si="69"/>
        <v>28326.381523269105</v>
      </c>
      <c r="Y114" s="19">
        <f t="shared" si="69"/>
        <v>65469.531523269106</v>
      </c>
      <c r="Z114" s="19">
        <f t="shared" si="69"/>
        <v>102612.6815232691</v>
      </c>
      <c r="AA114" s="19"/>
      <c r="AB114" s="7"/>
    </row>
    <row r="115" spans="1:28" x14ac:dyDescent="0.2">
      <c r="A115" s="7"/>
      <c r="B115" s="7"/>
      <c r="C115" s="7" t="s">
        <v>103</v>
      </c>
      <c r="D115" s="7"/>
      <c r="E115" s="7"/>
      <c r="F115" s="7"/>
      <c r="G115" s="19">
        <f t="shared" ref="G115:Z115" si="70">G114+G112</f>
        <v>-84496.679603351207</v>
      </c>
      <c r="H115" s="19">
        <f t="shared" si="70"/>
        <v>-222379.01542814809</v>
      </c>
      <c r="I115" s="19">
        <f t="shared" si="70"/>
        <v>-206978.11700000006</v>
      </c>
      <c r="J115" s="19">
        <f t="shared" si="70"/>
        <v>-201882.4868340359</v>
      </c>
      <c r="K115" s="19">
        <f t="shared" si="70"/>
        <v>-200542.12544115173</v>
      </c>
      <c r="L115" s="19">
        <f t="shared" si="70"/>
        <v>-189304.69690216612</v>
      </c>
      <c r="M115" s="19">
        <f t="shared" si="70"/>
        <v>-177351.90121707908</v>
      </c>
      <c r="N115" s="19">
        <f t="shared" si="70"/>
        <v>-163431.68838589059</v>
      </c>
      <c r="O115" s="19">
        <f t="shared" si="70"/>
        <v>-148796.10840860067</v>
      </c>
      <c r="P115" s="19">
        <f t="shared" si="70"/>
        <v>-133445.16128520932</v>
      </c>
      <c r="Q115" s="19">
        <f t="shared" si="70"/>
        <v>-117378.84701571651</v>
      </c>
      <c r="R115" s="19">
        <f t="shared" si="70"/>
        <v>-100597.16560012227</v>
      </c>
      <c r="S115" s="19">
        <f t="shared" si="70"/>
        <v>-83100.117038426601</v>
      </c>
      <c r="T115" s="19">
        <f t="shared" si="70"/>
        <v>-64887.701330629476</v>
      </c>
      <c r="U115" s="19">
        <f t="shared" si="70"/>
        <v>-45959.918476730898</v>
      </c>
      <c r="V115" s="19">
        <f t="shared" si="70"/>
        <v>-8816.7684767308965</v>
      </c>
      <c r="W115" s="19">
        <f t="shared" si="70"/>
        <v>28326.381523269105</v>
      </c>
      <c r="X115" s="19">
        <f t="shared" si="70"/>
        <v>65469.531523269106</v>
      </c>
      <c r="Y115" s="19">
        <f t="shared" si="70"/>
        <v>102612.6815232691</v>
      </c>
      <c r="Z115" s="19">
        <f t="shared" si="70"/>
        <v>139755.83152326909</v>
      </c>
      <c r="AA115" s="19"/>
      <c r="AB115" s="7"/>
    </row>
    <row r="116" spans="1:28" x14ac:dyDescent="0.2">
      <c r="A116" s="7"/>
      <c r="B116" s="7"/>
      <c r="C116" s="7"/>
      <c r="D116" s="7"/>
      <c r="E116" s="7"/>
      <c r="F116" s="7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7"/>
    </row>
    <row r="117" spans="1:28" x14ac:dyDescent="0.2">
      <c r="A117" s="7"/>
      <c r="B117" s="24" t="s">
        <v>142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7"/>
    </row>
    <row r="118" spans="1:28" x14ac:dyDescent="0.2">
      <c r="A118" s="7"/>
      <c r="B118" s="10"/>
      <c r="C118" s="23" t="s">
        <v>143</v>
      </c>
      <c r="D118" s="23"/>
      <c r="E118" s="23"/>
      <c r="F118" s="23"/>
      <c r="G118" s="66">
        <f>G112</f>
        <v>-84496.679603351207</v>
      </c>
      <c r="H118" s="66">
        <f t="shared" ref="H118:Z118" si="71">G118+H112</f>
        <v>-222379.01542814809</v>
      </c>
      <c r="I118" s="66">
        <f t="shared" si="71"/>
        <v>-206978.11700000006</v>
      </c>
      <c r="J118" s="66">
        <f t="shared" si="71"/>
        <v>-201882.4868340359</v>
      </c>
      <c r="K118" s="66">
        <f t="shared" si="71"/>
        <v>-200542.12544115173</v>
      </c>
      <c r="L118" s="66">
        <f t="shared" si="71"/>
        <v>-189304.69690216612</v>
      </c>
      <c r="M118" s="66">
        <f t="shared" si="71"/>
        <v>-177351.90121707908</v>
      </c>
      <c r="N118" s="66">
        <f t="shared" si="71"/>
        <v>-163431.68838589059</v>
      </c>
      <c r="O118" s="66">
        <f t="shared" si="71"/>
        <v>-148796.10840860067</v>
      </c>
      <c r="P118" s="66">
        <f t="shared" si="71"/>
        <v>-133445.16128520932</v>
      </c>
      <c r="Q118" s="66">
        <f t="shared" si="71"/>
        <v>-117378.84701571651</v>
      </c>
      <c r="R118" s="66">
        <f t="shared" si="71"/>
        <v>-100597.16560012227</v>
      </c>
      <c r="S118" s="66">
        <f t="shared" si="71"/>
        <v>-83100.117038426601</v>
      </c>
      <c r="T118" s="66">
        <f t="shared" si="71"/>
        <v>-64887.701330629476</v>
      </c>
      <c r="U118" s="66">
        <f t="shared" si="71"/>
        <v>-45959.918476730898</v>
      </c>
      <c r="V118" s="66">
        <f t="shared" si="71"/>
        <v>-8816.7684767308965</v>
      </c>
      <c r="W118" s="66">
        <f t="shared" si="71"/>
        <v>28326.381523269105</v>
      </c>
      <c r="X118" s="66">
        <f t="shared" si="71"/>
        <v>65469.531523269106</v>
      </c>
      <c r="Y118" s="66">
        <f t="shared" si="71"/>
        <v>102612.6815232691</v>
      </c>
      <c r="Z118" s="66">
        <f t="shared" si="71"/>
        <v>139755.83152326909</v>
      </c>
      <c r="AA118" s="66"/>
      <c r="AB118" s="7"/>
    </row>
    <row r="119" spans="1:28" x14ac:dyDescent="0.2">
      <c r="A119" s="7"/>
      <c r="B119" s="10"/>
      <c r="C119" s="23" t="s">
        <v>144</v>
      </c>
      <c r="D119" s="23"/>
      <c r="E119" s="23"/>
      <c r="F119" s="23"/>
      <c r="G119" s="67">
        <f t="shared" ref="G119:AA119" si="72">1/(1+$E$25)^(COLUMN(G119)-COLUMN($G$119))</f>
        <v>1</v>
      </c>
      <c r="H119" s="67">
        <f t="shared" si="72"/>
        <v>0.9174311926605504</v>
      </c>
      <c r="I119" s="67">
        <f t="shared" si="72"/>
        <v>0.84167999326655996</v>
      </c>
      <c r="J119" s="67">
        <f t="shared" si="72"/>
        <v>0.77218348006106419</v>
      </c>
      <c r="K119" s="67">
        <f t="shared" si="72"/>
        <v>0.7084252110651964</v>
      </c>
      <c r="L119" s="67">
        <f t="shared" si="72"/>
        <v>0.64993138629834524</v>
      </c>
      <c r="M119" s="67">
        <f t="shared" si="72"/>
        <v>0.5962673268792158</v>
      </c>
      <c r="N119" s="67">
        <f t="shared" si="72"/>
        <v>0.54703424484331731</v>
      </c>
      <c r="O119" s="67">
        <f t="shared" si="72"/>
        <v>0.50186627967276809</v>
      </c>
      <c r="P119" s="67">
        <f t="shared" si="72"/>
        <v>0.46042777951630098</v>
      </c>
      <c r="Q119" s="67">
        <f t="shared" si="72"/>
        <v>0.42241080689568894</v>
      </c>
      <c r="R119" s="67">
        <f t="shared" si="72"/>
        <v>0.38753285036301738</v>
      </c>
      <c r="S119" s="67">
        <f t="shared" si="72"/>
        <v>0.35553472510368567</v>
      </c>
      <c r="T119" s="67">
        <f t="shared" si="72"/>
        <v>0.32617864688411524</v>
      </c>
      <c r="U119" s="67">
        <f t="shared" si="72"/>
        <v>0.29924646503129837</v>
      </c>
      <c r="V119" s="67">
        <f t="shared" si="72"/>
        <v>0.27453804131311776</v>
      </c>
      <c r="W119" s="67">
        <f t="shared" si="72"/>
        <v>0.2518697626725851</v>
      </c>
      <c r="X119" s="67">
        <f t="shared" si="72"/>
        <v>0.23107317676383954</v>
      </c>
      <c r="Y119" s="67">
        <f t="shared" si="72"/>
        <v>0.21199374015031147</v>
      </c>
      <c r="Z119" s="67">
        <f t="shared" si="72"/>
        <v>0.19448966986267105</v>
      </c>
      <c r="AA119" s="67">
        <f t="shared" si="72"/>
        <v>0.17843088978226704</v>
      </c>
      <c r="AB119" s="7"/>
    </row>
    <row r="120" spans="1:28" x14ac:dyDescent="0.2">
      <c r="A120" s="7"/>
      <c r="B120" s="7"/>
      <c r="C120" s="23" t="s">
        <v>145</v>
      </c>
      <c r="D120" s="23"/>
      <c r="E120" s="23"/>
      <c r="F120" s="23"/>
      <c r="G120" s="66">
        <f t="shared" ref="G120:AA120" si="73">G112*G119</f>
        <v>-84496.679603351207</v>
      </c>
      <c r="H120" s="66">
        <f t="shared" si="73"/>
        <v>-126497.55580256596</v>
      </c>
      <c r="I120" s="66">
        <f t="shared" si="73"/>
        <v>12962.628085302613</v>
      </c>
      <c r="J120" s="66">
        <f t="shared" si="73"/>
        <v>3934.7614346583482</v>
      </c>
      <c r="K120" s="66">
        <f t="shared" si="73"/>
        <v>949.54580265760751</v>
      </c>
      <c r="L120" s="66">
        <f t="shared" si="73"/>
        <v>7303.5575087715033</v>
      </c>
      <c r="M120" s="66">
        <f t="shared" si="73"/>
        <v>7127.0615318802775</v>
      </c>
      <c r="N120" s="66">
        <f t="shared" si="73"/>
        <v>7614.8331141674498</v>
      </c>
      <c r="O120" s="66">
        <f t="shared" si="73"/>
        <v>7345.1040740557501</v>
      </c>
      <c r="P120" s="66">
        <f t="shared" si="73"/>
        <v>7068.002497495233</v>
      </c>
      <c r="Q120" s="66">
        <f t="shared" si="73"/>
        <v>6786.5847744161765</v>
      </c>
      <c r="R120" s="66">
        <f t="shared" si="73"/>
        <v>6503.4528328693123</v>
      </c>
      <c r="S120" s="66">
        <f t="shared" si="73"/>
        <v>6220.8083505083123</v>
      </c>
      <c r="T120" s="66">
        <f t="shared" si="73"/>
        <v>5940.5011120602721</v>
      </c>
      <c r="U120" s="66">
        <f t="shared" si="73"/>
        <v>5664.0721099091697</v>
      </c>
      <c r="V120" s="66">
        <f t="shared" si="73"/>
        <v>10197.20764919933</v>
      </c>
      <c r="W120" s="66">
        <f t="shared" si="73"/>
        <v>9355.2363754122289</v>
      </c>
      <c r="X120" s="66">
        <f t="shared" si="73"/>
        <v>8582.7856655158066</v>
      </c>
      <c r="Y120" s="66">
        <f t="shared" si="73"/>
        <v>7874.1152894640418</v>
      </c>
      <c r="Z120" s="66">
        <f t="shared" si="73"/>
        <v>7223.9589811596707</v>
      </c>
      <c r="AA120" s="66">
        <f t="shared" si="73"/>
        <v>66274.853038162124</v>
      </c>
      <c r="AB120" s="7"/>
    </row>
    <row r="121" spans="1:28" x14ac:dyDescent="0.2">
      <c r="A121" s="7"/>
      <c r="B121" s="7"/>
      <c r="C121" s="23" t="s">
        <v>146</v>
      </c>
      <c r="D121" s="23"/>
      <c r="E121" s="23"/>
      <c r="F121" s="23"/>
      <c r="G121" s="66">
        <f>G120</f>
        <v>-84496.679603351207</v>
      </c>
      <c r="H121" s="66">
        <f t="shared" ref="H121:Z121" si="74">G121+H120</f>
        <v>-210994.23540591716</v>
      </c>
      <c r="I121" s="66">
        <f t="shared" si="74"/>
        <v>-198031.60732061454</v>
      </c>
      <c r="J121" s="66">
        <f t="shared" si="74"/>
        <v>-194096.84588595619</v>
      </c>
      <c r="K121" s="66">
        <f t="shared" si="74"/>
        <v>-193147.30008329859</v>
      </c>
      <c r="L121" s="66">
        <f t="shared" si="74"/>
        <v>-185843.74257452707</v>
      </c>
      <c r="M121" s="66">
        <f t="shared" si="74"/>
        <v>-178716.68104264679</v>
      </c>
      <c r="N121" s="66">
        <f t="shared" si="74"/>
        <v>-171101.84792847934</v>
      </c>
      <c r="O121" s="66">
        <f t="shared" si="74"/>
        <v>-163756.74385442361</v>
      </c>
      <c r="P121" s="66">
        <f t="shared" si="74"/>
        <v>-156688.74135692837</v>
      </c>
      <c r="Q121" s="66">
        <f t="shared" si="74"/>
        <v>-149902.15658251219</v>
      </c>
      <c r="R121" s="66">
        <f t="shared" si="74"/>
        <v>-143398.70374964288</v>
      </c>
      <c r="S121" s="66">
        <f t="shared" si="74"/>
        <v>-137177.89539913458</v>
      </c>
      <c r="T121" s="66">
        <f t="shared" si="74"/>
        <v>-131237.3942870743</v>
      </c>
      <c r="U121" s="66">
        <f t="shared" si="74"/>
        <v>-125573.32217716513</v>
      </c>
      <c r="V121" s="66">
        <f t="shared" si="74"/>
        <v>-115376.11452796579</v>
      </c>
      <c r="W121" s="66">
        <f t="shared" si="74"/>
        <v>-106020.87815255356</v>
      </c>
      <c r="X121" s="66">
        <f t="shared" si="74"/>
        <v>-97438.092487037749</v>
      </c>
      <c r="Y121" s="66">
        <f t="shared" si="74"/>
        <v>-89563.977197573709</v>
      </c>
      <c r="Z121" s="66">
        <f t="shared" si="74"/>
        <v>-82340.018216414042</v>
      </c>
      <c r="AA121" s="66"/>
      <c r="AB121" s="7"/>
    </row>
    <row r="122" spans="1:28" x14ac:dyDescent="0.2">
      <c r="A122" s="7"/>
      <c r="B122" s="7"/>
      <c r="C122" s="23" t="s">
        <v>147</v>
      </c>
      <c r="D122" s="23"/>
      <c r="E122" s="23"/>
      <c r="F122" s="23"/>
      <c r="G122" s="66">
        <f t="shared" ref="G122:Z122" si="75">G103+G104+G105+G111</f>
        <v>-130086.51787522693</v>
      </c>
      <c r="H122" s="66">
        <f t="shared" si="75"/>
        <v>-279943.08892477315</v>
      </c>
      <c r="I122" s="66">
        <f t="shared" si="75"/>
        <v>8111.4898000000021</v>
      </c>
      <c r="J122" s="66">
        <f t="shared" si="75"/>
        <v>24647.65</v>
      </c>
      <c r="K122" s="66">
        <f t="shared" si="75"/>
        <v>26734.400000000001</v>
      </c>
      <c r="L122" s="66">
        <f t="shared" si="75"/>
        <v>35916.1</v>
      </c>
      <c r="M122" s="66">
        <f t="shared" si="75"/>
        <v>35916.1</v>
      </c>
      <c r="N122" s="66">
        <f t="shared" si="75"/>
        <v>37168.15</v>
      </c>
      <c r="O122" s="66">
        <f t="shared" si="75"/>
        <v>37168.15</v>
      </c>
      <c r="P122" s="66">
        <f t="shared" si="75"/>
        <v>37168.15</v>
      </c>
      <c r="Q122" s="66">
        <f t="shared" si="75"/>
        <v>37168.15</v>
      </c>
      <c r="R122" s="66">
        <f t="shared" si="75"/>
        <v>37168.15</v>
      </c>
      <c r="S122" s="66">
        <f t="shared" si="75"/>
        <v>37168.15</v>
      </c>
      <c r="T122" s="66">
        <f t="shared" si="75"/>
        <v>37168.15</v>
      </c>
      <c r="U122" s="66">
        <f t="shared" si="75"/>
        <v>37168.15</v>
      </c>
      <c r="V122" s="66">
        <f t="shared" si="75"/>
        <v>37168.15</v>
      </c>
      <c r="W122" s="66">
        <f t="shared" si="75"/>
        <v>37168.15</v>
      </c>
      <c r="X122" s="66">
        <f t="shared" si="75"/>
        <v>37168.15</v>
      </c>
      <c r="Y122" s="66">
        <f t="shared" si="75"/>
        <v>37168.15</v>
      </c>
      <c r="Z122" s="66">
        <f t="shared" si="75"/>
        <v>37168.15</v>
      </c>
      <c r="AA122" s="66">
        <f>Z122/$E$26</f>
        <v>371681.5</v>
      </c>
      <c r="AB122" s="7"/>
    </row>
    <row r="123" spans="1:28" x14ac:dyDescent="0.2">
      <c r="A123" s="7"/>
      <c r="B123" s="7"/>
      <c r="C123" s="23" t="s">
        <v>148</v>
      </c>
      <c r="D123" s="23"/>
      <c r="E123" s="23"/>
      <c r="F123" s="23"/>
      <c r="G123" s="69" t="str">
        <f t="shared" ref="G123:Z123" si="76">IF(G108&lt;0,G103/-G108,"")</f>
        <v/>
      </c>
      <c r="H123" s="69" t="str">
        <f t="shared" si="76"/>
        <v/>
      </c>
      <c r="I123" s="69" t="str">
        <f t="shared" si="76"/>
        <v/>
      </c>
      <c r="J123" s="69">
        <f t="shared" si="76"/>
        <v>1.4253711132861302</v>
      </c>
      <c r="K123" s="69">
        <f t="shared" si="76"/>
        <v>1.1901121074226031</v>
      </c>
      <c r="L123" s="69">
        <f t="shared" si="76"/>
        <v>1.6456169647654864</v>
      </c>
      <c r="M123" s="69">
        <f t="shared" si="76"/>
        <v>1.6947942287927893</v>
      </c>
      <c r="N123" s="69">
        <f t="shared" si="76"/>
        <v>1.8079431423681847</v>
      </c>
      <c r="O123" s="69">
        <f t="shared" si="76"/>
        <v>1.865405726057344</v>
      </c>
      <c r="P123" s="69">
        <f t="shared" si="76"/>
        <v>1.9266409292227522</v>
      </c>
      <c r="Q123" s="69">
        <f t="shared" si="76"/>
        <v>1.9920328903654483</v>
      </c>
      <c r="R123" s="69">
        <f t="shared" si="76"/>
        <v>2.0620197323171294</v>
      </c>
      <c r="S123" s="69">
        <f t="shared" si="76"/>
        <v>2.1371033908101333</v>
      </c>
      <c r="T123" s="69">
        <f t="shared" si="76"/>
        <v>2.2178616714985506</v>
      </c>
      <c r="U123" s="69">
        <f t="shared" si="76"/>
        <v>2.3049631480519497</v>
      </c>
      <c r="V123" s="69" t="str">
        <f t="shared" si="76"/>
        <v/>
      </c>
      <c r="W123" s="69" t="str">
        <f t="shared" si="76"/>
        <v/>
      </c>
      <c r="X123" s="69" t="str">
        <f t="shared" si="76"/>
        <v/>
      </c>
      <c r="Y123" s="69" t="str">
        <f t="shared" si="76"/>
        <v/>
      </c>
      <c r="Z123" s="69" t="str">
        <f t="shared" si="76"/>
        <v/>
      </c>
      <c r="AA123" s="69"/>
      <c r="AB123" s="7"/>
    </row>
    <row r="124" spans="1:28" x14ac:dyDescent="0.2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 spans="1:28" x14ac:dyDescent="0.2">
      <c r="B125" s="81" t="s">
        <v>149</v>
      </c>
      <c r="C125" s="81"/>
      <c r="D125" s="81"/>
      <c r="E125" s="81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 spans="1:28" x14ac:dyDescent="0.2">
      <c r="B126" s="10"/>
      <c r="C126" s="7" t="s">
        <v>150</v>
      </c>
      <c r="D126" s="10"/>
      <c r="E126" s="76">
        <f>IRR($G$112:$AA$112)</f>
        <v>8.3607277463832563E-2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 spans="1:28" x14ac:dyDescent="0.2">
      <c r="B127" s="10"/>
      <c r="C127" s="7" t="s">
        <v>152</v>
      </c>
      <c r="D127" s="10"/>
      <c r="E127" s="76">
        <f>$E$25</f>
        <v>0.09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 spans="1:28" x14ac:dyDescent="0.2">
      <c r="B128" s="10"/>
      <c r="C128" s="7" t="s">
        <v>153</v>
      </c>
      <c r="D128" s="10"/>
      <c r="E128" s="77">
        <f>SUM($G$120:$AA$120)</f>
        <v>-16065.165178251918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 spans="2:27" x14ac:dyDescent="0.2">
      <c r="B129" s="10"/>
      <c r="C129" s="7" t="s">
        <v>154</v>
      </c>
      <c r="D129" s="10"/>
      <c r="E129" s="77">
        <f>SUM($G$120:$Z$120)</f>
        <v>-82340.018216414042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 spans="2:27" x14ac:dyDescent="0.2">
      <c r="B130" s="10"/>
      <c r="C130" s="7" t="s">
        <v>155</v>
      </c>
      <c r="D130" s="10"/>
      <c r="E130" s="77">
        <f>$AA$120</f>
        <v>66274.853038162124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 spans="2:27" x14ac:dyDescent="0.2">
      <c r="B131" s="10"/>
      <c r="C131" s="7" t="s">
        <v>156</v>
      </c>
      <c r="D131" s="10"/>
      <c r="E131" s="78">
        <f>SUMIF($G$120:$AA$120,"&gt;0")/-SUMIF($G$120:$AA$120,"&lt;0")</f>
        <v>0.92385969622655684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2:27" x14ac:dyDescent="0.2">
      <c r="B132" s="10"/>
      <c r="C132" s="10"/>
      <c r="D132" s="10"/>
      <c r="E132" s="79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2:27" x14ac:dyDescent="0.2">
      <c r="B133" s="81" t="s">
        <v>157</v>
      </c>
      <c r="C133" s="81"/>
      <c r="D133" s="81"/>
      <c r="E133" s="83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2:27" x14ac:dyDescent="0.2">
      <c r="B134" s="10"/>
      <c r="C134" s="7" t="s">
        <v>158</v>
      </c>
      <c r="D134" s="10"/>
      <c r="E134" s="77">
        <f>-SUMIF($G$112:$Z$112,"&lt;0")</f>
        <v>222379.01542814809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2:27" x14ac:dyDescent="0.2">
      <c r="B135" s="10"/>
      <c r="C135" s="7" t="s">
        <v>159</v>
      </c>
      <c r="D135" s="10"/>
      <c r="E135" s="77">
        <f>-MIN(0,MIN($G$118:$Z$118))</f>
        <v>222379.01542814809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2:27" x14ac:dyDescent="0.2">
      <c r="B136" s="10"/>
      <c r="C136" s="7" t="s">
        <v>160</v>
      </c>
      <c r="D136" s="10"/>
      <c r="E136" s="63">
        <f>INDEX($G$6:$Z$6,MATCH(MIN($G$118:$Z$118),$G$118:$Z$118,0))</f>
        <v>2027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2:27" x14ac:dyDescent="0.2">
      <c r="B137" s="10"/>
      <c r="C137" s="7" t="s">
        <v>161</v>
      </c>
      <c r="D137" s="10"/>
      <c r="E137" s="63">
        <f>COUNTIF($G$112:$Z$112,"&lt;0")</f>
        <v>2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2:27" x14ac:dyDescent="0.2">
      <c r="B138" s="10"/>
      <c r="C138" s="7" t="s">
        <v>1041</v>
      </c>
      <c r="D138" s="10"/>
      <c r="E138" s="315">
        <f>IF(COUNTIF($G$118:$Z$118,"&lt;0")=COUNT($G$118:$Z$118),"&gt; 20 years",COUNTIF($G$118:$Z$118,"&lt;0"))</f>
        <v>16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2:27" x14ac:dyDescent="0.2">
      <c r="B139" s="10"/>
      <c r="C139" s="10"/>
      <c r="D139" s="10"/>
      <c r="E139" s="79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2:27" x14ac:dyDescent="0.2">
      <c r="B140" s="81" t="s">
        <v>162</v>
      </c>
      <c r="C140" s="81"/>
      <c r="D140" s="81"/>
      <c r="E140" s="83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2:27" x14ac:dyDescent="0.2">
      <c r="B141" s="10"/>
      <c r="C141" s="7" t="s">
        <v>163</v>
      </c>
      <c r="D141" s="10"/>
      <c r="E141" s="77">
        <f>SUMIF($G$112:$Z$112,"&gt;0")</f>
        <v>362134.84695141728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 spans="2:27" x14ac:dyDescent="0.2">
      <c r="B142" s="10"/>
      <c r="C142" s="7" t="s">
        <v>164</v>
      </c>
      <c r="D142" s="10"/>
      <c r="E142" s="77">
        <f>SUM($G$112:$Z$112)</f>
        <v>139755.83152326909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2:27" x14ac:dyDescent="0.2">
      <c r="B143" s="10"/>
      <c r="C143" s="7" t="s">
        <v>165</v>
      </c>
      <c r="D143" s="10"/>
      <c r="E143" s="78">
        <f>E141/E134</f>
        <v>1.628457821230102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2:27" x14ac:dyDescent="0.2">
      <c r="B144" s="10"/>
      <c r="C144" s="7" t="s">
        <v>166</v>
      </c>
      <c r="D144" s="10"/>
      <c r="E144" s="78">
        <f>(E141+$AA$112)/E134</f>
        <v>3.2987210845370285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2:27" x14ac:dyDescent="0.2">
      <c r="B145" s="10"/>
      <c r="C145" s="7" t="s">
        <v>167</v>
      </c>
      <c r="D145" s="10"/>
      <c r="E145" s="77">
        <f>IFERROR(AVERAGEIF($G$112:$Z$112,"&gt;0"),0)</f>
        <v>20118.602608412071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2:27" x14ac:dyDescent="0.2">
      <c r="B146" s="10"/>
      <c r="C146" s="7" t="s">
        <v>168</v>
      </c>
      <c r="D146" s="10"/>
      <c r="E146" s="76">
        <f>IFERROR(E145/E135,"n/a")</f>
        <v>9.0469878957227884E-2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2:27" x14ac:dyDescent="0.2">
      <c r="B147" s="10"/>
      <c r="C147" s="10"/>
      <c r="D147" s="10"/>
      <c r="E147" s="79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2:27" x14ac:dyDescent="0.2">
      <c r="B148" s="81" t="s">
        <v>1035</v>
      </c>
      <c r="C148" s="81"/>
      <c r="D148" s="81"/>
      <c r="E148" s="83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2:27" x14ac:dyDescent="0.2">
      <c r="B149" s="10"/>
      <c r="C149" s="7" t="s">
        <v>1036</v>
      </c>
      <c r="D149" s="10"/>
      <c r="E149" s="63">
        <f>INDEX($G$6:$Z$6,MATCH(MAX($G$57:$Z$57),$G$57:$Z$57,0))</f>
        <v>2033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2:27" x14ac:dyDescent="0.2">
      <c r="B150" s="10"/>
      <c r="C150" s="7" t="s">
        <v>1037</v>
      </c>
      <c r="D150" s="10"/>
      <c r="E150" s="77">
        <f>INDEX($G$57:$Z$57,MATCH($E$149,$G$6:$Z$6,0))</f>
        <v>44500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2:27" x14ac:dyDescent="0.2">
      <c r="B151" s="10"/>
      <c r="C151" s="7" t="s">
        <v>1038</v>
      </c>
      <c r="D151" s="10"/>
      <c r="E151" s="77">
        <f>INDEX($G$69:$Z$69,MATCH($E$149,$G$6:$Z$6,0))</f>
        <v>41985.75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2:27" x14ac:dyDescent="0.2">
      <c r="B152" s="10"/>
      <c r="C152" s="7" t="s">
        <v>1039</v>
      </c>
      <c r="D152" s="10"/>
      <c r="E152" s="76">
        <f>IFERROR(E150/$E$36,"n/a")</f>
        <v>9.8714259634390275E-2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2:27" x14ac:dyDescent="0.2">
      <c r="B153" s="10"/>
      <c r="C153" s="7" t="s">
        <v>1040</v>
      </c>
      <c r="D153" s="10"/>
      <c r="E153" s="76">
        <f>IFERROR(E151/$E$36,"n/a")</f>
        <v>9.313690396504723E-2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2:27" x14ac:dyDescent="0.2">
      <c r="B154" s="81" t="s">
        <v>169</v>
      </c>
      <c r="C154" s="81"/>
      <c r="D154" s="81"/>
      <c r="E154" s="83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2:27" x14ac:dyDescent="0.2">
      <c r="B155" s="10"/>
      <c r="C155" s="7" t="s">
        <v>170</v>
      </c>
      <c r="D155" s="10"/>
      <c r="E155" s="76">
        <f>IRR($G$122:$AA$122)</f>
        <v>7.2007458209891739E-2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2:27" x14ac:dyDescent="0.2">
      <c r="B156" s="10"/>
      <c r="C156" s="7" t="s">
        <v>171</v>
      </c>
      <c r="D156" s="10"/>
      <c r="E156" s="77">
        <f>$G$122+NPV($E$25,$H$122:$AA$122)</f>
        <v>-65111.958081438468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2:27" x14ac:dyDescent="0.2">
      <c r="B157" s="10"/>
      <c r="C157" s="7" t="s">
        <v>172</v>
      </c>
      <c r="D157" s="10"/>
      <c r="E157" s="77">
        <f>$E$36</f>
        <v>450796.06700000004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2:27" x14ac:dyDescent="0.2">
      <c r="B158" s="10"/>
      <c r="C158" s="7" t="s">
        <v>173</v>
      </c>
      <c r="D158" s="10"/>
      <c r="E158" s="76">
        <f>$E$12</f>
        <v>0.46584257355554964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2:27" x14ac:dyDescent="0.2">
      <c r="B159" s="10"/>
      <c r="C159" s="7" t="s">
        <v>174</v>
      </c>
      <c r="D159" s="10"/>
      <c r="E159" s="77">
        <f>MAX($G$47:$Z$47)</f>
        <v>210000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2:27" x14ac:dyDescent="0.2">
      <c r="B160" s="10"/>
      <c r="C160" s="7" t="s">
        <v>175</v>
      </c>
      <c r="D160" s="10"/>
      <c r="E160" s="78">
        <f>IFERROR(MIN($G$123:$Z$123),"n/a")</f>
        <v>1.1901121074226031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2:27" x14ac:dyDescent="0.2">
      <c r="B161" s="10"/>
      <c r="C161" s="7" t="s">
        <v>176</v>
      </c>
      <c r="D161" s="10"/>
      <c r="E161" s="78">
        <f>IFERROR(AVERAGE($G$123:$Z$123),"n/a")</f>
        <v>1.8558220870798754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2:27" x14ac:dyDescent="0.2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2:27" x14ac:dyDescent="0.2">
      <c r="B163" s="84" t="s">
        <v>1031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5" spans="2:27" x14ac:dyDescent="0.2">
      <c r="B165" s="24" t="s">
        <v>185</v>
      </c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 spans="2:27" x14ac:dyDescent="0.2">
      <c r="B166" s="10"/>
      <c r="C166" s="10" t="s">
        <v>186</v>
      </c>
      <c r="D166" s="10"/>
      <c r="E166" s="40">
        <v>5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2:27" x14ac:dyDescent="0.2">
      <c r="B167" s="10"/>
      <c r="C167" s="10" t="s">
        <v>187</v>
      </c>
      <c r="D167" s="10"/>
      <c r="E167" s="52">
        <f>$E$21+E166-1</f>
        <v>2032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2:27" x14ac:dyDescent="0.2">
      <c r="B168" s="10"/>
      <c r="C168" s="10" t="s">
        <v>188</v>
      </c>
      <c r="D168" s="10"/>
      <c r="E168" s="85">
        <v>0.1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2:27" x14ac:dyDescent="0.2">
      <c r="B169" s="10"/>
      <c r="C169" s="10" t="s">
        <v>189</v>
      </c>
      <c r="D169" s="10"/>
      <c r="E169" s="39">
        <v>0.02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2:27" x14ac:dyDescent="0.2">
      <c r="B170" s="10"/>
      <c r="C170" s="10" t="s">
        <v>190</v>
      </c>
      <c r="D170" s="10"/>
      <c r="E170" s="39">
        <v>0.34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2:27" x14ac:dyDescent="0.2">
      <c r="B171" s="10"/>
      <c r="C171" s="7" t="s">
        <v>211</v>
      </c>
      <c r="D171" s="10"/>
      <c r="E171" s="38">
        <v>113000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2:27" x14ac:dyDescent="0.2">
      <c r="B172" s="10"/>
      <c r="C172" s="7" t="s">
        <v>212</v>
      </c>
      <c r="D172" s="10"/>
      <c r="E172" s="40">
        <v>2026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2:27" x14ac:dyDescent="0.2">
      <c r="B173" s="10"/>
      <c r="C173" s="7" t="s">
        <v>213</v>
      </c>
      <c r="D173" s="10"/>
      <c r="E173" s="39">
        <v>0.15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2:27" x14ac:dyDescent="0.2">
      <c r="B174" s="10"/>
      <c r="C174" s="7" t="s">
        <v>214</v>
      </c>
      <c r="D174" s="10"/>
      <c r="E174" s="19">
        <f>E171*E173*(1+$E$14)^(E167-E172)</f>
        <v>23611.660504474061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2:27" x14ac:dyDescent="0.2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2:27" x14ac:dyDescent="0.2">
      <c r="B176" s="10"/>
      <c r="C176" s="86" t="s">
        <v>191</v>
      </c>
      <c r="D176" s="86"/>
      <c r="E176" s="86"/>
      <c r="F176" s="86"/>
      <c r="G176" s="87">
        <f t="shared" ref="G176:Z176" si="77">IF(G$6=$E$167,1,0)</f>
        <v>0</v>
      </c>
      <c r="H176" s="87">
        <f t="shared" si="77"/>
        <v>0</v>
      </c>
      <c r="I176" s="87">
        <f t="shared" si="77"/>
        <v>0</v>
      </c>
      <c r="J176" s="87">
        <f t="shared" si="77"/>
        <v>0</v>
      </c>
      <c r="K176" s="87">
        <f t="shared" si="77"/>
        <v>0</v>
      </c>
      <c r="L176" s="87">
        <f t="shared" si="77"/>
        <v>0</v>
      </c>
      <c r="M176" s="87">
        <f t="shared" si="77"/>
        <v>1</v>
      </c>
      <c r="N176" s="87">
        <f t="shared" si="77"/>
        <v>0</v>
      </c>
      <c r="O176" s="87">
        <f t="shared" si="77"/>
        <v>0</v>
      </c>
      <c r="P176" s="87">
        <f t="shared" si="77"/>
        <v>0</v>
      </c>
      <c r="Q176" s="87">
        <f t="shared" si="77"/>
        <v>0</v>
      </c>
      <c r="R176" s="87">
        <f t="shared" si="77"/>
        <v>0</v>
      </c>
      <c r="S176" s="87">
        <f t="shared" si="77"/>
        <v>0</v>
      </c>
      <c r="T176" s="87">
        <f t="shared" si="77"/>
        <v>0</v>
      </c>
      <c r="U176" s="87">
        <f t="shared" si="77"/>
        <v>0</v>
      </c>
      <c r="V176" s="87">
        <f t="shared" si="77"/>
        <v>0</v>
      </c>
      <c r="W176" s="87">
        <f t="shared" si="77"/>
        <v>0</v>
      </c>
      <c r="X176" s="87">
        <f t="shared" si="77"/>
        <v>0</v>
      </c>
      <c r="Y176" s="87">
        <f t="shared" si="77"/>
        <v>0</v>
      </c>
      <c r="Z176" s="87">
        <f t="shared" si="77"/>
        <v>0</v>
      </c>
      <c r="AA176" s="86"/>
    </row>
    <row r="177" spans="2:27" x14ac:dyDescent="0.2">
      <c r="B177" s="10"/>
      <c r="C177" s="10" t="s">
        <v>218</v>
      </c>
      <c r="D177" s="10"/>
      <c r="E177" s="10"/>
      <c r="F177" s="10"/>
      <c r="G177" s="12">
        <f t="shared" ref="G177:Z177" si="78">(G58+G59)*G176</f>
        <v>0</v>
      </c>
      <c r="H177" s="12">
        <f t="shared" si="78"/>
        <v>0</v>
      </c>
      <c r="I177" s="12">
        <f t="shared" si="78"/>
        <v>0</v>
      </c>
      <c r="J177" s="12">
        <f t="shared" si="78"/>
        <v>0</v>
      </c>
      <c r="K177" s="12">
        <f t="shared" si="78"/>
        <v>0</v>
      </c>
      <c r="L177" s="12">
        <f t="shared" si="78"/>
        <v>0</v>
      </c>
      <c r="M177" s="12">
        <f t="shared" si="78"/>
        <v>43000</v>
      </c>
      <c r="N177" s="12">
        <f t="shared" si="78"/>
        <v>0</v>
      </c>
      <c r="O177" s="12">
        <f t="shared" si="78"/>
        <v>0</v>
      </c>
      <c r="P177" s="12">
        <f t="shared" si="78"/>
        <v>0</v>
      </c>
      <c r="Q177" s="12">
        <f t="shared" si="78"/>
        <v>0</v>
      </c>
      <c r="R177" s="12">
        <f t="shared" si="78"/>
        <v>0</v>
      </c>
      <c r="S177" s="12">
        <f t="shared" si="78"/>
        <v>0</v>
      </c>
      <c r="T177" s="12">
        <f t="shared" si="78"/>
        <v>0</v>
      </c>
      <c r="U177" s="12">
        <f t="shared" si="78"/>
        <v>0</v>
      </c>
      <c r="V177" s="12">
        <f t="shared" si="78"/>
        <v>0</v>
      </c>
      <c r="W177" s="12">
        <f t="shared" si="78"/>
        <v>0</v>
      </c>
      <c r="X177" s="12">
        <f t="shared" si="78"/>
        <v>0</v>
      </c>
      <c r="Y177" s="12">
        <f t="shared" si="78"/>
        <v>0</v>
      </c>
      <c r="Z177" s="12">
        <f t="shared" si="78"/>
        <v>0</v>
      </c>
      <c r="AA177" s="12"/>
    </row>
    <row r="178" spans="2:27" x14ac:dyDescent="0.2">
      <c r="B178" s="10"/>
      <c r="C178" s="10" t="s">
        <v>219</v>
      </c>
      <c r="D178" s="10"/>
      <c r="E178" s="10"/>
      <c r="F178" s="10"/>
      <c r="G178" s="12">
        <f t="shared" ref="G178:Z178" si="79">G177/$E$168</f>
        <v>0</v>
      </c>
      <c r="H178" s="12">
        <f t="shared" si="79"/>
        <v>0</v>
      </c>
      <c r="I178" s="12">
        <f t="shared" si="79"/>
        <v>0</v>
      </c>
      <c r="J178" s="12">
        <f t="shared" si="79"/>
        <v>0</v>
      </c>
      <c r="K178" s="12">
        <f t="shared" si="79"/>
        <v>0</v>
      </c>
      <c r="L178" s="12">
        <f t="shared" si="79"/>
        <v>0</v>
      </c>
      <c r="M178" s="12">
        <f t="shared" si="79"/>
        <v>430000</v>
      </c>
      <c r="N178" s="12">
        <f t="shared" si="79"/>
        <v>0</v>
      </c>
      <c r="O178" s="12">
        <f t="shared" si="79"/>
        <v>0</v>
      </c>
      <c r="P178" s="12">
        <f t="shared" si="79"/>
        <v>0</v>
      </c>
      <c r="Q178" s="12">
        <f t="shared" si="79"/>
        <v>0</v>
      </c>
      <c r="R178" s="12">
        <f t="shared" si="79"/>
        <v>0</v>
      </c>
      <c r="S178" s="12">
        <f t="shared" si="79"/>
        <v>0</v>
      </c>
      <c r="T178" s="12">
        <f t="shared" si="79"/>
        <v>0</v>
      </c>
      <c r="U178" s="12">
        <f t="shared" si="79"/>
        <v>0</v>
      </c>
      <c r="V178" s="12">
        <f t="shared" si="79"/>
        <v>0</v>
      </c>
      <c r="W178" s="12">
        <f t="shared" si="79"/>
        <v>0</v>
      </c>
      <c r="X178" s="12">
        <f t="shared" si="79"/>
        <v>0</v>
      </c>
      <c r="Y178" s="12">
        <f t="shared" si="79"/>
        <v>0</v>
      </c>
      <c r="Z178" s="12">
        <f t="shared" si="79"/>
        <v>0</v>
      </c>
      <c r="AA178" s="12"/>
    </row>
    <row r="179" spans="2:27" x14ac:dyDescent="0.2">
      <c r="B179" s="10"/>
      <c r="C179" s="10" t="s">
        <v>215</v>
      </c>
      <c r="D179" s="10"/>
      <c r="E179" s="10"/>
      <c r="F179" s="10"/>
      <c r="G179" s="12">
        <f t="shared" ref="G179:Z179" si="80">-(G178+G183)*$E$169</f>
        <v>0</v>
      </c>
      <c r="H179" s="12">
        <f t="shared" si="80"/>
        <v>0</v>
      </c>
      <c r="I179" s="12">
        <f t="shared" si="80"/>
        <v>0</v>
      </c>
      <c r="J179" s="12">
        <f t="shared" si="80"/>
        <v>0</v>
      </c>
      <c r="K179" s="12">
        <f t="shared" si="80"/>
        <v>0</v>
      </c>
      <c r="L179" s="12">
        <f t="shared" si="80"/>
        <v>0</v>
      </c>
      <c r="M179" s="12">
        <f t="shared" si="80"/>
        <v>-9072.2332100894819</v>
      </c>
      <c r="N179" s="12">
        <f t="shared" si="80"/>
        <v>0</v>
      </c>
      <c r="O179" s="12">
        <f t="shared" si="80"/>
        <v>0</v>
      </c>
      <c r="P179" s="12">
        <f t="shared" si="80"/>
        <v>0</v>
      </c>
      <c r="Q179" s="12">
        <f t="shared" si="80"/>
        <v>0</v>
      </c>
      <c r="R179" s="12">
        <f t="shared" si="80"/>
        <v>0</v>
      </c>
      <c r="S179" s="12">
        <f t="shared" si="80"/>
        <v>0</v>
      </c>
      <c r="T179" s="12">
        <f t="shared" si="80"/>
        <v>0</v>
      </c>
      <c r="U179" s="12">
        <f t="shared" si="80"/>
        <v>0</v>
      </c>
      <c r="V179" s="12">
        <f t="shared" si="80"/>
        <v>0</v>
      </c>
      <c r="W179" s="12">
        <f t="shared" si="80"/>
        <v>0</v>
      </c>
      <c r="X179" s="12">
        <f t="shared" si="80"/>
        <v>0</v>
      </c>
      <c r="Y179" s="12">
        <f t="shared" si="80"/>
        <v>0</v>
      </c>
      <c r="Z179" s="12">
        <f t="shared" si="80"/>
        <v>0</v>
      </c>
      <c r="AA179" s="12"/>
    </row>
    <row r="180" spans="2:27" x14ac:dyDescent="0.2">
      <c r="B180" s="10"/>
      <c r="C180" s="10" t="s">
        <v>192</v>
      </c>
      <c r="D180" s="10"/>
      <c r="E180" s="10"/>
      <c r="F180" s="10"/>
      <c r="G180" s="12">
        <f>($E$36+SUM($G$71:G71))*G176</f>
        <v>0</v>
      </c>
      <c r="H180" s="12">
        <f>($E$36+SUM($G$71:H71))*H176</f>
        <v>0</v>
      </c>
      <c r="I180" s="12">
        <f>($E$36+SUM($G$71:I71))*I176</f>
        <v>0</v>
      </c>
      <c r="J180" s="12">
        <f>($E$36+SUM($G$71:J71))*J176</f>
        <v>0</v>
      </c>
      <c r="K180" s="12">
        <f>($E$36+SUM($G$71:K71))*K176</f>
        <v>0</v>
      </c>
      <c r="L180" s="12">
        <f>($E$36+SUM($G$71:L71))*L176</f>
        <v>0</v>
      </c>
      <c r="M180" s="12">
        <f>($E$36+SUM($G$71:M71))*M176</f>
        <v>325574.93727777782</v>
      </c>
      <c r="N180" s="12">
        <f>($E$36+SUM($G$71:N71))*N176</f>
        <v>0</v>
      </c>
      <c r="O180" s="12">
        <f>($E$36+SUM($G$71:O71))*O176</f>
        <v>0</v>
      </c>
      <c r="P180" s="12">
        <f>($E$36+SUM($G$71:P71))*P176</f>
        <v>0</v>
      </c>
      <c r="Q180" s="12">
        <f>($E$36+SUM($G$71:Q71))*Q176</f>
        <v>0</v>
      </c>
      <c r="R180" s="12">
        <f>($E$36+SUM($G$71:R71))*R176</f>
        <v>0</v>
      </c>
      <c r="S180" s="12">
        <f>($E$36+SUM($G$71:S71))*S176</f>
        <v>0</v>
      </c>
      <c r="T180" s="12">
        <f>($E$36+SUM($G$71:T71))*T176</f>
        <v>0</v>
      </c>
      <c r="U180" s="12">
        <f>($E$36+SUM($G$71:U71))*U176</f>
        <v>0</v>
      </c>
      <c r="V180" s="12">
        <f>($E$36+SUM($G$71:V71))*V176</f>
        <v>0</v>
      </c>
      <c r="W180" s="12">
        <f>($E$36+SUM($G$71:W71))*W176</f>
        <v>0</v>
      </c>
      <c r="X180" s="12">
        <f>($E$36+SUM($G$71:X71))*X176</f>
        <v>0</v>
      </c>
      <c r="Y180" s="12">
        <f>($E$36+SUM($G$71:Y71))*Y176</f>
        <v>0</v>
      </c>
      <c r="Z180" s="12">
        <f>($E$36+SUM($G$71:Z71))*Z176</f>
        <v>0</v>
      </c>
      <c r="AA180" s="12"/>
    </row>
    <row r="181" spans="2:27" x14ac:dyDescent="0.2">
      <c r="B181" s="10"/>
      <c r="C181" s="10" t="s">
        <v>193</v>
      </c>
      <c r="D181" s="10"/>
      <c r="E181" s="10"/>
      <c r="F181" s="10"/>
      <c r="G181" s="12">
        <f t="shared" ref="G181:Z181" si="81">-MAX(0,G178+G183+G179-G180)*$E$170</f>
        <v>0</v>
      </c>
      <c r="H181" s="12">
        <f t="shared" si="81"/>
        <v>0</v>
      </c>
      <c r="I181" s="12">
        <f t="shared" si="81"/>
        <v>0</v>
      </c>
      <c r="J181" s="12">
        <f t="shared" si="81"/>
        <v>0</v>
      </c>
      <c r="K181" s="12">
        <f t="shared" si="81"/>
        <v>0</v>
      </c>
      <c r="L181" s="12">
        <f t="shared" si="81"/>
        <v>0</v>
      </c>
      <c r="M181" s="12">
        <f t="shared" si="81"/>
        <v>-40447.926605646302</v>
      </c>
      <c r="N181" s="12">
        <f t="shared" si="81"/>
        <v>0</v>
      </c>
      <c r="O181" s="12">
        <f t="shared" si="81"/>
        <v>0</v>
      </c>
      <c r="P181" s="12">
        <f t="shared" si="81"/>
        <v>0</v>
      </c>
      <c r="Q181" s="12">
        <f t="shared" si="81"/>
        <v>0</v>
      </c>
      <c r="R181" s="12">
        <f t="shared" si="81"/>
        <v>0</v>
      </c>
      <c r="S181" s="12">
        <f t="shared" si="81"/>
        <v>0</v>
      </c>
      <c r="T181" s="12">
        <f t="shared" si="81"/>
        <v>0</v>
      </c>
      <c r="U181" s="12">
        <f t="shared" si="81"/>
        <v>0</v>
      </c>
      <c r="V181" s="12">
        <f t="shared" si="81"/>
        <v>0</v>
      </c>
      <c r="W181" s="12">
        <f t="shared" si="81"/>
        <v>0</v>
      </c>
      <c r="X181" s="12">
        <f t="shared" si="81"/>
        <v>0</v>
      </c>
      <c r="Y181" s="12">
        <f t="shared" si="81"/>
        <v>0</v>
      </c>
      <c r="Z181" s="12">
        <f t="shared" si="81"/>
        <v>0</v>
      </c>
      <c r="AA181" s="12"/>
    </row>
    <row r="182" spans="2:27" x14ac:dyDescent="0.2">
      <c r="B182" s="10"/>
      <c r="C182" s="10" t="s">
        <v>194</v>
      </c>
      <c r="D182" s="10"/>
      <c r="E182" s="10"/>
      <c r="F182" s="10"/>
      <c r="G182" s="12">
        <f t="shared" ref="G182:Z182" si="82">-G47*G176</f>
        <v>0</v>
      </c>
      <c r="H182" s="12">
        <f t="shared" si="82"/>
        <v>0</v>
      </c>
      <c r="I182" s="12">
        <f t="shared" si="82"/>
        <v>0</v>
      </c>
      <c r="J182" s="12">
        <f t="shared" si="82"/>
        <v>0</v>
      </c>
      <c r="K182" s="12">
        <f t="shared" si="82"/>
        <v>0</v>
      </c>
      <c r="L182" s="12">
        <f t="shared" si="82"/>
        <v>0</v>
      </c>
      <c r="M182" s="12">
        <f t="shared" si="82"/>
        <v>-140000</v>
      </c>
      <c r="N182" s="12">
        <f t="shared" si="82"/>
        <v>0</v>
      </c>
      <c r="O182" s="12">
        <f t="shared" si="82"/>
        <v>0</v>
      </c>
      <c r="P182" s="12">
        <f t="shared" si="82"/>
        <v>0</v>
      </c>
      <c r="Q182" s="12">
        <f t="shared" si="82"/>
        <v>0</v>
      </c>
      <c r="R182" s="12">
        <f t="shared" si="82"/>
        <v>0</v>
      </c>
      <c r="S182" s="12">
        <f t="shared" si="82"/>
        <v>0</v>
      </c>
      <c r="T182" s="12">
        <f t="shared" si="82"/>
        <v>0</v>
      </c>
      <c r="U182" s="12">
        <f t="shared" si="82"/>
        <v>0</v>
      </c>
      <c r="V182" s="12">
        <f t="shared" si="82"/>
        <v>0</v>
      </c>
      <c r="W182" s="12">
        <f t="shared" si="82"/>
        <v>0</v>
      </c>
      <c r="X182" s="12">
        <f t="shared" si="82"/>
        <v>0</v>
      </c>
      <c r="Y182" s="12">
        <f t="shared" si="82"/>
        <v>0</v>
      </c>
      <c r="Z182" s="12">
        <f t="shared" si="82"/>
        <v>0</v>
      </c>
      <c r="AA182" s="12"/>
    </row>
    <row r="183" spans="2:27" x14ac:dyDescent="0.2">
      <c r="B183" s="10"/>
      <c r="C183" s="10" t="s">
        <v>216</v>
      </c>
      <c r="D183" s="10"/>
      <c r="E183" s="10"/>
      <c r="F183" s="10"/>
      <c r="G183" s="12">
        <f t="shared" ref="G183:Z183" si="83">$E$174*G176</f>
        <v>0</v>
      </c>
      <c r="H183" s="12">
        <f t="shared" si="83"/>
        <v>0</v>
      </c>
      <c r="I183" s="12">
        <f t="shared" si="83"/>
        <v>0</v>
      </c>
      <c r="J183" s="12">
        <f t="shared" si="83"/>
        <v>0</v>
      </c>
      <c r="K183" s="12">
        <f t="shared" si="83"/>
        <v>0</v>
      </c>
      <c r="L183" s="12">
        <f t="shared" si="83"/>
        <v>0</v>
      </c>
      <c r="M183" s="12">
        <f t="shared" si="83"/>
        <v>23611.660504474061</v>
      </c>
      <c r="N183" s="12">
        <f t="shared" si="83"/>
        <v>0</v>
      </c>
      <c r="O183" s="12">
        <f t="shared" si="83"/>
        <v>0</v>
      </c>
      <c r="P183" s="12">
        <f t="shared" si="83"/>
        <v>0</v>
      </c>
      <c r="Q183" s="12">
        <f t="shared" si="83"/>
        <v>0</v>
      </c>
      <c r="R183" s="12">
        <f t="shared" si="83"/>
        <v>0</v>
      </c>
      <c r="S183" s="12">
        <f t="shared" si="83"/>
        <v>0</v>
      </c>
      <c r="T183" s="12">
        <f t="shared" si="83"/>
        <v>0</v>
      </c>
      <c r="U183" s="12">
        <f t="shared" si="83"/>
        <v>0</v>
      </c>
      <c r="V183" s="12">
        <f t="shared" si="83"/>
        <v>0</v>
      </c>
      <c r="W183" s="12">
        <f t="shared" si="83"/>
        <v>0</v>
      </c>
      <c r="X183" s="12">
        <f t="shared" si="83"/>
        <v>0</v>
      </c>
      <c r="Y183" s="12">
        <f t="shared" si="83"/>
        <v>0</v>
      </c>
      <c r="Z183" s="12">
        <f t="shared" si="83"/>
        <v>0</v>
      </c>
      <c r="AA183" s="12"/>
    </row>
    <row r="184" spans="2:27" x14ac:dyDescent="0.2">
      <c r="B184" s="10"/>
      <c r="C184" s="10" t="s">
        <v>195</v>
      </c>
      <c r="D184" s="10"/>
      <c r="E184" s="10"/>
      <c r="F184" s="10"/>
      <c r="G184" s="12">
        <f t="shared" ref="G184:Z184" si="84">G54*G176</f>
        <v>0</v>
      </c>
      <c r="H184" s="12">
        <f t="shared" si="84"/>
        <v>0</v>
      </c>
      <c r="I184" s="12">
        <f t="shared" si="84"/>
        <v>0</v>
      </c>
      <c r="J184" s="12">
        <f t="shared" si="84"/>
        <v>0</v>
      </c>
      <c r="K184" s="12">
        <f t="shared" si="84"/>
        <v>0</v>
      </c>
      <c r="L184" s="12">
        <f t="shared" si="84"/>
        <v>0</v>
      </c>
      <c r="M184" s="12">
        <f t="shared" si="84"/>
        <v>0</v>
      </c>
      <c r="N184" s="12">
        <f t="shared" si="84"/>
        <v>0</v>
      </c>
      <c r="O184" s="12">
        <f t="shared" si="84"/>
        <v>0</v>
      </c>
      <c r="P184" s="12">
        <f t="shared" si="84"/>
        <v>0</v>
      </c>
      <c r="Q184" s="12">
        <f t="shared" si="84"/>
        <v>0</v>
      </c>
      <c r="R184" s="12">
        <f t="shared" si="84"/>
        <v>0</v>
      </c>
      <c r="S184" s="12">
        <f t="shared" si="84"/>
        <v>0</v>
      </c>
      <c r="T184" s="12">
        <f t="shared" si="84"/>
        <v>0</v>
      </c>
      <c r="U184" s="12">
        <f t="shared" si="84"/>
        <v>0</v>
      </c>
      <c r="V184" s="12">
        <f t="shared" si="84"/>
        <v>0</v>
      </c>
      <c r="W184" s="12">
        <f t="shared" si="84"/>
        <v>0</v>
      </c>
      <c r="X184" s="12">
        <f t="shared" si="84"/>
        <v>0</v>
      </c>
      <c r="Y184" s="12">
        <f t="shared" si="84"/>
        <v>0</v>
      </c>
      <c r="Z184" s="12">
        <f t="shared" si="84"/>
        <v>0</v>
      </c>
      <c r="AA184" s="12"/>
    </row>
    <row r="185" spans="2:27" x14ac:dyDescent="0.2">
      <c r="B185" s="49" t="s">
        <v>196</v>
      </c>
      <c r="C185" s="49"/>
      <c r="D185" s="49"/>
      <c r="E185" s="49"/>
      <c r="F185" s="49"/>
      <c r="G185" s="50">
        <f t="shared" ref="G185:Z185" si="85">G178+G179+G181+G182+G183+G184</f>
        <v>0</v>
      </c>
      <c r="H185" s="50">
        <f t="shared" si="85"/>
        <v>0</v>
      </c>
      <c r="I185" s="50">
        <f t="shared" si="85"/>
        <v>0</v>
      </c>
      <c r="J185" s="50">
        <f t="shared" si="85"/>
        <v>0</v>
      </c>
      <c r="K185" s="50">
        <f t="shared" si="85"/>
        <v>0</v>
      </c>
      <c r="L185" s="50">
        <f t="shared" si="85"/>
        <v>0</v>
      </c>
      <c r="M185" s="50">
        <f t="shared" si="85"/>
        <v>264091.50068873825</v>
      </c>
      <c r="N185" s="50">
        <f t="shared" si="85"/>
        <v>0</v>
      </c>
      <c r="O185" s="50">
        <f t="shared" si="85"/>
        <v>0</v>
      </c>
      <c r="P185" s="50">
        <f t="shared" si="85"/>
        <v>0</v>
      </c>
      <c r="Q185" s="50">
        <f t="shared" si="85"/>
        <v>0</v>
      </c>
      <c r="R185" s="50">
        <f t="shared" si="85"/>
        <v>0</v>
      </c>
      <c r="S185" s="50">
        <f t="shared" si="85"/>
        <v>0</v>
      </c>
      <c r="T185" s="50">
        <f t="shared" si="85"/>
        <v>0</v>
      </c>
      <c r="U185" s="50">
        <f t="shared" si="85"/>
        <v>0</v>
      </c>
      <c r="V185" s="50">
        <f t="shared" si="85"/>
        <v>0</v>
      </c>
      <c r="W185" s="50">
        <f t="shared" si="85"/>
        <v>0</v>
      </c>
      <c r="X185" s="50">
        <f t="shared" si="85"/>
        <v>0</v>
      </c>
      <c r="Y185" s="50">
        <f t="shared" si="85"/>
        <v>0</v>
      </c>
      <c r="Z185" s="50">
        <f t="shared" si="85"/>
        <v>0</v>
      </c>
      <c r="AA185" s="50"/>
    </row>
    <row r="186" spans="2:27" x14ac:dyDescent="0.2">
      <c r="B186" s="10"/>
      <c r="C186" s="10" t="s">
        <v>197</v>
      </c>
      <c r="D186" s="10"/>
      <c r="E186" s="10"/>
      <c r="F186" s="10"/>
      <c r="G186" s="12">
        <f t="shared" ref="G186:Z186" si="86">IF(G$6&lt;=$E$167,G112,0)</f>
        <v>-84496.679603351207</v>
      </c>
      <c r="H186" s="12">
        <f t="shared" si="86"/>
        <v>-137882.3358247969</v>
      </c>
      <c r="I186" s="12">
        <f t="shared" si="86"/>
        <v>15400.898428148037</v>
      </c>
      <c r="J186" s="12">
        <f t="shared" si="86"/>
        <v>5095.6301659641667</v>
      </c>
      <c r="K186" s="12">
        <f t="shared" si="86"/>
        <v>1340.3613928841683</v>
      </c>
      <c r="L186" s="12">
        <f t="shared" si="86"/>
        <v>11237.428538985607</v>
      </c>
      <c r="M186" s="12">
        <f t="shared" si="86"/>
        <v>11952.795685087045</v>
      </c>
      <c r="N186" s="12">
        <f t="shared" si="86"/>
        <v>0</v>
      </c>
      <c r="O186" s="12">
        <f t="shared" si="86"/>
        <v>0</v>
      </c>
      <c r="P186" s="12">
        <f t="shared" si="86"/>
        <v>0</v>
      </c>
      <c r="Q186" s="12">
        <f t="shared" si="86"/>
        <v>0</v>
      </c>
      <c r="R186" s="12">
        <f t="shared" si="86"/>
        <v>0</v>
      </c>
      <c r="S186" s="12">
        <f t="shared" si="86"/>
        <v>0</v>
      </c>
      <c r="T186" s="12">
        <f t="shared" si="86"/>
        <v>0</v>
      </c>
      <c r="U186" s="12">
        <f t="shared" si="86"/>
        <v>0</v>
      </c>
      <c r="V186" s="12">
        <f t="shared" si="86"/>
        <v>0</v>
      </c>
      <c r="W186" s="12">
        <f t="shared" si="86"/>
        <v>0</v>
      </c>
      <c r="X186" s="12">
        <f t="shared" si="86"/>
        <v>0</v>
      </c>
      <c r="Y186" s="12">
        <f t="shared" si="86"/>
        <v>0</v>
      </c>
      <c r="Z186" s="12">
        <f t="shared" si="86"/>
        <v>0</v>
      </c>
      <c r="AA186" s="12"/>
    </row>
    <row r="187" spans="2:27" x14ac:dyDescent="0.2">
      <c r="B187" s="31" t="s">
        <v>198</v>
      </c>
      <c r="C187" s="31"/>
      <c r="D187" s="31"/>
      <c r="E187" s="31"/>
      <c r="F187" s="31"/>
      <c r="G187" s="32">
        <f t="shared" ref="G187:Z187" si="87">G185+G186</f>
        <v>-84496.679603351207</v>
      </c>
      <c r="H187" s="32">
        <f t="shared" si="87"/>
        <v>-137882.3358247969</v>
      </c>
      <c r="I187" s="32">
        <f t="shared" si="87"/>
        <v>15400.898428148037</v>
      </c>
      <c r="J187" s="32">
        <f t="shared" si="87"/>
        <v>5095.6301659641667</v>
      </c>
      <c r="K187" s="32">
        <f t="shared" si="87"/>
        <v>1340.3613928841683</v>
      </c>
      <c r="L187" s="32">
        <f t="shared" si="87"/>
        <v>11237.428538985607</v>
      </c>
      <c r="M187" s="32">
        <f t="shared" si="87"/>
        <v>276044.29637382529</v>
      </c>
      <c r="N187" s="32">
        <f t="shared" si="87"/>
        <v>0</v>
      </c>
      <c r="O187" s="32">
        <f t="shared" si="87"/>
        <v>0</v>
      </c>
      <c r="P187" s="32">
        <f t="shared" si="87"/>
        <v>0</v>
      </c>
      <c r="Q187" s="32">
        <f t="shared" si="87"/>
        <v>0</v>
      </c>
      <c r="R187" s="32">
        <f t="shared" si="87"/>
        <v>0</v>
      </c>
      <c r="S187" s="32">
        <f t="shared" si="87"/>
        <v>0</v>
      </c>
      <c r="T187" s="32">
        <f t="shared" si="87"/>
        <v>0</v>
      </c>
      <c r="U187" s="32">
        <f t="shared" si="87"/>
        <v>0</v>
      </c>
      <c r="V187" s="32">
        <f t="shared" si="87"/>
        <v>0</v>
      </c>
      <c r="W187" s="32">
        <f t="shared" si="87"/>
        <v>0</v>
      </c>
      <c r="X187" s="32">
        <f t="shared" si="87"/>
        <v>0</v>
      </c>
      <c r="Y187" s="32">
        <f t="shared" si="87"/>
        <v>0</v>
      </c>
      <c r="Z187" s="32">
        <f t="shared" si="87"/>
        <v>0</v>
      </c>
      <c r="AA187" s="32">
        <f>0</f>
        <v>0</v>
      </c>
    </row>
    <row r="188" spans="2:27" x14ac:dyDescent="0.2">
      <c r="B188" s="10"/>
      <c r="C188" s="23" t="s">
        <v>101</v>
      </c>
      <c r="D188" s="23"/>
      <c r="E188" s="23"/>
      <c r="F188" s="23"/>
      <c r="G188" s="66">
        <f>G187</f>
        <v>-84496.679603351207</v>
      </c>
      <c r="H188" s="66">
        <f t="shared" ref="H188:Z188" si="88">G188+H187</f>
        <v>-222379.01542814809</v>
      </c>
      <c r="I188" s="66">
        <f t="shared" si="88"/>
        <v>-206978.11700000006</v>
      </c>
      <c r="J188" s="66">
        <f t="shared" si="88"/>
        <v>-201882.4868340359</v>
      </c>
      <c r="K188" s="66">
        <f t="shared" si="88"/>
        <v>-200542.12544115173</v>
      </c>
      <c r="L188" s="66">
        <f t="shared" si="88"/>
        <v>-189304.69690216612</v>
      </c>
      <c r="M188" s="66">
        <f t="shared" si="88"/>
        <v>86739.599471659167</v>
      </c>
      <c r="N188" s="66">
        <f t="shared" si="88"/>
        <v>86739.599471659167</v>
      </c>
      <c r="O188" s="66">
        <f t="shared" si="88"/>
        <v>86739.599471659167</v>
      </c>
      <c r="P188" s="66">
        <f t="shared" si="88"/>
        <v>86739.599471659167</v>
      </c>
      <c r="Q188" s="66">
        <f t="shared" si="88"/>
        <v>86739.599471659167</v>
      </c>
      <c r="R188" s="66">
        <f t="shared" si="88"/>
        <v>86739.599471659167</v>
      </c>
      <c r="S188" s="66">
        <f t="shared" si="88"/>
        <v>86739.599471659167</v>
      </c>
      <c r="T188" s="66">
        <f t="shared" si="88"/>
        <v>86739.599471659167</v>
      </c>
      <c r="U188" s="66">
        <f t="shared" si="88"/>
        <v>86739.599471659167</v>
      </c>
      <c r="V188" s="66">
        <f t="shared" si="88"/>
        <v>86739.599471659167</v>
      </c>
      <c r="W188" s="66">
        <f t="shared" si="88"/>
        <v>86739.599471659167</v>
      </c>
      <c r="X188" s="66">
        <f t="shared" si="88"/>
        <v>86739.599471659167</v>
      </c>
      <c r="Y188" s="66">
        <f t="shared" si="88"/>
        <v>86739.599471659167</v>
      </c>
      <c r="Z188" s="66">
        <f t="shared" si="88"/>
        <v>86739.599471659167</v>
      </c>
      <c r="AA188" s="66"/>
    </row>
    <row r="189" spans="2:27" x14ac:dyDescent="0.2">
      <c r="B189" s="10"/>
      <c r="C189" s="23" t="s">
        <v>145</v>
      </c>
      <c r="D189" s="23"/>
      <c r="E189" s="23"/>
      <c r="F189" s="23"/>
      <c r="G189" s="66">
        <f t="shared" ref="G189:Z189" si="89">G187*G119</f>
        <v>-84496.679603351207</v>
      </c>
      <c r="H189" s="66">
        <f t="shared" si="89"/>
        <v>-126497.55580256596</v>
      </c>
      <c r="I189" s="66">
        <f t="shared" si="89"/>
        <v>12962.628085302613</v>
      </c>
      <c r="J189" s="66">
        <f t="shared" si="89"/>
        <v>3934.7614346583482</v>
      </c>
      <c r="K189" s="66">
        <f t="shared" si="89"/>
        <v>949.54580265760751</v>
      </c>
      <c r="L189" s="66">
        <f t="shared" si="89"/>
        <v>7303.5575087715033</v>
      </c>
      <c r="M189" s="66">
        <f t="shared" si="89"/>
        <v>164596.19469907481</v>
      </c>
      <c r="N189" s="66">
        <f t="shared" si="89"/>
        <v>0</v>
      </c>
      <c r="O189" s="66">
        <f t="shared" si="89"/>
        <v>0</v>
      </c>
      <c r="P189" s="66">
        <f t="shared" si="89"/>
        <v>0</v>
      </c>
      <c r="Q189" s="66">
        <f t="shared" si="89"/>
        <v>0</v>
      </c>
      <c r="R189" s="66">
        <f t="shared" si="89"/>
        <v>0</v>
      </c>
      <c r="S189" s="66">
        <f t="shared" si="89"/>
        <v>0</v>
      </c>
      <c r="T189" s="66">
        <f t="shared" si="89"/>
        <v>0</v>
      </c>
      <c r="U189" s="66">
        <f t="shared" si="89"/>
        <v>0</v>
      </c>
      <c r="V189" s="66">
        <f t="shared" si="89"/>
        <v>0</v>
      </c>
      <c r="W189" s="66">
        <f t="shared" si="89"/>
        <v>0</v>
      </c>
      <c r="X189" s="66">
        <f t="shared" si="89"/>
        <v>0</v>
      </c>
      <c r="Y189" s="66">
        <f t="shared" si="89"/>
        <v>0</v>
      </c>
      <c r="Z189" s="66">
        <f t="shared" si="89"/>
        <v>0</v>
      </c>
      <c r="AA189" s="66"/>
    </row>
    <row r="190" spans="2:27" x14ac:dyDescent="0.2">
      <c r="B190" s="10"/>
      <c r="C190" s="23" t="s">
        <v>199</v>
      </c>
      <c r="D190" s="23"/>
      <c r="E190" s="23"/>
      <c r="F190" s="23"/>
      <c r="G190" s="66">
        <f>G189</f>
        <v>-84496.679603351207</v>
      </c>
      <c r="H190" s="66">
        <f t="shared" ref="H190:Z190" si="90">G190+H189</f>
        <v>-210994.23540591716</v>
      </c>
      <c r="I190" s="66">
        <f t="shared" si="90"/>
        <v>-198031.60732061454</v>
      </c>
      <c r="J190" s="66">
        <f t="shared" si="90"/>
        <v>-194096.84588595619</v>
      </c>
      <c r="K190" s="66">
        <f t="shared" si="90"/>
        <v>-193147.30008329859</v>
      </c>
      <c r="L190" s="66">
        <f t="shared" si="90"/>
        <v>-185843.74257452707</v>
      </c>
      <c r="M190" s="66">
        <f t="shared" si="90"/>
        <v>-21247.547875452263</v>
      </c>
      <c r="N190" s="66">
        <f t="shared" si="90"/>
        <v>-21247.547875452263</v>
      </c>
      <c r="O190" s="66">
        <f t="shared" si="90"/>
        <v>-21247.547875452263</v>
      </c>
      <c r="P190" s="66">
        <f t="shared" si="90"/>
        <v>-21247.547875452263</v>
      </c>
      <c r="Q190" s="66">
        <f t="shared" si="90"/>
        <v>-21247.547875452263</v>
      </c>
      <c r="R190" s="66">
        <f t="shared" si="90"/>
        <v>-21247.547875452263</v>
      </c>
      <c r="S190" s="66">
        <f t="shared" si="90"/>
        <v>-21247.547875452263</v>
      </c>
      <c r="T190" s="66">
        <f t="shared" si="90"/>
        <v>-21247.547875452263</v>
      </c>
      <c r="U190" s="66">
        <f t="shared" si="90"/>
        <v>-21247.547875452263</v>
      </c>
      <c r="V190" s="66">
        <f t="shared" si="90"/>
        <v>-21247.547875452263</v>
      </c>
      <c r="W190" s="66">
        <f t="shared" si="90"/>
        <v>-21247.547875452263</v>
      </c>
      <c r="X190" s="66">
        <f t="shared" si="90"/>
        <v>-21247.547875452263</v>
      </c>
      <c r="Y190" s="66">
        <f t="shared" si="90"/>
        <v>-21247.547875452263</v>
      </c>
      <c r="Z190" s="66">
        <f t="shared" si="90"/>
        <v>-21247.547875452263</v>
      </c>
      <c r="AA190" s="66"/>
    </row>
    <row r="191" spans="2:27" x14ac:dyDescent="0.2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2:27" x14ac:dyDescent="0.2">
      <c r="B192" s="81" t="s">
        <v>200</v>
      </c>
      <c r="C192" s="81"/>
      <c r="D192" s="81"/>
      <c r="E192" s="81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2:27" x14ac:dyDescent="0.2">
      <c r="B193" s="10"/>
      <c r="C193" s="10" t="s">
        <v>201</v>
      </c>
      <c r="D193" s="10"/>
      <c r="E193" s="73">
        <f>SUM($G$178:$Z$178)+SUM($G$183:$Z$183)</f>
        <v>453611.66050447407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2:27" x14ac:dyDescent="0.2">
      <c r="B194" s="10"/>
      <c r="C194" s="10" t="s">
        <v>220</v>
      </c>
      <c r="D194" s="10"/>
      <c r="E194" s="89">
        <f>E193/SUM($G$177:$Z$177)</f>
        <v>10.549108383824979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2:27" x14ac:dyDescent="0.2">
      <c r="B195" s="10"/>
      <c r="C195" s="10" t="s">
        <v>202</v>
      </c>
      <c r="D195" s="10"/>
      <c r="E195" s="74">
        <f>E193/$E$36</f>
        <v>1.0062458253533832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2:27" x14ac:dyDescent="0.2">
      <c r="B196" s="10"/>
      <c r="C196" s="10" t="s">
        <v>203</v>
      </c>
      <c r="D196" s="10"/>
      <c r="E196" s="73">
        <f>E193+SUM($G$179:$Z$179)-SUM($G$180:$Z$180)</f>
        <v>118964.49001660675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2:27" x14ac:dyDescent="0.2">
      <c r="B197" s="10"/>
      <c r="C197" s="10" t="s">
        <v>217</v>
      </c>
      <c r="D197" s="10"/>
      <c r="E197" s="73">
        <f>SUM($G$183:$Z$183)</f>
        <v>23611.660504474061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2:27" x14ac:dyDescent="0.2">
      <c r="B198" s="10"/>
      <c r="C198" s="10" t="s">
        <v>204</v>
      </c>
      <c r="D198" s="10"/>
      <c r="E198" s="73">
        <f>SUM($G$185:$Z$185)</f>
        <v>264091.50068873825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2:27" x14ac:dyDescent="0.2">
      <c r="B199" s="81" t="s">
        <v>149</v>
      </c>
      <c r="C199" s="81"/>
      <c r="D199" s="81"/>
      <c r="E199" s="9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2:27" x14ac:dyDescent="0.2">
      <c r="B200" s="10"/>
      <c r="C200" s="10" t="s">
        <v>205</v>
      </c>
      <c r="D200" s="10"/>
      <c r="E200" s="72">
        <f>IRR($G$187:$Z$187)</f>
        <v>6.7223586795734258E-2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2:27" x14ac:dyDescent="0.2">
      <c r="B201" s="10"/>
      <c r="C201" s="10" t="s">
        <v>152</v>
      </c>
      <c r="D201" s="10"/>
      <c r="E201" s="72">
        <f>$E$25</f>
        <v>0.09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2:27" x14ac:dyDescent="0.2">
      <c r="B202" s="10"/>
      <c r="C202" s="10" t="s">
        <v>206</v>
      </c>
      <c r="D202" s="10"/>
      <c r="E202" s="73">
        <f>SUM($G$189:$Z$189)</f>
        <v>-21247.547875452263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2:27" x14ac:dyDescent="0.2">
      <c r="B203" s="10"/>
      <c r="C203" s="10" t="s">
        <v>154</v>
      </c>
      <c r="D203" s="10"/>
      <c r="E203" s="73">
        <f>SUM($G$189:$Z$189)</f>
        <v>-21247.547875452263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2:27" x14ac:dyDescent="0.2">
      <c r="B204" s="10"/>
      <c r="C204" s="10" t="s">
        <v>155</v>
      </c>
      <c r="D204" s="10"/>
      <c r="E204" s="73">
        <f>0</f>
        <v>0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2:27" x14ac:dyDescent="0.2">
      <c r="B205" s="10"/>
      <c r="C205" s="10" t="s">
        <v>179</v>
      </c>
      <c r="D205" s="10"/>
      <c r="E205" s="74">
        <f>SUMIF($G$189:$Z$189,"&gt;0")/-SUMIF($G$189:$Z$189,"&lt;0")</f>
        <v>0.89929796975459741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 spans="2:27" x14ac:dyDescent="0.2">
      <c r="B206" s="10"/>
      <c r="C206" s="10" t="s">
        <v>207</v>
      </c>
      <c r="D206" s="10"/>
      <c r="E206" s="72">
        <f>E200-$E$126</f>
        <v>-1.6383690668098305E-2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 spans="2:27" x14ac:dyDescent="0.2">
      <c r="B207" s="81" t="s">
        <v>157</v>
      </c>
      <c r="C207" s="81"/>
      <c r="D207" s="81"/>
      <c r="E207" s="9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 spans="2:27" x14ac:dyDescent="0.2">
      <c r="B208" s="10"/>
      <c r="C208" s="10" t="s">
        <v>182</v>
      </c>
      <c r="D208" s="10"/>
      <c r="E208" s="73">
        <f>-SUMIF($G$187:$Z$187,"&lt;0")</f>
        <v>222379.01542814809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 spans="2:27" x14ac:dyDescent="0.2">
      <c r="B209" s="10"/>
      <c r="C209" s="10" t="s">
        <v>159</v>
      </c>
      <c r="D209" s="10"/>
      <c r="E209" s="73">
        <f>-MIN(0,MIN($G$188:$Z$188))</f>
        <v>222379.01542814809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 spans="2:27" x14ac:dyDescent="0.2">
      <c r="B210" s="10"/>
      <c r="C210" s="10" t="s">
        <v>160</v>
      </c>
      <c r="D210" s="10"/>
      <c r="E210" s="75">
        <f>INDEX($G$6:$Z$6,MATCH(MIN($G$188:$Z$188),$G$188:$Z$188,0))</f>
        <v>2027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 spans="2:27" x14ac:dyDescent="0.2">
      <c r="B211" s="10"/>
      <c r="C211" s="10" t="s">
        <v>161</v>
      </c>
      <c r="D211" s="10"/>
      <c r="E211" s="75">
        <f>COUNTIF($G$187:$Z$187,"&lt;0")</f>
        <v>2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 spans="2:27" x14ac:dyDescent="0.2">
      <c r="B212" s="10"/>
      <c r="C212" s="10" t="s">
        <v>1041</v>
      </c>
      <c r="D212" s="10"/>
      <c r="E212" s="316">
        <f>IF(COUNTIF($G$188:$Z$188,"&lt;0")=COUNT($G$188:$Z$188),"&gt; 20 years",COUNTIF($G$188:$Z$188,"&lt;0"))</f>
        <v>6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 spans="2:27" x14ac:dyDescent="0.2">
      <c r="B213" s="81" t="s">
        <v>162</v>
      </c>
      <c r="C213" s="81"/>
      <c r="D213" s="81"/>
      <c r="E213" s="9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 spans="2:27" x14ac:dyDescent="0.2">
      <c r="B214" s="10"/>
      <c r="C214" s="10" t="s">
        <v>208</v>
      </c>
      <c r="D214" s="10"/>
      <c r="E214" s="73">
        <f>SUMIF($G$187:$Z$187,"&gt;0")</f>
        <v>309118.61489980726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 spans="2:27" x14ac:dyDescent="0.2">
      <c r="B215" s="10"/>
      <c r="C215" s="10" t="s">
        <v>209</v>
      </c>
      <c r="D215" s="10"/>
      <c r="E215" s="73">
        <f>SUM($G$187:$Z$187)</f>
        <v>86739.599471659167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 spans="2:27" x14ac:dyDescent="0.2">
      <c r="B216" s="10"/>
      <c r="C216" s="10" t="s">
        <v>210</v>
      </c>
      <c r="D216" s="10"/>
      <c r="E216" s="74">
        <f>E214/E208</f>
        <v>1.3900529881592412</v>
      </c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 spans="2:27" x14ac:dyDescent="0.2">
      <c r="B217" s="10"/>
      <c r="C217" s="10" t="s">
        <v>166</v>
      </c>
      <c r="D217" s="10"/>
      <c r="E217" s="74">
        <f>E216</f>
        <v>1.3900529881592412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 spans="2:27" x14ac:dyDescent="0.2">
      <c r="B218" s="10"/>
      <c r="C218" s="10" t="s">
        <v>167</v>
      </c>
      <c r="D218" s="10"/>
      <c r="E218" s="73">
        <f>IFERROR(AVERAGEIF($G$187:$Z$187,"&gt;0"),0)</f>
        <v>61823.722979961451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 spans="2:27" x14ac:dyDescent="0.2">
      <c r="B219" s="10"/>
      <c r="C219" s="10" t="s">
        <v>183</v>
      </c>
      <c r="D219" s="10"/>
      <c r="E219" s="72">
        <f>IFERROR(E218/E209,"n/a")</f>
        <v>0.27801059763184821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 spans="2:27" x14ac:dyDescent="0.2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 spans="2:27" x14ac:dyDescent="0.2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 spans="2:27" x14ac:dyDescent="0.2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 spans="2:27" x14ac:dyDescent="0.2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 spans="2:27" x14ac:dyDescent="0.2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 spans="2:27" x14ac:dyDescent="0.2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 spans="2:27" x14ac:dyDescent="0.2">
      <c r="B226" s="84" t="s">
        <v>221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8" spans="2:27" x14ac:dyDescent="0.2">
      <c r="B228" s="24" t="s">
        <v>357</v>
      </c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 spans="2:27" ht="29" x14ac:dyDescent="0.2">
      <c r="B229" s="10"/>
      <c r="C229" s="10"/>
      <c r="D229" s="10"/>
      <c r="E229" s="126" t="s">
        <v>358</v>
      </c>
      <c r="F229" s="126"/>
      <c r="G229" s="126" t="s">
        <v>359</v>
      </c>
      <c r="H229" s="126" t="s">
        <v>360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 spans="2:27" x14ac:dyDescent="0.2">
      <c r="B230" s="10"/>
      <c r="C230" s="10"/>
      <c r="D230" s="10"/>
      <c r="E230" s="113">
        <v>0.5</v>
      </c>
      <c r="F230" s="7"/>
      <c r="G230" s="19">
        <f t="shared" ref="G230:G261" si="91">$E$9*1000</f>
        <v>31000000</v>
      </c>
      <c r="H230" s="38">
        <v>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 spans="2:27" x14ac:dyDescent="0.2">
      <c r="B231" s="10"/>
      <c r="C231" s="10"/>
      <c r="D231" s="10"/>
      <c r="E231" s="127">
        <f t="shared" ref="E231:E262" si="92">ROUND(E230+1%,2)</f>
        <v>0.51</v>
      </c>
      <c r="F231" s="7"/>
      <c r="G231" s="19">
        <f t="shared" si="91"/>
        <v>31000000</v>
      </c>
      <c r="H231" s="38">
        <v>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 spans="2:27" x14ac:dyDescent="0.2">
      <c r="B232" s="10"/>
      <c r="C232" s="10"/>
      <c r="D232" s="10"/>
      <c r="E232" s="127">
        <f t="shared" si="92"/>
        <v>0.52</v>
      </c>
      <c r="F232" s="7"/>
      <c r="G232" s="19">
        <f t="shared" si="91"/>
        <v>31000000</v>
      </c>
      <c r="H232" s="38">
        <v>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 spans="2:27" x14ac:dyDescent="0.2">
      <c r="B233" s="10"/>
      <c r="C233" s="10"/>
      <c r="D233" s="10"/>
      <c r="E233" s="127">
        <f t="shared" si="92"/>
        <v>0.53</v>
      </c>
      <c r="F233" s="7"/>
      <c r="G233" s="19">
        <f t="shared" si="91"/>
        <v>31000000</v>
      </c>
      <c r="H233" s="38">
        <v>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 spans="2:27" x14ac:dyDescent="0.2">
      <c r="B234" s="10"/>
      <c r="C234" s="10"/>
      <c r="D234" s="10"/>
      <c r="E234" s="127">
        <f t="shared" si="92"/>
        <v>0.54</v>
      </c>
      <c r="F234" s="7"/>
      <c r="G234" s="19">
        <f t="shared" si="91"/>
        <v>31000000</v>
      </c>
      <c r="H234" s="38">
        <v>500000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 spans="2:27" x14ac:dyDescent="0.2">
      <c r="B235" s="10"/>
      <c r="C235" s="10"/>
      <c r="D235" s="10"/>
      <c r="E235" s="127">
        <f t="shared" si="92"/>
        <v>0.55000000000000004</v>
      </c>
      <c r="F235" s="7"/>
      <c r="G235" s="19">
        <f t="shared" si="91"/>
        <v>31000000</v>
      </c>
      <c r="H235" s="19">
        <f t="shared" ref="H235:H280" si="93">$H$234+H234</f>
        <v>1000000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 spans="2:27" x14ac:dyDescent="0.2">
      <c r="B236" s="10"/>
      <c r="C236" s="10"/>
      <c r="D236" s="10"/>
      <c r="E236" s="127">
        <f t="shared" si="92"/>
        <v>0.56000000000000005</v>
      </c>
      <c r="F236" s="7"/>
      <c r="G236" s="19">
        <f t="shared" si="91"/>
        <v>31000000</v>
      </c>
      <c r="H236" s="19">
        <f t="shared" si="93"/>
        <v>1500000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 spans="2:27" x14ac:dyDescent="0.2">
      <c r="B237" s="10"/>
      <c r="C237" s="10"/>
      <c r="D237" s="10"/>
      <c r="E237" s="127">
        <f t="shared" si="92"/>
        <v>0.56999999999999995</v>
      </c>
      <c r="F237" s="7"/>
      <c r="G237" s="19">
        <f t="shared" si="91"/>
        <v>31000000</v>
      </c>
      <c r="H237" s="19">
        <f t="shared" si="93"/>
        <v>2000000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 spans="2:27" x14ac:dyDescent="0.2">
      <c r="B238" s="10"/>
      <c r="C238" s="10"/>
      <c r="D238" s="10"/>
      <c r="E238" s="127">
        <f t="shared" si="92"/>
        <v>0.57999999999999996</v>
      </c>
      <c r="F238" s="7"/>
      <c r="G238" s="19">
        <f t="shared" si="91"/>
        <v>31000000</v>
      </c>
      <c r="H238" s="19">
        <f t="shared" si="93"/>
        <v>2500000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 spans="2:27" x14ac:dyDescent="0.2">
      <c r="B239" s="10"/>
      <c r="C239" s="10"/>
      <c r="D239" s="10"/>
      <c r="E239" s="127">
        <f t="shared" si="92"/>
        <v>0.59</v>
      </c>
      <c r="F239" s="7"/>
      <c r="G239" s="19">
        <f t="shared" si="91"/>
        <v>31000000</v>
      </c>
      <c r="H239" s="19">
        <f t="shared" si="93"/>
        <v>3000000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 spans="2:27" x14ac:dyDescent="0.2">
      <c r="B240" s="10"/>
      <c r="C240" s="10"/>
      <c r="D240" s="10"/>
      <c r="E240" s="127">
        <f t="shared" si="92"/>
        <v>0.6</v>
      </c>
      <c r="F240" s="7"/>
      <c r="G240" s="19">
        <f t="shared" si="91"/>
        <v>31000000</v>
      </c>
      <c r="H240" s="19">
        <f t="shared" si="93"/>
        <v>3500000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 spans="2:27" x14ac:dyDescent="0.2">
      <c r="B241" s="10"/>
      <c r="C241" s="10"/>
      <c r="D241" s="10"/>
      <c r="E241" s="127">
        <f t="shared" si="92"/>
        <v>0.61</v>
      </c>
      <c r="F241" s="7"/>
      <c r="G241" s="19">
        <f t="shared" si="91"/>
        <v>31000000</v>
      </c>
      <c r="H241" s="19">
        <f t="shared" si="93"/>
        <v>4000000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 spans="2:27" x14ac:dyDescent="0.2">
      <c r="B242" s="10"/>
      <c r="C242" s="10"/>
      <c r="D242" s="10"/>
      <c r="E242" s="127">
        <f t="shared" si="92"/>
        <v>0.62</v>
      </c>
      <c r="F242" s="7"/>
      <c r="G242" s="19">
        <f t="shared" si="91"/>
        <v>31000000</v>
      </c>
      <c r="H242" s="19">
        <f t="shared" si="93"/>
        <v>4500000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 spans="2:27" x14ac:dyDescent="0.2">
      <c r="B243" s="10"/>
      <c r="C243" s="10"/>
      <c r="D243" s="10"/>
      <c r="E243" s="127">
        <f t="shared" si="92"/>
        <v>0.63</v>
      </c>
      <c r="F243" s="7"/>
      <c r="G243" s="19">
        <f t="shared" si="91"/>
        <v>31000000</v>
      </c>
      <c r="H243" s="19">
        <f t="shared" si="93"/>
        <v>5000000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 spans="2:27" x14ac:dyDescent="0.2">
      <c r="B244" s="10"/>
      <c r="C244" s="10"/>
      <c r="D244" s="10"/>
      <c r="E244" s="127">
        <f t="shared" si="92"/>
        <v>0.64</v>
      </c>
      <c r="F244" s="7"/>
      <c r="G244" s="19">
        <f t="shared" si="91"/>
        <v>31000000</v>
      </c>
      <c r="H244" s="19">
        <f t="shared" si="93"/>
        <v>5500000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 spans="2:27" x14ac:dyDescent="0.2">
      <c r="B245" s="10"/>
      <c r="C245" s="10"/>
      <c r="D245" s="10"/>
      <c r="E245" s="127">
        <f t="shared" si="92"/>
        <v>0.65</v>
      </c>
      <c r="F245" s="7"/>
      <c r="G245" s="19">
        <f t="shared" si="91"/>
        <v>31000000</v>
      </c>
      <c r="H245" s="19">
        <f t="shared" si="93"/>
        <v>6000000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 spans="2:27" x14ac:dyDescent="0.2">
      <c r="B246" s="10"/>
      <c r="C246" s="10"/>
      <c r="D246" s="10"/>
      <c r="E246" s="127">
        <f t="shared" si="92"/>
        <v>0.66</v>
      </c>
      <c r="F246" s="7"/>
      <c r="G246" s="19">
        <f t="shared" si="91"/>
        <v>31000000</v>
      </c>
      <c r="H246" s="19">
        <f t="shared" si="93"/>
        <v>6500000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 spans="2:27" x14ac:dyDescent="0.2">
      <c r="B247" s="10"/>
      <c r="C247" s="10"/>
      <c r="D247" s="10"/>
      <c r="E247" s="127">
        <f t="shared" si="92"/>
        <v>0.67</v>
      </c>
      <c r="F247" s="7"/>
      <c r="G247" s="19">
        <f t="shared" si="91"/>
        <v>31000000</v>
      </c>
      <c r="H247" s="19">
        <f t="shared" si="93"/>
        <v>7000000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 spans="2:27" x14ac:dyDescent="0.2">
      <c r="B248" s="10"/>
      <c r="C248" s="10"/>
      <c r="D248" s="10"/>
      <c r="E248" s="127">
        <f t="shared" si="92"/>
        <v>0.68</v>
      </c>
      <c r="F248" s="7"/>
      <c r="G248" s="19">
        <f t="shared" si="91"/>
        <v>31000000</v>
      </c>
      <c r="H248" s="19">
        <f t="shared" si="93"/>
        <v>7500000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 spans="2:27" x14ac:dyDescent="0.2">
      <c r="B249" s="10"/>
      <c r="C249" s="10"/>
      <c r="D249" s="10"/>
      <c r="E249" s="127">
        <f t="shared" si="92"/>
        <v>0.69</v>
      </c>
      <c r="F249" s="7"/>
      <c r="G249" s="19">
        <f t="shared" si="91"/>
        <v>31000000</v>
      </c>
      <c r="H249" s="19">
        <f t="shared" si="93"/>
        <v>8000000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 spans="2:27" x14ac:dyDescent="0.2">
      <c r="B250" s="10"/>
      <c r="C250" s="10"/>
      <c r="D250" s="10"/>
      <c r="E250" s="127">
        <f t="shared" si="92"/>
        <v>0.7</v>
      </c>
      <c r="F250" s="7"/>
      <c r="G250" s="19">
        <f t="shared" si="91"/>
        <v>31000000</v>
      </c>
      <c r="H250" s="19">
        <f t="shared" si="93"/>
        <v>8500000</v>
      </c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 spans="2:27" x14ac:dyDescent="0.2">
      <c r="B251" s="10"/>
      <c r="C251" s="10"/>
      <c r="D251" s="10"/>
      <c r="E251" s="127">
        <f t="shared" si="92"/>
        <v>0.71</v>
      </c>
      <c r="F251" s="7"/>
      <c r="G251" s="19">
        <f t="shared" si="91"/>
        <v>31000000</v>
      </c>
      <c r="H251" s="19">
        <f t="shared" si="93"/>
        <v>9000000</v>
      </c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 spans="2:27" x14ac:dyDescent="0.2">
      <c r="B252" s="10"/>
      <c r="C252" s="10"/>
      <c r="D252" s="10"/>
      <c r="E252" s="127">
        <f t="shared" si="92"/>
        <v>0.72</v>
      </c>
      <c r="F252" s="7"/>
      <c r="G252" s="19">
        <f t="shared" si="91"/>
        <v>31000000</v>
      </c>
      <c r="H252" s="19">
        <f t="shared" si="93"/>
        <v>9500000</v>
      </c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 spans="2:27" x14ac:dyDescent="0.2">
      <c r="B253" s="10"/>
      <c r="C253" s="10"/>
      <c r="D253" s="10"/>
      <c r="E253" s="127">
        <f t="shared" si="92"/>
        <v>0.73</v>
      </c>
      <c r="F253" s="7"/>
      <c r="G253" s="19">
        <f t="shared" si="91"/>
        <v>31000000</v>
      </c>
      <c r="H253" s="19">
        <f t="shared" si="93"/>
        <v>10000000</v>
      </c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 spans="2:27" x14ac:dyDescent="0.2">
      <c r="B254" s="10"/>
      <c r="C254" s="10"/>
      <c r="D254" s="10"/>
      <c r="E254" s="127">
        <f t="shared" si="92"/>
        <v>0.74</v>
      </c>
      <c r="F254" s="7"/>
      <c r="G254" s="19">
        <f t="shared" si="91"/>
        <v>31000000</v>
      </c>
      <c r="H254" s="19">
        <f t="shared" si="93"/>
        <v>10500000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 spans="2:27" x14ac:dyDescent="0.2">
      <c r="B255" s="10"/>
      <c r="C255" s="10"/>
      <c r="D255" s="10"/>
      <c r="E255" s="127">
        <f t="shared" si="92"/>
        <v>0.75</v>
      </c>
      <c r="F255" s="7"/>
      <c r="G255" s="19">
        <f t="shared" si="91"/>
        <v>31000000</v>
      </c>
      <c r="H255" s="19">
        <f t="shared" si="93"/>
        <v>11000000</v>
      </c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 spans="2:27" x14ac:dyDescent="0.2">
      <c r="B256" s="10"/>
      <c r="C256" s="10"/>
      <c r="D256" s="10"/>
      <c r="E256" s="127">
        <f t="shared" si="92"/>
        <v>0.76</v>
      </c>
      <c r="F256" s="7"/>
      <c r="G256" s="19">
        <f t="shared" si="91"/>
        <v>31000000</v>
      </c>
      <c r="H256" s="19">
        <f t="shared" si="93"/>
        <v>11500000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 spans="2:27" x14ac:dyDescent="0.2">
      <c r="B257" s="10"/>
      <c r="C257" s="10"/>
      <c r="D257" s="10"/>
      <c r="E257" s="127">
        <f t="shared" si="92"/>
        <v>0.77</v>
      </c>
      <c r="F257" s="7"/>
      <c r="G257" s="19">
        <f t="shared" si="91"/>
        <v>31000000</v>
      </c>
      <c r="H257" s="19">
        <f t="shared" si="93"/>
        <v>12000000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 spans="2:27" x14ac:dyDescent="0.2">
      <c r="B258" s="10"/>
      <c r="C258" s="10"/>
      <c r="D258" s="10"/>
      <c r="E258" s="127">
        <f t="shared" si="92"/>
        <v>0.78</v>
      </c>
      <c r="F258" s="7"/>
      <c r="G258" s="19">
        <f t="shared" si="91"/>
        <v>31000000</v>
      </c>
      <c r="H258" s="19">
        <f t="shared" si="93"/>
        <v>12500000</v>
      </c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 spans="2:27" x14ac:dyDescent="0.2">
      <c r="B259" s="10"/>
      <c r="C259" s="10"/>
      <c r="D259" s="10"/>
      <c r="E259" s="127">
        <f t="shared" si="92"/>
        <v>0.79</v>
      </c>
      <c r="F259" s="7"/>
      <c r="G259" s="19">
        <f t="shared" si="91"/>
        <v>31000000</v>
      </c>
      <c r="H259" s="19">
        <f t="shared" si="93"/>
        <v>13000000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 spans="2:27" x14ac:dyDescent="0.2">
      <c r="B260" s="10"/>
      <c r="C260" s="10"/>
      <c r="D260" s="10"/>
      <c r="E260" s="127">
        <f t="shared" si="92"/>
        <v>0.8</v>
      </c>
      <c r="F260" s="7"/>
      <c r="G260" s="19">
        <f t="shared" si="91"/>
        <v>31000000</v>
      </c>
      <c r="H260" s="19">
        <f t="shared" si="93"/>
        <v>13500000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 spans="2:27" x14ac:dyDescent="0.2">
      <c r="B261" s="10"/>
      <c r="C261" s="10"/>
      <c r="D261" s="10"/>
      <c r="E261" s="127">
        <f t="shared" si="92"/>
        <v>0.81</v>
      </c>
      <c r="F261" s="7"/>
      <c r="G261" s="19">
        <f t="shared" si="91"/>
        <v>31000000</v>
      </c>
      <c r="H261" s="19">
        <f t="shared" si="93"/>
        <v>14000000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 spans="2:27" x14ac:dyDescent="0.2">
      <c r="B262" s="10"/>
      <c r="C262" s="10"/>
      <c r="D262" s="10"/>
      <c r="E262" s="127">
        <f t="shared" si="92"/>
        <v>0.82</v>
      </c>
      <c r="F262" s="7"/>
      <c r="G262" s="19">
        <f t="shared" ref="G262:G280" si="94">$E$9*1000</f>
        <v>31000000</v>
      </c>
      <c r="H262" s="19">
        <f t="shared" si="93"/>
        <v>14500000</v>
      </c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 spans="2:27" x14ac:dyDescent="0.2">
      <c r="B263" s="10"/>
      <c r="C263" s="10"/>
      <c r="D263" s="10"/>
      <c r="E263" s="127">
        <f t="shared" ref="E263:E280" si="95">ROUND(E262+1%,2)</f>
        <v>0.83</v>
      </c>
      <c r="F263" s="7"/>
      <c r="G263" s="19">
        <f t="shared" si="94"/>
        <v>31000000</v>
      </c>
      <c r="H263" s="19">
        <f t="shared" si="93"/>
        <v>15000000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 spans="2:27" x14ac:dyDescent="0.2">
      <c r="B264" s="10"/>
      <c r="C264" s="10"/>
      <c r="D264" s="10"/>
      <c r="E264" s="127">
        <f t="shared" si="95"/>
        <v>0.84</v>
      </c>
      <c r="F264" s="7"/>
      <c r="G264" s="19">
        <f t="shared" si="94"/>
        <v>31000000</v>
      </c>
      <c r="H264" s="19">
        <f t="shared" si="93"/>
        <v>15500000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 spans="2:27" x14ac:dyDescent="0.2">
      <c r="B265" s="10"/>
      <c r="C265" s="10"/>
      <c r="D265" s="10"/>
      <c r="E265" s="127">
        <f t="shared" si="95"/>
        <v>0.85</v>
      </c>
      <c r="F265" s="7"/>
      <c r="G265" s="19">
        <f t="shared" si="94"/>
        <v>31000000</v>
      </c>
      <c r="H265" s="19">
        <f t="shared" si="93"/>
        <v>16000000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 spans="2:27" x14ac:dyDescent="0.2">
      <c r="B266" s="10"/>
      <c r="C266" s="10"/>
      <c r="D266" s="10"/>
      <c r="E266" s="127">
        <f t="shared" si="95"/>
        <v>0.86</v>
      </c>
      <c r="F266" s="7"/>
      <c r="G266" s="19">
        <f t="shared" si="94"/>
        <v>31000000</v>
      </c>
      <c r="H266" s="19">
        <f t="shared" si="93"/>
        <v>16500000</v>
      </c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 spans="2:27" x14ac:dyDescent="0.2">
      <c r="B267" s="10"/>
      <c r="C267" s="10"/>
      <c r="D267" s="10"/>
      <c r="E267" s="127">
        <f t="shared" si="95"/>
        <v>0.87</v>
      </c>
      <c r="F267" s="7"/>
      <c r="G267" s="19">
        <f t="shared" si="94"/>
        <v>31000000</v>
      </c>
      <c r="H267" s="19">
        <f t="shared" si="93"/>
        <v>17000000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 spans="2:27" x14ac:dyDescent="0.2">
      <c r="B268" s="10"/>
      <c r="C268" s="10"/>
      <c r="D268" s="10"/>
      <c r="E268" s="127">
        <f t="shared" si="95"/>
        <v>0.88</v>
      </c>
      <c r="F268" s="7"/>
      <c r="G268" s="19">
        <f t="shared" si="94"/>
        <v>31000000</v>
      </c>
      <c r="H268" s="19">
        <f t="shared" si="93"/>
        <v>17500000</v>
      </c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 spans="2:27" x14ac:dyDescent="0.2">
      <c r="B269" s="10"/>
      <c r="C269" s="10"/>
      <c r="D269" s="10"/>
      <c r="E269" s="127">
        <f t="shared" si="95"/>
        <v>0.89</v>
      </c>
      <c r="F269" s="7"/>
      <c r="G269" s="19">
        <f t="shared" si="94"/>
        <v>31000000</v>
      </c>
      <c r="H269" s="19">
        <f t="shared" si="93"/>
        <v>18000000</v>
      </c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 spans="2:27" x14ac:dyDescent="0.2">
      <c r="B270" s="10"/>
      <c r="C270" s="10"/>
      <c r="D270" s="10"/>
      <c r="E270" s="127">
        <f t="shared" si="95"/>
        <v>0.9</v>
      </c>
      <c r="F270" s="7"/>
      <c r="G270" s="19">
        <f t="shared" si="94"/>
        <v>31000000</v>
      </c>
      <c r="H270" s="19">
        <f t="shared" si="93"/>
        <v>18500000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 spans="2:27" x14ac:dyDescent="0.2">
      <c r="B271" s="10"/>
      <c r="C271" s="10"/>
      <c r="D271" s="10"/>
      <c r="E271" s="127">
        <f t="shared" si="95"/>
        <v>0.91</v>
      </c>
      <c r="F271" s="7"/>
      <c r="G271" s="19">
        <f t="shared" si="94"/>
        <v>31000000</v>
      </c>
      <c r="H271" s="19">
        <f t="shared" si="93"/>
        <v>19000000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 spans="2:27" x14ac:dyDescent="0.2">
      <c r="B272" s="10"/>
      <c r="C272" s="10"/>
      <c r="D272" s="10"/>
      <c r="E272" s="127">
        <f t="shared" si="95"/>
        <v>0.92</v>
      </c>
      <c r="F272" s="7"/>
      <c r="G272" s="19">
        <f t="shared" si="94"/>
        <v>31000000</v>
      </c>
      <c r="H272" s="19">
        <f t="shared" si="93"/>
        <v>19500000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 spans="2:27" x14ac:dyDescent="0.2">
      <c r="B273" s="10"/>
      <c r="C273" s="10"/>
      <c r="D273" s="10"/>
      <c r="E273" s="127">
        <f t="shared" si="95"/>
        <v>0.93</v>
      </c>
      <c r="F273" s="7"/>
      <c r="G273" s="19">
        <f t="shared" si="94"/>
        <v>31000000</v>
      </c>
      <c r="H273" s="19">
        <f t="shared" si="93"/>
        <v>20000000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 spans="2:27" x14ac:dyDescent="0.2">
      <c r="B274" s="10"/>
      <c r="C274" s="10"/>
      <c r="D274" s="10"/>
      <c r="E274" s="127">
        <f t="shared" si="95"/>
        <v>0.94</v>
      </c>
      <c r="F274" s="7"/>
      <c r="G274" s="19">
        <f t="shared" si="94"/>
        <v>31000000</v>
      </c>
      <c r="H274" s="19">
        <f t="shared" si="93"/>
        <v>20500000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 spans="2:27" x14ac:dyDescent="0.2">
      <c r="B275" s="10"/>
      <c r="C275" s="10"/>
      <c r="D275" s="10"/>
      <c r="E275" s="127">
        <f t="shared" si="95"/>
        <v>0.95</v>
      </c>
      <c r="F275" s="7"/>
      <c r="G275" s="19">
        <f t="shared" si="94"/>
        <v>31000000</v>
      </c>
      <c r="H275" s="19">
        <f t="shared" si="93"/>
        <v>21000000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 spans="2:27" x14ac:dyDescent="0.2">
      <c r="B276" s="10"/>
      <c r="C276" s="10"/>
      <c r="D276" s="10"/>
      <c r="E276" s="127">
        <f t="shared" si="95"/>
        <v>0.96</v>
      </c>
      <c r="F276" s="7"/>
      <c r="G276" s="19">
        <f t="shared" si="94"/>
        <v>31000000</v>
      </c>
      <c r="H276" s="19">
        <f t="shared" si="93"/>
        <v>21500000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 spans="2:27" x14ac:dyDescent="0.2">
      <c r="B277" s="10"/>
      <c r="C277" s="10"/>
      <c r="D277" s="10"/>
      <c r="E277" s="127">
        <f t="shared" si="95"/>
        <v>0.97</v>
      </c>
      <c r="F277" s="7"/>
      <c r="G277" s="19">
        <f t="shared" si="94"/>
        <v>31000000</v>
      </c>
      <c r="H277" s="19">
        <f t="shared" si="93"/>
        <v>22000000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 spans="2:27" x14ac:dyDescent="0.2">
      <c r="B278" s="10"/>
      <c r="C278" s="10"/>
      <c r="D278" s="10"/>
      <c r="E278" s="127">
        <f t="shared" si="95"/>
        <v>0.98</v>
      </c>
      <c r="F278" s="7"/>
      <c r="G278" s="19">
        <f t="shared" si="94"/>
        <v>31000000</v>
      </c>
      <c r="H278" s="19">
        <f t="shared" si="93"/>
        <v>22500000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 spans="2:27" x14ac:dyDescent="0.2">
      <c r="B279" s="10"/>
      <c r="C279" s="10"/>
      <c r="D279" s="10"/>
      <c r="E279" s="127">
        <f t="shared" si="95"/>
        <v>0.99</v>
      </c>
      <c r="F279" s="7"/>
      <c r="G279" s="19">
        <f t="shared" si="94"/>
        <v>31000000</v>
      </c>
      <c r="H279" s="19">
        <f t="shared" si="93"/>
        <v>23000000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 spans="2:27" x14ac:dyDescent="0.2">
      <c r="B280" s="10"/>
      <c r="C280" s="10"/>
      <c r="D280" s="10"/>
      <c r="E280" s="127">
        <f t="shared" si="95"/>
        <v>1</v>
      </c>
      <c r="F280" s="7"/>
      <c r="G280" s="19">
        <f t="shared" si="94"/>
        <v>31000000</v>
      </c>
      <c r="H280" s="19">
        <f t="shared" si="93"/>
        <v>23500000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 spans="2:27" x14ac:dyDescent="0.2">
      <c r="B281" s="10"/>
      <c r="C281" s="84" t="s">
        <v>361</v>
      </c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4" spans="2:27" x14ac:dyDescent="0.2">
      <c r="B284" s="24" t="s">
        <v>635</v>
      </c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 spans="2:27" x14ac:dyDescent="0.2">
      <c r="B285" s="8"/>
      <c r="C285" s="8" t="s">
        <v>636</v>
      </c>
      <c r="D285" s="8"/>
      <c r="E285" s="192" t="s">
        <v>637</v>
      </c>
      <c r="F285" s="192"/>
      <c r="G285" s="193">
        <f>DATE(2026,10,1)</f>
        <v>46296</v>
      </c>
      <c r="H285" s="193">
        <f>DATE(2026,11,1)</f>
        <v>46327</v>
      </c>
      <c r="I285" s="193">
        <f>DATE(2026,12,1)</f>
        <v>46357</v>
      </c>
      <c r="J285" s="193">
        <f>DATE(2027,1,1)</f>
        <v>46388</v>
      </c>
      <c r="K285" s="193">
        <f>DATE(2027,2,1)</f>
        <v>46419</v>
      </c>
      <c r="L285" s="193">
        <f>DATE(2027,3,1)</f>
        <v>46447</v>
      </c>
      <c r="M285" s="193">
        <f>DATE(2027,4,1)</f>
        <v>46478</v>
      </c>
      <c r="N285" s="193">
        <f>DATE(2027,5,1)</f>
        <v>46508</v>
      </c>
      <c r="O285" s="193">
        <f>DATE(2027,6,1)</f>
        <v>46539</v>
      </c>
      <c r="P285" s="193">
        <f>DATE(2027,7,1)</f>
        <v>46569</v>
      </c>
      <c r="Q285" s="193">
        <f>DATE(2027,8,1)</f>
        <v>46600</v>
      </c>
      <c r="R285" s="193">
        <f>DATE(2027,9,1)</f>
        <v>46631</v>
      </c>
      <c r="S285" s="193">
        <f>DATE(2027,10,1)</f>
        <v>46661</v>
      </c>
      <c r="T285" s="193">
        <f>DATE(2027,11,1)</f>
        <v>46692</v>
      </c>
      <c r="U285" s="193">
        <f>DATE(2027,12,1)</f>
        <v>46722</v>
      </c>
      <c r="V285" s="193">
        <f>DATE(2028,1,1)</f>
        <v>46753</v>
      </c>
      <c r="W285" s="193">
        <f>DATE(2028,2,1)</f>
        <v>46784</v>
      </c>
      <c r="X285" s="193">
        <f>DATE(2028,3,1)</f>
        <v>46813</v>
      </c>
      <c r="Y285" s="193">
        <f>DATE(2028,4,1)</f>
        <v>46844</v>
      </c>
      <c r="Z285" s="193">
        <f>DATE(2028,5,1)</f>
        <v>46874</v>
      </c>
      <c r="AA285" s="193">
        <f>DATE(2028,6,1)</f>
        <v>46905</v>
      </c>
    </row>
    <row r="286" spans="2:27" x14ac:dyDescent="0.2">
      <c r="B286" s="194"/>
      <c r="C286" s="194" t="s">
        <v>638</v>
      </c>
      <c r="D286" s="194"/>
      <c r="E286" s="195"/>
      <c r="F286" s="195"/>
      <c r="G286" s="196">
        <f t="shared" ref="G286:AA286" si="96">YEAR(G285)</f>
        <v>2026</v>
      </c>
      <c r="H286" s="196">
        <f t="shared" si="96"/>
        <v>2026</v>
      </c>
      <c r="I286" s="196">
        <f t="shared" si="96"/>
        <v>2026</v>
      </c>
      <c r="J286" s="196">
        <f t="shared" si="96"/>
        <v>2027</v>
      </c>
      <c r="K286" s="196">
        <f t="shared" si="96"/>
        <v>2027</v>
      </c>
      <c r="L286" s="196">
        <f t="shared" si="96"/>
        <v>2027</v>
      </c>
      <c r="M286" s="196">
        <f t="shared" si="96"/>
        <v>2027</v>
      </c>
      <c r="N286" s="196">
        <f t="shared" si="96"/>
        <v>2027</v>
      </c>
      <c r="O286" s="196">
        <f t="shared" si="96"/>
        <v>2027</v>
      </c>
      <c r="P286" s="196">
        <f t="shared" si="96"/>
        <v>2027</v>
      </c>
      <c r="Q286" s="196">
        <f t="shared" si="96"/>
        <v>2027</v>
      </c>
      <c r="R286" s="196">
        <f t="shared" si="96"/>
        <v>2027</v>
      </c>
      <c r="S286" s="196">
        <f t="shared" si="96"/>
        <v>2027</v>
      </c>
      <c r="T286" s="196">
        <f t="shared" si="96"/>
        <v>2027</v>
      </c>
      <c r="U286" s="196">
        <f t="shared" si="96"/>
        <v>2027</v>
      </c>
      <c r="V286" s="196">
        <f t="shared" si="96"/>
        <v>2028</v>
      </c>
      <c r="W286" s="196">
        <f t="shared" si="96"/>
        <v>2028</v>
      </c>
      <c r="X286" s="196">
        <f t="shared" si="96"/>
        <v>2028</v>
      </c>
      <c r="Y286" s="196">
        <f t="shared" si="96"/>
        <v>2028</v>
      </c>
      <c r="Z286" s="196">
        <f t="shared" si="96"/>
        <v>2028</v>
      </c>
      <c r="AA286" s="196">
        <f t="shared" si="96"/>
        <v>2028</v>
      </c>
    </row>
    <row r="287" spans="2:27" x14ac:dyDescent="0.2">
      <c r="B287" s="7"/>
      <c r="C287" s="20" t="s">
        <v>639</v>
      </c>
      <c r="D287" s="7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</row>
    <row r="288" spans="2:27" x14ac:dyDescent="0.2">
      <c r="B288" s="7"/>
      <c r="C288" s="7" t="s">
        <v>640</v>
      </c>
      <c r="D288" s="7"/>
      <c r="E288" s="38">
        <v>42830</v>
      </c>
      <c r="F288" s="19"/>
      <c r="G288" s="19"/>
      <c r="H288" s="19"/>
      <c r="I288" s="19">
        <f>$E288*5%</f>
        <v>2141.5</v>
      </c>
      <c r="J288" s="19">
        <f>$E288*5%</f>
        <v>2141.5</v>
      </c>
      <c r="K288" s="19">
        <f>$E288*20%</f>
        <v>8566</v>
      </c>
      <c r="L288" s="19">
        <f>$E288*10%</f>
        <v>4283</v>
      </c>
      <c r="M288" s="19">
        <f>$E288*10%</f>
        <v>4283</v>
      </c>
      <c r="N288" s="19">
        <f t="shared" ref="N288:W289" si="97">$E288*5%</f>
        <v>2141.5</v>
      </c>
      <c r="O288" s="19">
        <f t="shared" si="97"/>
        <v>2141.5</v>
      </c>
      <c r="P288" s="19">
        <f t="shared" si="97"/>
        <v>2141.5</v>
      </c>
      <c r="Q288" s="19">
        <f t="shared" si="97"/>
        <v>2141.5</v>
      </c>
      <c r="R288" s="19">
        <f t="shared" si="97"/>
        <v>2141.5</v>
      </c>
      <c r="S288" s="19">
        <f t="shared" si="97"/>
        <v>2141.5</v>
      </c>
      <c r="T288" s="19">
        <f t="shared" si="97"/>
        <v>2141.5</v>
      </c>
      <c r="U288" s="19">
        <f t="shared" si="97"/>
        <v>2141.5</v>
      </c>
      <c r="V288" s="19">
        <f t="shared" si="97"/>
        <v>2141.5</v>
      </c>
      <c r="W288" s="19">
        <f t="shared" si="97"/>
        <v>2141.5</v>
      </c>
      <c r="X288" s="19"/>
      <c r="Y288" s="19"/>
      <c r="Z288" s="19"/>
      <c r="AA288" s="19"/>
    </row>
    <row r="289" spans="2:27" x14ac:dyDescent="0.2">
      <c r="B289" s="7"/>
      <c r="C289" s="7" t="s">
        <v>641</v>
      </c>
      <c r="D289" s="7"/>
      <c r="E289" s="38">
        <v>22600</v>
      </c>
      <c r="F289" s="19"/>
      <c r="G289" s="19"/>
      <c r="H289" s="19"/>
      <c r="I289" s="19"/>
      <c r="J289" s="19">
        <f>$E289*5%</f>
        <v>1130</v>
      </c>
      <c r="K289" s="19">
        <f>$E289*20%</f>
        <v>4520</v>
      </c>
      <c r="L289" s="19">
        <f>$E289*5%</f>
        <v>1130</v>
      </c>
      <c r="M289" s="19">
        <f>$E289*5%</f>
        <v>1130</v>
      </c>
      <c r="N289" s="19">
        <f t="shared" si="97"/>
        <v>1130</v>
      </c>
      <c r="O289" s="19">
        <f t="shared" si="97"/>
        <v>1130</v>
      </c>
      <c r="P289" s="19">
        <f t="shared" si="97"/>
        <v>1130</v>
      </c>
      <c r="Q289" s="19">
        <f t="shared" si="97"/>
        <v>1130</v>
      </c>
      <c r="R289" s="19">
        <f t="shared" si="97"/>
        <v>1130</v>
      </c>
      <c r="S289" s="19">
        <f t="shared" si="97"/>
        <v>1130</v>
      </c>
      <c r="T289" s="19">
        <f t="shared" si="97"/>
        <v>1130</v>
      </c>
      <c r="U289" s="19">
        <f t="shared" si="97"/>
        <v>1130</v>
      </c>
      <c r="V289" s="19">
        <f t="shared" si="97"/>
        <v>1130</v>
      </c>
      <c r="W289" s="19">
        <f t="shared" si="97"/>
        <v>1130</v>
      </c>
      <c r="X289" s="19">
        <f>$E289*5%</f>
        <v>1130</v>
      </c>
      <c r="Y289" s="19">
        <f>$E289*10%</f>
        <v>2260</v>
      </c>
      <c r="Z289" s="19"/>
      <c r="AA289" s="19"/>
    </row>
    <row r="290" spans="2:27" x14ac:dyDescent="0.2">
      <c r="B290" s="7"/>
      <c r="C290" s="7" t="s">
        <v>642</v>
      </c>
      <c r="D290" s="7"/>
      <c r="E290" s="38">
        <v>2500</v>
      </c>
      <c r="F290" s="19"/>
      <c r="G290" s="19"/>
      <c r="H290" s="19"/>
      <c r="I290" s="19"/>
      <c r="J290" s="19">
        <f>$E290*20%</f>
        <v>500</v>
      </c>
      <c r="K290" s="19">
        <f>$E290*20%</f>
        <v>500</v>
      </c>
      <c r="L290" s="19">
        <f>$E290*20%</f>
        <v>500</v>
      </c>
      <c r="M290" s="19">
        <f>$E290*10%</f>
        <v>250</v>
      </c>
      <c r="N290" s="19">
        <f>$E290*10%</f>
        <v>250</v>
      </c>
      <c r="O290" s="19">
        <f>$E290*20%</f>
        <v>500</v>
      </c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</row>
    <row r="291" spans="2:27" x14ac:dyDescent="0.2">
      <c r="B291" s="7"/>
      <c r="C291" s="7" t="s">
        <v>643</v>
      </c>
      <c r="D291" s="7"/>
      <c r="E291" s="38">
        <v>1000</v>
      </c>
      <c r="F291" s="19"/>
      <c r="G291" s="19"/>
      <c r="H291" s="19"/>
      <c r="I291" s="19"/>
      <c r="J291" s="19"/>
      <c r="K291" s="19"/>
      <c r="L291" s="19"/>
      <c r="M291" s="19"/>
      <c r="N291" s="19">
        <f>$E291*50%</f>
        <v>500</v>
      </c>
      <c r="O291" s="19"/>
      <c r="P291" s="19"/>
      <c r="Q291" s="19"/>
      <c r="R291" s="19"/>
      <c r="S291" s="19"/>
      <c r="T291" s="19"/>
      <c r="U291" s="19">
        <f>$E291*50%</f>
        <v>500</v>
      </c>
      <c r="V291" s="19"/>
      <c r="W291" s="19"/>
      <c r="X291" s="19"/>
      <c r="Y291" s="19"/>
      <c r="Z291" s="19"/>
      <c r="AA291" s="19"/>
    </row>
    <row r="292" spans="2:27" x14ac:dyDescent="0.2">
      <c r="B292" s="7"/>
      <c r="C292" s="7" t="s">
        <v>644</v>
      </c>
      <c r="D292" s="7"/>
      <c r="E292" s="38">
        <v>1500</v>
      </c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>
        <f t="shared" ref="P292:Y292" si="98">$E292*10%</f>
        <v>150</v>
      </c>
      <c r="Q292" s="19">
        <f t="shared" si="98"/>
        <v>150</v>
      </c>
      <c r="R292" s="19">
        <f t="shared" si="98"/>
        <v>150</v>
      </c>
      <c r="S292" s="19">
        <f t="shared" si="98"/>
        <v>150</v>
      </c>
      <c r="T292" s="19">
        <f t="shared" si="98"/>
        <v>150</v>
      </c>
      <c r="U292" s="19">
        <f t="shared" si="98"/>
        <v>150</v>
      </c>
      <c r="V292" s="19">
        <f t="shared" si="98"/>
        <v>150</v>
      </c>
      <c r="W292" s="19">
        <f t="shared" si="98"/>
        <v>150</v>
      </c>
      <c r="X292" s="19">
        <f t="shared" si="98"/>
        <v>150</v>
      </c>
      <c r="Y292" s="19">
        <f t="shared" si="98"/>
        <v>150</v>
      </c>
      <c r="Z292" s="19"/>
      <c r="AA292" s="19"/>
    </row>
    <row r="293" spans="2:27" x14ac:dyDescent="0.2">
      <c r="B293" s="7"/>
      <c r="C293" s="7" t="s">
        <v>645</v>
      </c>
      <c r="D293" s="7"/>
      <c r="E293" s="38">
        <v>4225.8</v>
      </c>
      <c r="F293" s="19"/>
      <c r="G293" s="38">
        <v>74.653800000000004</v>
      </c>
      <c r="H293" s="38">
        <v>111.9837</v>
      </c>
      <c r="I293" s="38">
        <v>111.9837</v>
      </c>
      <c r="J293" s="38">
        <v>111.9837</v>
      </c>
      <c r="K293" s="38">
        <v>111.9837</v>
      </c>
      <c r="L293" s="38">
        <v>111.9837</v>
      </c>
      <c r="M293" s="38">
        <v>111.9837</v>
      </c>
      <c r="N293" s="38">
        <v>242.63135</v>
      </c>
      <c r="O293" s="38">
        <v>242.63135</v>
      </c>
      <c r="P293" s="38">
        <v>242.63135</v>
      </c>
      <c r="Q293" s="38">
        <v>242.63135</v>
      </c>
      <c r="R293" s="38">
        <v>242.63135</v>
      </c>
      <c r="S293" s="38">
        <v>242.63135</v>
      </c>
      <c r="T293" s="38">
        <v>242.63135</v>
      </c>
      <c r="U293" s="38">
        <v>242.63135</v>
      </c>
      <c r="V293" s="38">
        <v>242.63135</v>
      </c>
      <c r="W293" s="38">
        <v>242.63135</v>
      </c>
      <c r="X293" s="38">
        <v>242.63135</v>
      </c>
      <c r="Y293" s="38">
        <v>242.63135</v>
      </c>
      <c r="Z293" s="19"/>
      <c r="AA293" s="38">
        <v>447.9348</v>
      </c>
    </row>
    <row r="294" spans="2:27" x14ac:dyDescent="0.2">
      <c r="B294" s="7"/>
      <c r="C294" s="7" t="s">
        <v>646</v>
      </c>
      <c r="D294" s="7"/>
      <c r="E294" s="38">
        <v>1000</v>
      </c>
      <c r="F294" s="19"/>
      <c r="G294" s="19"/>
      <c r="H294" s="19"/>
      <c r="I294" s="19"/>
      <c r="J294" s="19"/>
      <c r="K294" s="19">
        <f>$E294*20%</f>
        <v>200</v>
      </c>
      <c r="L294" s="19">
        <f t="shared" ref="L294:S294" si="99">$E294*10%</f>
        <v>100</v>
      </c>
      <c r="M294" s="19">
        <f t="shared" si="99"/>
        <v>100</v>
      </c>
      <c r="N294" s="19">
        <f t="shared" si="99"/>
        <v>100</v>
      </c>
      <c r="O294" s="19">
        <f t="shared" si="99"/>
        <v>100</v>
      </c>
      <c r="P294" s="19">
        <f t="shared" si="99"/>
        <v>100</v>
      </c>
      <c r="Q294" s="19">
        <f t="shared" si="99"/>
        <v>100</v>
      </c>
      <c r="R294" s="19">
        <f t="shared" si="99"/>
        <v>100</v>
      </c>
      <c r="S294" s="19">
        <f t="shared" si="99"/>
        <v>100</v>
      </c>
      <c r="T294" s="19"/>
      <c r="U294" s="19"/>
      <c r="V294" s="19"/>
      <c r="W294" s="19"/>
      <c r="X294" s="19"/>
      <c r="Y294" s="19"/>
      <c r="Z294" s="19"/>
      <c r="AA294" s="19"/>
    </row>
    <row r="295" spans="2:27" x14ac:dyDescent="0.2">
      <c r="B295" s="7"/>
      <c r="C295" s="7" t="s">
        <v>647</v>
      </c>
      <c r="D295" s="7"/>
      <c r="E295" s="38">
        <v>15000</v>
      </c>
      <c r="F295" s="19"/>
      <c r="G295" s="19"/>
      <c r="H295" s="19"/>
      <c r="I295" s="19"/>
      <c r="J295" s="19">
        <f>$E295*20%</f>
        <v>3000</v>
      </c>
      <c r="K295" s="19">
        <f>$E295*10%</f>
        <v>1500</v>
      </c>
      <c r="L295" s="19">
        <f>$E295*10%</f>
        <v>1500</v>
      </c>
      <c r="M295" s="38">
        <v>1500</v>
      </c>
      <c r="N295" s="38">
        <v>1500</v>
      </c>
      <c r="O295" s="38">
        <v>1500</v>
      </c>
      <c r="P295" s="38">
        <v>1500</v>
      </c>
      <c r="Q295" s="38">
        <v>1500</v>
      </c>
      <c r="R295" s="19"/>
      <c r="S295" s="19"/>
      <c r="T295" s="19"/>
      <c r="U295" s="19"/>
      <c r="V295" s="38">
        <v>1500</v>
      </c>
      <c r="W295" s="19"/>
      <c r="X295" s="19"/>
      <c r="Y295" s="19"/>
      <c r="Z295" s="19"/>
      <c r="AA295" s="19"/>
    </row>
    <row r="296" spans="2:27" x14ac:dyDescent="0.2">
      <c r="B296" s="7"/>
      <c r="C296" s="7" t="s">
        <v>648</v>
      </c>
      <c r="D296" s="7"/>
      <c r="E296" s="38">
        <v>2000</v>
      </c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38">
        <v>500</v>
      </c>
      <c r="W296" s="38">
        <v>500</v>
      </c>
      <c r="X296" s="38">
        <v>500</v>
      </c>
      <c r="Y296" s="38">
        <v>500</v>
      </c>
      <c r="Z296" s="19"/>
      <c r="AA296" s="19"/>
    </row>
    <row r="297" spans="2:27" x14ac:dyDescent="0.2">
      <c r="B297" s="7"/>
      <c r="C297" s="7" t="s">
        <v>649</v>
      </c>
      <c r="D297" s="7"/>
      <c r="E297" s="38">
        <v>1000</v>
      </c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38">
        <v>250</v>
      </c>
      <c r="Q297" s="19"/>
      <c r="R297" s="38">
        <v>250</v>
      </c>
      <c r="S297" s="19"/>
      <c r="T297" s="38">
        <v>250</v>
      </c>
      <c r="U297" s="19"/>
      <c r="V297" s="38">
        <v>250</v>
      </c>
      <c r="W297" s="19"/>
      <c r="X297" s="19"/>
      <c r="Y297" s="19"/>
      <c r="Z297" s="19"/>
      <c r="AA297" s="19"/>
    </row>
    <row r="298" spans="2:27" x14ac:dyDescent="0.2">
      <c r="B298" s="7"/>
      <c r="C298" s="7" t="s">
        <v>650</v>
      </c>
      <c r="D298" s="7"/>
      <c r="E298" s="38">
        <v>8000</v>
      </c>
      <c r="F298" s="19"/>
      <c r="G298" s="19"/>
      <c r="H298" s="19"/>
      <c r="I298" s="19"/>
      <c r="J298" s="19"/>
      <c r="K298" s="19"/>
      <c r="L298" s="19"/>
      <c r="M298" s="19"/>
      <c r="N298" s="38">
        <v>1000</v>
      </c>
      <c r="O298" s="38">
        <v>1000</v>
      </c>
      <c r="P298" s="38">
        <v>1000</v>
      </c>
      <c r="Q298" s="38">
        <v>1000</v>
      </c>
      <c r="R298" s="38">
        <v>1000</v>
      </c>
      <c r="S298" s="38">
        <v>1000</v>
      </c>
      <c r="T298" s="38">
        <v>1000</v>
      </c>
      <c r="U298" s="38">
        <v>1000</v>
      </c>
      <c r="V298" s="19"/>
      <c r="W298" s="19"/>
      <c r="X298" s="19"/>
      <c r="Y298" s="19"/>
      <c r="Z298" s="19"/>
      <c r="AA298" s="19"/>
    </row>
    <row r="299" spans="2:27" x14ac:dyDescent="0.2">
      <c r="B299" s="29" t="s">
        <v>651</v>
      </c>
      <c r="C299" s="29"/>
      <c r="D299" s="29"/>
      <c r="E299" s="30">
        <f>SUM(G299:AA299)</f>
        <v>101536.06699999995</v>
      </c>
      <c r="F299" s="30"/>
      <c r="G299" s="30">
        <f t="shared" ref="G299:AA299" si="100">SUM(G288:G298)</f>
        <v>74.653800000000004</v>
      </c>
      <c r="H299" s="30">
        <f t="shared" si="100"/>
        <v>111.9837</v>
      </c>
      <c r="I299" s="30">
        <f t="shared" si="100"/>
        <v>2253.4836999999998</v>
      </c>
      <c r="J299" s="30">
        <f t="shared" si="100"/>
        <v>6883.4836999999998</v>
      </c>
      <c r="K299" s="30">
        <f t="shared" si="100"/>
        <v>15397.983700000001</v>
      </c>
      <c r="L299" s="30">
        <f t="shared" si="100"/>
        <v>7624.9836999999998</v>
      </c>
      <c r="M299" s="30">
        <f t="shared" si="100"/>
        <v>7374.9836999999998</v>
      </c>
      <c r="N299" s="30">
        <f t="shared" si="100"/>
        <v>6864.1313499999997</v>
      </c>
      <c r="O299" s="30">
        <f t="shared" si="100"/>
        <v>6614.1313499999997</v>
      </c>
      <c r="P299" s="30">
        <f t="shared" si="100"/>
        <v>6514.1313499999997</v>
      </c>
      <c r="Q299" s="30">
        <f t="shared" si="100"/>
        <v>6264.1313499999997</v>
      </c>
      <c r="R299" s="30">
        <f t="shared" si="100"/>
        <v>5014.1313499999997</v>
      </c>
      <c r="S299" s="30">
        <f t="shared" si="100"/>
        <v>4764.1313499999997</v>
      </c>
      <c r="T299" s="30">
        <f t="shared" si="100"/>
        <v>4914.1313499999997</v>
      </c>
      <c r="U299" s="30">
        <f t="shared" si="100"/>
        <v>5164.1313499999997</v>
      </c>
      <c r="V299" s="30">
        <f t="shared" si="100"/>
        <v>5914.1313499999997</v>
      </c>
      <c r="W299" s="30">
        <f t="shared" si="100"/>
        <v>4164.1313499999997</v>
      </c>
      <c r="X299" s="30">
        <f t="shared" si="100"/>
        <v>2022.6313500000001</v>
      </c>
      <c r="Y299" s="30">
        <f t="shared" si="100"/>
        <v>3152.6313500000001</v>
      </c>
      <c r="Z299" s="30">
        <f t="shared" si="100"/>
        <v>0</v>
      </c>
      <c r="AA299" s="30">
        <f t="shared" si="100"/>
        <v>447.9348</v>
      </c>
    </row>
    <row r="300" spans="2:27" x14ac:dyDescent="0.2">
      <c r="B300" s="7"/>
      <c r="C300" s="22" t="s">
        <v>652</v>
      </c>
      <c r="D300" s="22"/>
      <c r="E300" s="68">
        <f>SUM(E288:E298)</f>
        <v>101655.8</v>
      </c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</row>
    <row r="301" spans="2:27" x14ac:dyDescent="0.2">
      <c r="B301" s="7"/>
      <c r="C301" s="22" t="s">
        <v>653</v>
      </c>
      <c r="D301" s="22"/>
      <c r="E301" s="68">
        <f>E299-E300</f>
        <v>-119.73300000005111</v>
      </c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</row>
    <row r="302" spans="2:27" x14ac:dyDescent="0.2">
      <c r="B302" s="7"/>
      <c r="C302" s="7"/>
      <c r="D302" s="7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</row>
    <row r="303" spans="2:27" x14ac:dyDescent="0.2">
      <c r="B303" s="24" t="s">
        <v>654</v>
      </c>
      <c r="C303" s="24"/>
      <c r="D303" s="24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</row>
    <row r="304" spans="2:27" x14ac:dyDescent="0.2">
      <c r="B304" s="7"/>
      <c r="C304" s="198" t="s">
        <v>655</v>
      </c>
      <c r="D304" s="198"/>
      <c r="E304" s="199">
        <v>20000</v>
      </c>
      <c r="F304" s="68"/>
      <c r="G304" s="197"/>
      <c r="H304" s="197"/>
      <c r="I304" s="197"/>
      <c r="J304" s="197"/>
      <c r="K304" s="197"/>
      <c r="L304" s="197"/>
      <c r="M304" s="197">
        <f>$E304*25%</f>
        <v>5000</v>
      </c>
      <c r="N304" s="197">
        <f>$E304*10%</f>
        <v>2000</v>
      </c>
      <c r="O304" s="197">
        <f>$E304*10%</f>
        <v>2000</v>
      </c>
      <c r="P304" s="197">
        <f>$E304*10%</f>
        <v>2000</v>
      </c>
      <c r="Q304" s="197">
        <f>$E304*10%</f>
        <v>2000</v>
      </c>
      <c r="R304" s="197">
        <f>$E304*10%</f>
        <v>2000</v>
      </c>
      <c r="S304" s="197"/>
      <c r="T304" s="197"/>
      <c r="U304" s="197"/>
      <c r="V304" s="197">
        <f>$E304*25%</f>
        <v>5000</v>
      </c>
      <c r="W304" s="197"/>
      <c r="X304" s="197"/>
      <c r="Y304" s="197"/>
      <c r="Z304" s="197"/>
      <c r="AA304" s="197"/>
    </row>
    <row r="305" spans="2:27" x14ac:dyDescent="0.2">
      <c r="B305" s="7"/>
      <c r="C305" s="44" t="s">
        <v>656</v>
      </c>
      <c r="D305" s="162"/>
      <c r="E305" s="161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</row>
    <row r="306" spans="2:27" x14ac:dyDescent="0.2">
      <c r="B306" s="7"/>
      <c r="C306" s="162" t="s">
        <v>657</v>
      </c>
      <c r="D306" s="162"/>
      <c r="E306" s="200">
        <v>10000</v>
      </c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</row>
    <row r="307" spans="2:27" x14ac:dyDescent="0.2">
      <c r="B307" s="7"/>
      <c r="C307" s="162" t="s">
        <v>658</v>
      </c>
      <c r="D307" s="162"/>
      <c r="E307" s="200">
        <v>12000</v>
      </c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</row>
    <row r="308" spans="2:27" x14ac:dyDescent="0.2">
      <c r="B308" s="7"/>
      <c r="C308" s="162" t="s">
        <v>659</v>
      </c>
      <c r="D308" s="162"/>
      <c r="E308" s="200">
        <v>500</v>
      </c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</row>
    <row r="309" spans="2:27" x14ac:dyDescent="0.2">
      <c r="B309" s="7"/>
      <c r="C309" s="44" t="s">
        <v>660</v>
      </c>
      <c r="D309" s="44"/>
      <c r="E309" s="62">
        <f>SUM(E306:E308)</f>
        <v>22500</v>
      </c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</row>
    <row r="310" spans="2:27" x14ac:dyDescent="0.2">
      <c r="B310" s="7"/>
      <c r="C310" s="8" t="s">
        <v>661</v>
      </c>
      <c r="D310" s="8"/>
      <c r="E310" s="61">
        <f>E300+E304+E309</f>
        <v>144155.79999999999</v>
      </c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</row>
    <row r="311" spans="2:27" x14ac:dyDescent="0.2"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</row>
    <row r="312" spans="2:27" x14ac:dyDescent="0.2">
      <c r="B312" s="7"/>
      <c r="C312" s="23" t="s">
        <v>662</v>
      </c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</row>
    <row r="313" spans="2:27" x14ac:dyDescent="0.2">
      <c r="B313" s="7"/>
      <c r="C313" s="23" t="str">
        <f>"If the contingencies are borne by Grupo Sirena, the Club Med Capex rises by R$ "&amp;TEXT(E309/1000,"#.##0,0")&amp;" million (to R$ "&amp;TEXT((E36+E309)/1000,"#.##0,0")&amp;" million)."</f>
        <v>Se as contingências forem realizadas pelo Grupo Sirena, o Capex do Club Med sobe R$ 22,5 mi (para R$ 473,3 mi).</v>
      </c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</row>
    <row r="316" spans="2:27" x14ac:dyDescent="0.2">
      <c r="B316" s="24" t="s">
        <v>663</v>
      </c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 spans="2:27" x14ac:dyDescent="0.2">
      <c r="B317" s="8"/>
      <c r="C317" s="8" t="s">
        <v>636</v>
      </c>
      <c r="D317" s="8"/>
      <c r="E317" s="202" t="s">
        <v>115</v>
      </c>
      <c r="F317" s="202"/>
      <c r="G317" s="193">
        <f>DATE(2026,1,1)</f>
        <v>46023</v>
      </c>
      <c r="H317" s="193">
        <f>DATE(2026,2,1)</f>
        <v>46054</v>
      </c>
      <c r="I317" s="193">
        <f>DATE(2026,3,1)</f>
        <v>46082</v>
      </c>
      <c r="J317" s="193">
        <f>DATE(2026,4,1)</f>
        <v>46113</v>
      </c>
      <c r="K317" s="193">
        <f>DATE(2026,5,1)</f>
        <v>46143</v>
      </c>
      <c r="L317" s="193">
        <f>DATE(2026,6,1)</f>
        <v>46174</v>
      </c>
      <c r="M317" s="193">
        <f>DATE(2026,7,1)</f>
        <v>46204</v>
      </c>
      <c r="N317" s="193">
        <f>DATE(2026,8,1)</f>
        <v>46235</v>
      </c>
      <c r="O317" s="193">
        <f>DATE(2026,9,1)</f>
        <v>46266</v>
      </c>
      <c r="P317" s="193">
        <f>DATE(2026,10,1)</f>
        <v>46296</v>
      </c>
      <c r="Q317" s="193">
        <f>DATE(2026,11,1)</f>
        <v>46327</v>
      </c>
      <c r="R317" s="193">
        <f>DATE(2026,12,1)</f>
        <v>46357</v>
      </c>
      <c r="S317" s="193">
        <f>DATE(2027,1,1)</f>
        <v>46388</v>
      </c>
      <c r="T317" s="193">
        <f>DATE(2027,2,1)</f>
        <v>46419</v>
      </c>
      <c r="U317" s="193">
        <f>DATE(2027,3,1)</f>
        <v>46447</v>
      </c>
      <c r="V317" s="193">
        <f>DATE(2027,4,1)</f>
        <v>46478</v>
      </c>
      <c r="W317" s="193">
        <f>DATE(2027,5,1)</f>
        <v>46508</v>
      </c>
      <c r="X317" s="193">
        <f>DATE(2027,6,1)</f>
        <v>46539</v>
      </c>
      <c r="Y317" s="193">
        <f>DATE(2027,7,1)</f>
        <v>46569</v>
      </c>
      <c r="Z317" s="193">
        <f>DATE(2027,8,1)</f>
        <v>46600</v>
      </c>
      <c r="AA317" s="193">
        <f>DATE(2027,9,1)</f>
        <v>46631</v>
      </c>
    </row>
    <row r="318" spans="2:27" x14ac:dyDescent="0.2">
      <c r="B318" s="194"/>
      <c r="C318" s="194" t="s">
        <v>664</v>
      </c>
      <c r="D318" s="194"/>
      <c r="E318" s="203"/>
      <c r="F318" s="203"/>
      <c r="G318" s="196">
        <f t="shared" ref="G318:AA318" si="101">YEAR(G317)</f>
        <v>2026</v>
      </c>
      <c r="H318" s="196">
        <f t="shared" si="101"/>
        <v>2026</v>
      </c>
      <c r="I318" s="196">
        <f t="shared" si="101"/>
        <v>2026</v>
      </c>
      <c r="J318" s="196">
        <f t="shared" si="101"/>
        <v>2026</v>
      </c>
      <c r="K318" s="196">
        <f t="shared" si="101"/>
        <v>2026</v>
      </c>
      <c r="L318" s="196">
        <f t="shared" si="101"/>
        <v>2026</v>
      </c>
      <c r="M318" s="196">
        <f t="shared" si="101"/>
        <v>2026</v>
      </c>
      <c r="N318" s="196">
        <f t="shared" si="101"/>
        <v>2026</v>
      </c>
      <c r="O318" s="196">
        <f t="shared" si="101"/>
        <v>2026</v>
      </c>
      <c r="P318" s="196">
        <f t="shared" si="101"/>
        <v>2026</v>
      </c>
      <c r="Q318" s="196">
        <f t="shared" si="101"/>
        <v>2026</v>
      </c>
      <c r="R318" s="196">
        <f t="shared" si="101"/>
        <v>2026</v>
      </c>
      <c r="S318" s="196">
        <f t="shared" si="101"/>
        <v>2027</v>
      </c>
      <c r="T318" s="196">
        <f t="shared" si="101"/>
        <v>2027</v>
      </c>
      <c r="U318" s="196">
        <f t="shared" si="101"/>
        <v>2027</v>
      </c>
      <c r="V318" s="196">
        <f t="shared" si="101"/>
        <v>2027</v>
      </c>
      <c r="W318" s="196">
        <f t="shared" si="101"/>
        <v>2027</v>
      </c>
      <c r="X318" s="196">
        <f t="shared" si="101"/>
        <v>2027</v>
      </c>
      <c r="Y318" s="196">
        <f t="shared" si="101"/>
        <v>2027</v>
      </c>
      <c r="Z318" s="196">
        <f t="shared" si="101"/>
        <v>2027</v>
      </c>
      <c r="AA318" s="196">
        <f t="shared" si="101"/>
        <v>2027</v>
      </c>
    </row>
    <row r="319" spans="2:27" x14ac:dyDescent="0.2"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</row>
    <row r="320" spans="2:27" x14ac:dyDescent="0.2">
      <c r="B320" s="7"/>
      <c r="C320" s="7" t="s">
        <v>665</v>
      </c>
      <c r="D320" s="7"/>
      <c r="E320" s="38">
        <v>319000</v>
      </c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</row>
    <row r="321" spans="2:27" x14ac:dyDescent="0.2">
      <c r="B321" s="7"/>
      <c r="C321" s="7" t="s">
        <v>666</v>
      </c>
      <c r="D321" s="7"/>
      <c r="E321" s="58">
        <v>40050</v>
      </c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</row>
    <row r="322" spans="2:27" x14ac:dyDescent="0.2">
      <c r="B322" s="7"/>
      <c r="C322" s="7" t="s">
        <v>667</v>
      </c>
      <c r="D322" s="7"/>
      <c r="E322" s="57">
        <f>E320*1000/E321</f>
        <v>7965.0436953807739</v>
      </c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</row>
    <row r="323" spans="2:27" x14ac:dyDescent="0.2">
      <c r="B323" s="7"/>
      <c r="C323" s="7" t="s">
        <v>668</v>
      </c>
      <c r="D323" s="7"/>
      <c r="E323" s="39">
        <v>0.04</v>
      </c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</row>
    <row r="324" spans="2:27" x14ac:dyDescent="0.2">
      <c r="B324" s="7"/>
      <c r="C324" s="7" t="s">
        <v>669</v>
      </c>
      <c r="D324" s="7"/>
      <c r="E324" s="38">
        <v>0</v>
      </c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</row>
    <row r="325" spans="2:27" x14ac:dyDescent="0.2">
      <c r="B325" s="7"/>
      <c r="C325" s="7" t="s">
        <v>1020</v>
      </c>
      <c r="D325" s="7"/>
      <c r="E325" s="38">
        <v>2000</v>
      </c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</row>
    <row r="326" spans="2:27" x14ac:dyDescent="0.2">
      <c r="B326" s="7"/>
      <c r="C326" s="7"/>
      <c r="D326" s="7"/>
      <c r="E326" s="19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</row>
    <row r="327" spans="2:27" x14ac:dyDescent="0.2">
      <c r="B327" s="7"/>
      <c r="C327" s="7" t="s">
        <v>670</v>
      </c>
      <c r="D327" s="7"/>
      <c r="E327" s="204">
        <f t="shared" ref="E327:E332" si="102">SUM(G327:AA327)</f>
        <v>1.0000000000000004</v>
      </c>
      <c r="F327" s="204"/>
      <c r="G327" s="205">
        <v>2.4920564778294199E-4</v>
      </c>
      <c r="H327" s="205">
        <v>8.2685521056938803E-4</v>
      </c>
      <c r="I327" s="205">
        <v>1.55291069407115E-3</v>
      </c>
      <c r="J327" s="205">
        <v>2.9961227586185898E-2</v>
      </c>
      <c r="K327" s="205">
        <v>2.7744657575159599E-2</v>
      </c>
      <c r="L327" s="205">
        <v>2.42874818118415E-2</v>
      </c>
      <c r="M327" s="205">
        <v>2.4219201057032999E-2</v>
      </c>
      <c r="N327" s="205">
        <v>3.9723475522459202E-2</v>
      </c>
      <c r="O327" s="205">
        <v>4.6628789300387601E-2</v>
      </c>
      <c r="P327" s="205">
        <v>4.6519714958358202E-2</v>
      </c>
      <c r="Q327" s="205">
        <v>6.2523853284476502E-2</v>
      </c>
      <c r="R327" s="205">
        <v>7.8212281819636797E-2</v>
      </c>
      <c r="S327" s="205">
        <v>8.8840869359532004E-2</v>
      </c>
      <c r="T327" s="205">
        <v>9.5950505389011606E-2</v>
      </c>
      <c r="U327" s="205">
        <v>9.8454634733384894E-2</v>
      </c>
      <c r="V327" s="205">
        <v>9.5950505389011606E-2</v>
      </c>
      <c r="W327" s="205">
        <v>8.8840869359532004E-2</v>
      </c>
      <c r="X327" s="205">
        <v>7.8228072637518603E-2</v>
      </c>
      <c r="Y327" s="205">
        <v>7.1284888664047794E-2</v>
      </c>
      <c r="Z327" s="205">
        <v>0</v>
      </c>
      <c r="AA327" s="205">
        <v>0</v>
      </c>
    </row>
    <row r="328" spans="2:27" x14ac:dyDescent="0.2">
      <c r="B328" s="7"/>
      <c r="C328" s="7" t="s">
        <v>671</v>
      </c>
      <c r="D328" s="7"/>
      <c r="E328" s="19">
        <f t="shared" si="102"/>
        <v>40050.000000000015</v>
      </c>
      <c r="F328" s="7"/>
      <c r="G328" s="19">
        <f t="shared" ref="G328:AA328" si="103">G327*$E$321</f>
        <v>9.980686193706827</v>
      </c>
      <c r="H328" s="19">
        <f t="shared" si="103"/>
        <v>33.115551183303992</v>
      </c>
      <c r="I328" s="19">
        <f t="shared" si="103"/>
        <v>62.194073297549558</v>
      </c>
      <c r="J328" s="19">
        <f t="shared" si="103"/>
        <v>1199.9471648267452</v>
      </c>
      <c r="K328" s="19">
        <f t="shared" si="103"/>
        <v>1111.173535885142</v>
      </c>
      <c r="L328" s="19">
        <f t="shared" si="103"/>
        <v>972.71364656425203</v>
      </c>
      <c r="M328" s="19">
        <f t="shared" si="103"/>
        <v>969.97900233417158</v>
      </c>
      <c r="N328" s="19">
        <f t="shared" si="103"/>
        <v>1590.925194674491</v>
      </c>
      <c r="O328" s="19">
        <f t="shared" si="103"/>
        <v>1867.4830114805234</v>
      </c>
      <c r="P328" s="19">
        <f t="shared" si="103"/>
        <v>1863.114584082246</v>
      </c>
      <c r="Q328" s="19">
        <f t="shared" si="103"/>
        <v>2504.0803240432838</v>
      </c>
      <c r="R328" s="19">
        <f t="shared" si="103"/>
        <v>3132.4018868764538</v>
      </c>
      <c r="S328" s="19">
        <f t="shared" si="103"/>
        <v>3558.0768178492567</v>
      </c>
      <c r="T328" s="19">
        <f t="shared" si="103"/>
        <v>3842.8177408299148</v>
      </c>
      <c r="U328" s="19">
        <f t="shared" si="103"/>
        <v>3943.1081210720649</v>
      </c>
      <c r="V328" s="19">
        <f t="shared" si="103"/>
        <v>3842.8177408299148</v>
      </c>
      <c r="W328" s="19">
        <f t="shared" si="103"/>
        <v>3558.0768178492567</v>
      </c>
      <c r="X328" s="19">
        <f t="shared" si="103"/>
        <v>3133.0343091326199</v>
      </c>
      <c r="Y328" s="19">
        <f t="shared" si="103"/>
        <v>2854.959790995114</v>
      </c>
      <c r="Z328" s="19">
        <f t="shared" si="103"/>
        <v>0</v>
      </c>
      <c r="AA328" s="19">
        <f t="shared" si="103"/>
        <v>0</v>
      </c>
    </row>
    <row r="329" spans="2:27" x14ac:dyDescent="0.2">
      <c r="B329" s="8"/>
      <c r="C329" s="8" t="s">
        <v>672</v>
      </c>
      <c r="D329" s="8"/>
      <c r="E329" s="61">
        <f t="shared" si="102"/>
        <v>319000.00000000006</v>
      </c>
      <c r="F329" s="8"/>
      <c r="G329" s="61">
        <f t="shared" ref="G329:AA329" si="104">G327*$E$320</f>
        <v>79.496601642758492</v>
      </c>
      <c r="H329" s="61">
        <f t="shared" si="104"/>
        <v>263.7668121716348</v>
      </c>
      <c r="I329" s="61">
        <f t="shared" si="104"/>
        <v>495.37851140869685</v>
      </c>
      <c r="J329" s="61">
        <f t="shared" si="104"/>
        <v>9557.6315999933013</v>
      </c>
      <c r="K329" s="61">
        <f t="shared" si="104"/>
        <v>8850.5457664759124</v>
      </c>
      <c r="L329" s="61">
        <f t="shared" si="104"/>
        <v>7747.7066979774381</v>
      </c>
      <c r="M329" s="61">
        <f t="shared" si="104"/>
        <v>7725.925137193527</v>
      </c>
      <c r="N329" s="61">
        <f t="shared" si="104"/>
        <v>12671.788691664486</v>
      </c>
      <c r="O329" s="61">
        <f t="shared" si="104"/>
        <v>14874.583786823645</v>
      </c>
      <c r="P329" s="61">
        <f t="shared" si="104"/>
        <v>14839.789071716266</v>
      </c>
      <c r="Q329" s="61">
        <f t="shared" si="104"/>
        <v>19945.109197748003</v>
      </c>
      <c r="R329" s="61">
        <f t="shared" si="104"/>
        <v>24949.717900464137</v>
      </c>
      <c r="S329" s="61">
        <f t="shared" si="104"/>
        <v>28340.237325690709</v>
      </c>
      <c r="T329" s="61">
        <f t="shared" si="104"/>
        <v>30608.211219094701</v>
      </c>
      <c r="U329" s="61">
        <f t="shared" si="104"/>
        <v>31407.028479949782</v>
      </c>
      <c r="V329" s="61">
        <f t="shared" si="104"/>
        <v>30608.211219094701</v>
      </c>
      <c r="W329" s="61">
        <f t="shared" si="104"/>
        <v>28340.237325690709</v>
      </c>
      <c r="X329" s="61">
        <f t="shared" si="104"/>
        <v>24954.755171368433</v>
      </c>
      <c r="Y329" s="61">
        <f t="shared" si="104"/>
        <v>22739.879483831246</v>
      </c>
      <c r="Z329" s="61">
        <f t="shared" si="104"/>
        <v>0</v>
      </c>
      <c r="AA329" s="61">
        <f t="shared" si="104"/>
        <v>0</v>
      </c>
    </row>
    <row r="330" spans="2:27" x14ac:dyDescent="0.2">
      <c r="B330" s="7"/>
      <c r="C330" s="7" t="s">
        <v>673</v>
      </c>
      <c r="D330" s="7"/>
      <c r="E330" s="19">
        <f t="shared" si="102"/>
        <v>12760.000000000004</v>
      </c>
      <c r="F330" s="7"/>
      <c r="G330" s="19">
        <f t="shared" ref="G330:AA330" si="105">G329*$E$323</f>
        <v>3.1798640657103396</v>
      </c>
      <c r="H330" s="19">
        <f t="shared" si="105"/>
        <v>10.550672486865393</v>
      </c>
      <c r="I330" s="19">
        <f t="shared" si="105"/>
        <v>19.815140456347873</v>
      </c>
      <c r="J330" s="19">
        <f t="shared" si="105"/>
        <v>382.30526399973206</v>
      </c>
      <c r="K330" s="19">
        <f t="shared" si="105"/>
        <v>354.02183065903648</v>
      </c>
      <c r="L330" s="19">
        <f t="shared" si="105"/>
        <v>309.90826791909751</v>
      </c>
      <c r="M330" s="19">
        <f t="shared" si="105"/>
        <v>309.03700548774111</v>
      </c>
      <c r="N330" s="19">
        <f t="shared" si="105"/>
        <v>506.87154766657943</v>
      </c>
      <c r="O330" s="19">
        <f t="shared" si="105"/>
        <v>594.98335147294586</v>
      </c>
      <c r="P330" s="19">
        <f t="shared" si="105"/>
        <v>593.59156286865061</v>
      </c>
      <c r="Q330" s="19">
        <f t="shared" si="105"/>
        <v>797.80436790992007</v>
      </c>
      <c r="R330" s="19">
        <f t="shared" si="105"/>
        <v>997.98871601856547</v>
      </c>
      <c r="S330" s="19">
        <f t="shared" si="105"/>
        <v>1133.6094930276283</v>
      </c>
      <c r="T330" s="19">
        <f t="shared" si="105"/>
        <v>1224.3284487637882</v>
      </c>
      <c r="U330" s="19">
        <f t="shared" si="105"/>
        <v>1256.2811391979913</v>
      </c>
      <c r="V330" s="19">
        <f t="shared" si="105"/>
        <v>1224.3284487637882</v>
      </c>
      <c r="W330" s="19">
        <f t="shared" si="105"/>
        <v>1133.6094930276283</v>
      </c>
      <c r="X330" s="19">
        <f t="shared" si="105"/>
        <v>998.19020685473731</v>
      </c>
      <c r="Y330" s="19">
        <f t="shared" si="105"/>
        <v>909.59517935324982</v>
      </c>
      <c r="Z330" s="19">
        <f t="shared" si="105"/>
        <v>0</v>
      </c>
      <c r="AA330" s="19">
        <f t="shared" si="105"/>
        <v>0</v>
      </c>
    </row>
    <row r="331" spans="2:27" x14ac:dyDescent="0.2">
      <c r="B331" s="7"/>
      <c r="C331" s="7" t="s">
        <v>674</v>
      </c>
      <c r="D331" s="7"/>
      <c r="E331" s="19">
        <f t="shared" si="102"/>
        <v>0</v>
      </c>
      <c r="F331" s="7"/>
      <c r="G331" s="19">
        <f t="shared" ref="G331:AA331" si="106">IF(G$317=$G$317,$E$324,0)</f>
        <v>0</v>
      </c>
      <c r="H331" s="19">
        <f t="shared" si="106"/>
        <v>0</v>
      </c>
      <c r="I331" s="19">
        <f t="shared" si="106"/>
        <v>0</v>
      </c>
      <c r="J331" s="19">
        <f t="shared" si="106"/>
        <v>0</v>
      </c>
      <c r="K331" s="19">
        <f t="shared" si="106"/>
        <v>0</v>
      </c>
      <c r="L331" s="19">
        <f t="shared" si="106"/>
        <v>0</v>
      </c>
      <c r="M331" s="19">
        <f t="shared" si="106"/>
        <v>0</v>
      </c>
      <c r="N331" s="19">
        <f t="shared" si="106"/>
        <v>0</v>
      </c>
      <c r="O331" s="19">
        <f t="shared" si="106"/>
        <v>0</v>
      </c>
      <c r="P331" s="19">
        <f t="shared" si="106"/>
        <v>0</v>
      </c>
      <c r="Q331" s="19">
        <f t="shared" si="106"/>
        <v>0</v>
      </c>
      <c r="R331" s="19">
        <f t="shared" si="106"/>
        <v>0</v>
      </c>
      <c r="S331" s="19">
        <f t="shared" si="106"/>
        <v>0</v>
      </c>
      <c r="T331" s="19">
        <f t="shared" si="106"/>
        <v>0</v>
      </c>
      <c r="U331" s="19">
        <f t="shared" si="106"/>
        <v>0</v>
      </c>
      <c r="V331" s="19">
        <f t="shared" si="106"/>
        <v>0</v>
      </c>
      <c r="W331" s="19">
        <f t="shared" si="106"/>
        <v>0</v>
      </c>
      <c r="X331" s="19">
        <f t="shared" si="106"/>
        <v>0</v>
      </c>
      <c r="Y331" s="19">
        <f t="shared" si="106"/>
        <v>0</v>
      </c>
      <c r="Z331" s="19">
        <f t="shared" si="106"/>
        <v>0</v>
      </c>
      <c r="AA331" s="19">
        <f t="shared" si="106"/>
        <v>0</v>
      </c>
    </row>
    <row r="332" spans="2:27" x14ac:dyDescent="0.2">
      <c r="B332" s="29" t="s">
        <v>675</v>
      </c>
      <c r="C332" s="29"/>
      <c r="D332" s="29"/>
      <c r="E332" s="30">
        <f t="shared" si="102"/>
        <v>331760.00000000012</v>
      </c>
      <c r="F332" s="29"/>
      <c r="G332" s="30">
        <f t="shared" ref="G332:AA332" si="107">SUM(G329:G331)</f>
        <v>82.676465708468825</v>
      </c>
      <c r="H332" s="30">
        <f t="shared" si="107"/>
        <v>274.31748465850018</v>
      </c>
      <c r="I332" s="30">
        <f t="shared" si="107"/>
        <v>515.19365186504467</v>
      </c>
      <c r="J332" s="30">
        <f t="shared" si="107"/>
        <v>9939.9368639930326</v>
      </c>
      <c r="K332" s="30">
        <f t="shared" si="107"/>
        <v>9204.5675971349483</v>
      </c>
      <c r="L332" s="30">
        <f t="shared" si="107"/>
        <v>8057.614965896536</v>
      </c>
      <c r="M332" s="30">
        <f t="shared" si="107"/>
        <v>8034.9621426812682</v>
      </c>
      <c r="N332" s="30">
        <f t="shared" si="107"/>
        <v>13178.660239331066</v>
      </c>
      <c r="O332" s="30">
        <f t="shared" si="107"/>
        <v>15469.56713829659</v>
      </c>
      <c r="P332" s="30">
        <f t="shared" si="107"/>
        <v>15433.380634584917</v>
      </c>
      <c r="Q332" s="30">
        <f t="shared" si="107"/>
        <v>20742.913565657924</v>
      </c>
      <c r="R332" s="30">
        <f t="shared" si="107"/>
        <v>25947.706616482701</v>
      </c>
      <c r="S332" s="30">
        <f t="shared" si="107"/>
        <v>29473.846818718335</v>
      </c>
      <c r="T332" s="30">
        <f t="shared" si="107"/>
        <v>31832.539667858488</v>
      </c>
      <c r="U332" s="30">
        <f t="shared" si="107"/>
        <v>32663.309619147774</v>
      </c>
      <c r="V332" s="30">
        <f t="shared" si="107"/>
        <v>31832.539667858488</v>
      </c>
      <c r="W332" s="30">
        <f t="shared" si="107"/>
        <v>29473.846818718335</v>
      </c>
      <c r="X332" s="30">
        <f t="shared" si="107"/>
        <v>25952.945378223172</v>
      </c>
      <c r="Y332" s="30">
        <f t="shared" si="107"/>
        <v>23649.474663184497</v>
      </c>
      <c r="Z332" s="30">
        <f t="shared" si="107"/>
        <v>0</v>
      </c>
      <c r="AA332" s="30">
        <f t="shared" si="107"/>
        <v>0</v>
      </c>
    </row>
    <row r="333" spans="2:27" x14ac:dyDescent="0.2"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</row>
    <row r="334" spans="2:27" x14ac:dyDescent="0.2">
      <c r="B334" s="7"/>
      <c r="C334" s="23" t="s">
        <v>676</v>
      </c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</row>
    <row r="337" spans="2:27" x14ac:dyDescent="0.2">
      <c r="B337" s="224" t="s">
        <v>811</v>
      </c>
      <c r="C337" s="225"/>
      <c r="D337" s="225"/>
      <c r="E337" s="225"/>
      <c r="F337" s="225"/>
      <c r="G337" s="225"/>
      <c r="H337" s="225"/>
      <c r="I337" s="225"/>
      <c r="J337" s="225"/>
      <c r="K337" s="225"/>
      <c r="L337" s="225"/>
      <c r="M337" s="225"/>
      <c r="N337" s="225"/>
      <c r="O337" s="225"/>
      <c r="P337" s="225"/>
      <c r="Q337" s="225"/>
      <c r="R337" s="225"/>
      <c r="S337" s="225"/>
      <c r="T337" s="225"/>
      <c r="U337" s="225"/>
      <c r="V337" s="225"/>
      <c r="W337" s="225"/>
      <c r="X337" s="225"/>
      <c r="Y337" s="225"/>
      <c r="Z337" s="225"/>
      <c r="AA337" s="225"/>
    </row>
    <row r="338" spans="2:27" x14ac:dyDescent="0.2">
      <c r="C338" s="6"/>
      <c r="D338" s="6"/>
      <c r="E338" s="181" t="s">
        <v>812</v>
      </c>
      <c r="F338" s="181" t="s">
        <v>680</v>
      </c>
      <c r="G338" s="181" t="s">
        <v>712</v>
      </c>
      <c r="H338" s="181" t="s">
        <v>813</v>
      </c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2:27" x14ac:dyDescent="0.2">
      <c r="C339" s="6" t="s">
        <v>814</v>
      </c>
      <c r="D339" s="6"/>
      <c r="E339" s="226">
        <v>8500</v>
      </c>
      <c r="F339" s="227">
        <v>46388</v>
      </c>
      <c r="G339" s="228">
        <v>12</v>
      </c>
      <c r="H339" s="229">
        <f>EDATE(F339,G339-1)</f>
        <v>46722</v>
      </c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2:27" x14ac:dyDescent="0.2">
      <c r="C340" s="6" t="s">
        <v>815</v>
      </c>
      <c r="D340" s="6"/>
      <c r="E340" s="226">
        <v>7000</v>
      </c>
      <c r="F340" s="230">
        <v>46388</v>
      </c>
      <c r="G340" s="231">
        <v>12</v>
      </c>
      <c r="H340" s="229">
        <f>EDATE(F340,G340-1)</f>
        <v>46722</v>
      </c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2:27" x14ac:dyDescent="0.2">
      <c r="C341" s="180" t="s">
        <v>816</v>
      </c>
      <c r="D341" s="180"/>
      <c r="E341" s="232">
        <f>SUM(E339:E340)</f>
        <v>15500</v>
      </c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2:27" x14ac:dyDescent="0.2">
      <c r="C342" s="233" t="s">
        <v>817</v>
      </c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</sheetData>
  <dataValidations count="1">
    <dataValidation type="list" allowBlank="1" showInputMessage="1" showErrorMessage="1" sqref="E24" xr:uid="{852FFF22-2A37-0C4C-BC58-D06BD192A388}">
      <formula1>"Presumed Profit (Lucro Presumido),Actual Profit (Lucro Real)"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EF55-ECD6-644A-ACBC-3E08D0A1FFC8}">
  <dimension ref="A1:AB137"/>
  <sheetViews>
    <sheetView showGridLines="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E9" sqref="E9:E14"/>
    </sheetView>
  </sheetViews>
  <sheetFormatPr baseColWidth="10" defaultRowHeight="15" x14ac:dyDescent="0.2"/>
  <cols>
    <col min="1" max="1" width="1.6640625" customWidth="1"/>
    <col min="2" max="2" width="2.33203125" customWidth="1"/>
    <col min="3" max="3" width="43.33203125" customWidth="1"/>
    <col min="4" max="4" width="1.6640625" customWidth="1"/>
    <col min="5" max="5" width="13.33203125" customWidth="1"/>
    <col min="6" max="6" width="1.6640625" customWidth="1"/>
    <col min="7" max="27" width="10.33203125" customWidth="1"/>
  </cols>
  <sheetData>
    <row r="1" spans="1:28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 ht="16" x14ac:dyDescent="0.2">
      <c r="A2" s="10"/>
      <c r="B2" s="47" t="s">
        <v>223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x14ac:dyDescent="0.2">
      <c r="A3" s="10"/>
      <c r="B3" s="23" t="s">
        <v>255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8" x14ac:dyDescent="0.2">
      <c r="A6" s="10"/>
      <c r="B6" s="24" t="s">
        <v>1</v>
      </c>
      <c r="C6" s="24"/>
      <c r="D6" s="24"/>
      <c r="E6" s="26" t="s">
        <v>38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10"/>
    </row>
    <row r="7" spans="1:28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x14ac:dyDescent="0.2">
      <c r="A8" s="10"/>
      <c r="B8" s="24" t="s">
        <v>39</v>
      </c>
      <c r="C8" s="24"/>
      <c r="D8" s="24"/>
      <c r="E8" s="24"/>
      <c r="F8" s="24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10"/>
    </row>
    <row r="9" spans="1:28" x14ac:dyDescent="0.2">
      <c r="A9" s="10"/>
      <c r="B9" s="10"/>
      <c r="C9" s="10" t="s">
        <v>677</v>
      </c>
      <c r="D9" s="10"/>
      <c r="E9" s="38">
        <v>16000</v>
      </c>
      <c r="F9" s="10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0"/>
    </row>
    <row r="10" spans="1:28" x14ac:dyDescent="0.2">
      <c r="A10" s="10"/>
      <c r="B10" s="10"/>
      <c r="C10" s="10" t="s">
        <v>112</v>
      </c>
      <c r="D10" s="10"/>
      <c r="E10" s="39">
        <v>0.04</v>
      </c>
      <c r="F10" s="10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0"/>
    </row>
    <row r="11" spans="1:28" x14ac:dyDescent="0.2">
      <c r="A11" s="10"/>
      <c r="B11" s="10"/>
      <c r="C11" s="10" t="s">
        <v>55</v>
      </c>
      <c r="D11" s="10"/>
      <c r="E11" s="42">
        <f>MANAGEMENT!$H$6</f>
        <v>0.09</v>
      </c>
      <c r="F11" s="10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0"/>
    </row>
    <row r="12" spans="1:28" x14ac:dyDescent="0.2">
      <c r="A12" s="10"/>
      <c r="B12" s="10"/>
      <c r="C12" s="10" t="s">
        <v>56</v>
      </c>
      <c r="D12" s="10"/>
      <c r="E12" s="39">
        <v>0.1</v>
      </c>
      <c r="F12" s="10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0"/>
    </row>
    <row r="13" spans="1:28" x14ac:dyDescent="0.2">
      <c r="A13" s="10"/>
      <c r="B13" s="10"/>
      <c r="C13" s="10" t="s">
        <v>184</v>
      </c>
      <c r="D13" s="10"/>
      <c r="E13" s="40">
        <v>2027</v>
      </c>
      <c r="F13" s="10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0"/>
    </row>
    <row r="14" spans="1:28" x14ac:dyDescent="0.2">
      <c r="A14" s="10"/>
      <c r="B14" s="10"/>
      <c r="C14" s="10" t="s">
        <v>227</v>
      </c>
      <c r="D14" s="10"/>
      <c r="E14" s="92" t="s">
        <v>228</v>
      </c>
      <c r="F14" s="10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0"/>
    </row>
    <row r="15" spans="1:28" x14ac:dyDescent="0.2">
      <c r="A15" s="10"/>
      <c r="B15" s="10"/>
      <c r="C15" s="10" t="s">
        <v>229</v>
      </c>
      <c r="D15" s="10"/>
      <c r="E15" s="40">
        <v>2028</v>
      </c>
      <c r="F15" s="10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0"/>
    </row>
    <row r="16" spans="1:28" x14ac:dyDescent="0.2">
      <c r="A16" s="10"/>
      <c r="B16" s="10"/>
      <c r="C16" s="10" t="s">
        <v>230</v>
      </c>
      <c r="D16" s="10"/>
      <c r="E16" s="39">
        <v>0</v>
      </c>
      <c r="F16" s="10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0"/>
    </row>
    <row r="17" spans="1:28" x14ac:dyDescent="0.2">
      <c r="A17" s="10"/>
      <c r="B17" s="24" t="s">
        <v>224</v>
      </c>
      <c r="C17" s="24"/>
      <c r="D17" s="24"/>
      <c r="E17" s="24"/>
      <c r="F17" s="24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10"/>
    </row>
    <row r="18" spans="1:28" x14ac:dyDescent="0.2">
      <c r="A18" s="10"/>
      <c r="B18" s="10"/>
      <c r="C18" s="10" t="s">
        <v>225</v>
      </c>
      <c r="D18" s="10"/>
      <c r="E18" s="12">
        <f>SUM(G18:Z18)</f>
        <v>16000</v>
      </c>
      <c r="F18" s="10"/>
      <c r="G18" s="41">
        <f t="shared" ref="G18:Z18" si="1">IF(G$6=$E$13,$E$9,0)</f>
        <v>0</v>
      </c>
      <c r="H18" s="41">
        <f t="shared" si="1"/>
        <v>16000</v>
      </c>
      <c r="I18" s="41">
        <f t="shared" si="1"/>
        <v>0</v>
      </c>
      <c r="J18" s="41">
        <f t="shared" si="1"/>
        <v>0</v>
      </c>
      <c r="K18" s="41">
        <f t="shared" si="1"/>
        <v>0</v>
      </c>
      <c r="L18" s="41">
        <f t="shared" si="1"/>
        <v>0</v>
      </c>
      <c r="M18" s="41">
        <f t="shared" si="1"/>
        <v>0</v>
      </c>
      <c r="N18" s="41">
        <f t="shared" si="1"/>
        <v>0</v>
      </c>
      <c r="O18" s="41">
        <f t="shared" si="1"/>
        <v>0</v>
      </c>
      <c r="P18" s="41">
        <f t="shared" si="1"/>
        <v>0</v>
      </c>
      <c r="Q18" s="41">
        <f t="shared" si="1"/>
        <v>0</v>
      </c>
      <c r="R18" s="41">
        <f t="shared" si="1"/>
        <v>0</v>
      </c>
      <c r="S18" s="41">
        <f t="shared" si="1"/>
        <v>0</v>
      </c>
      <c r="T18" s="41">
        <f t="shared" si="1"/>
        <v>0</v>
      </c>
      <c r="U18" s="41">
        <f t="shared" si="1"/>
        <v>0</v>
      </c>
      <c r="V18" s="41">
        <f t="shared" si="1"/>
        <v>0</v>
      </c>
      <c r="W18" s="41">
        <f t="shared" si="1"/>
        <v>0</v>
      </c>
      <c r="X18" s="41">
        <f t="shared" si="1"/>
        <v>0</v>
      </c>
      <c r="Y18" s="41">
        <f t="shared" si="1"/>
        <v>0</v>
      </c>
      <c r="Z18" s="41">
        <f t="shared" si="1"/>
        <v>0</v>
      </c>
      <c r="AA18" s="12"/>
      <c r="AB18" s="10"/>
    </row>
    <row r="19" spans="1:28" x14ac:dyDescent="0.2">
      <c r="A19" s="10"/>
      <c r="B19" s="10"/>
      <c r="C19" s="10" t="s">
        <v>59</v>
      </c>
      <c r="D19" s="10"/>
      <c r="E19" s="12">
        <f>SUM(G19:Z19)</f>
        <v>640</v>
      </c>
      <c r="F19" s="10"/>
      <c r="G19" s="12">
        <f t="shared" ref="G19:Z19" si="2">G18*$E$10</f>
        <v>0</v>
      </c>
      <c r="H19" s="12">
        <f t="shared" si="2"/>
        <v>640</v>
      </c>
      <c r="I19" s="12">
        <f t="shared" si="2"/>
        <v>0</v>
      </c>
      <c r="J19" s="12">
        <f t="shared" si="2"/>
        <v>0</v>
      </c>
      <c r="K19" s="12">
        <f t="shared" si="2"/>
        <v>0</v>
      </c>
      <c r="L19" s="12">
        <f t="shared" si="2"/>
        <v>0</v>
      </c>
      <c r="M19" s="12">
        <f t="shared" si="2"/>
        <v>0</v>
      </c>
      <c r="N19" s="12">
        <f t="shared" si="2"/>
        <v>0</v>
      </c>
      <c r="O19" s="12">
        <f t="shared" si="2"/>
        <v>0</v>
      </c>
      <c r="P19" s="12">
        <f t="shared" si="2"/>
        <v>0</v>
      </c>
      <c r="Q19" s="12">
        <f t="shared" si="2"/>
        <v>0</v>
      </c>
      <c r="R19" s="12">
        <f t="shared" si="2"/>
        <v>0</v>
      </c>
      <c r="S19" s="12">
        <f t="shared" si="2"/>
        <v>0</v>
      </c>
      <c r="T19" s="12">
        <f t="shared" si="2"/>
        <v>0</v>
      </c>
      <c r="U19" s="12">
        <f t="shared" si="2"/>
        <v>0</v>
      </c>
      <c r="V19" s="12">
        <f t="shared" si="2"/>
        <v>0</v>
      </c>
      <c r="W19" s="12">
        <f t="shared" si="2"/>
        <v>0</v>
      </c>
      <c r="X19" s="12">
        <f t="shared" si="2"/>
        <v>0</v>
      </c>
      <c r="Y19" s="12">
        <f t="shared" si="2"/>
        <v>0</v>
      </c>
      <c r="Z19" s="12">
        <f t="shared" si="2"/>
        <v>0</v>
      </c>
      <c r="AA19" s="12"/>
      <c r="AB19" s="10"/>
    </row>
    <row r="20" spans="1:28" x14ac:dyDescent="0.2">
      <c r="A20" s="10"/>
      <c r="B20" s="49" t="s">
        <v>226</v>
      </c>
      <c r="C20" s="49"/>
      <c r="D20" s="49"/>
      <c r="E20" s="50">
        <f>SUM(G20:Z20)</f>
        <v>16640</v>
      </c>
      <c r="F20" s="49"/>
      <c r="G20" s="50">
        <f t="shared" ref="G20:Z20" si="3">G18+G19</f>
        <v>0</v>
      </c>
      <c r="H20" s="50">
        <f t="shared" si="3"/>
        <v>16640</v>
      </c>
      <c r="I20" s="50">
        <f t="shared" si="3"/>
        <v>0</v>
      </c>
      <c r="J20" s="50">
        <f t="shared" si="3"/>
        <v>0</v>
      </c>
      <c r="K20" s="50">
        <f t="shared" si="3"/>
        <v>0</v>
      </c>
      <c r="L20" s="50">
        <f t="shared" si="3"/>
        <v>0</v>
      </c>
      <c r="M20" s="50">
        <f t="shared" si="3"/>
        <v>0</v>
      </c>
      <c r="N20" s="50">
        <f t="shared" si="3"/>
        <v>0</v>
      </c>
      <c r="O20" s="50">
        <f t="shared" si="3"/>
        <v>0</v>
      </c>
      <c r="P20" s="50">
        <f t="shared" si="3"/>
        <v>0</v>
      </c>
      <c r="Q20" s="50">
        <f t="shared" si="3"/>
        <v>0</v>
      </c>
      <c r="R20" s="50">
        <f t="shared" si="3"/>
        <v>0</v>
      </c>
      <c r="S20" s="50">
        <f t="shared" si="3"/>
        <v>0</v>
      </c>
      <c r="T20" s="50">
        <f t="shared" si="3"/>
        <v>0</v>
      </c>
      <c r="U20" s="50">
        <f t="shared" si="3"/>
        <v>0</v>
      </c>
      <c r="V20" s="50">
        <f t="shared" si="3"/>
        <v>0</v>
      </c>
      <c r="W20" s="50">
        <f t="shared" si="3"/>
        <v>0</v>
      </c>
      <c r="X20" s="50">
        <f t="shared" si="3"/>
        <v>0</v>
      </c>
      <c r="Y20" s="50">
        <f t="shared" si="3"/>
        <v>0</v>
      </c>
      <c r="Z20" s="50">
        <f t="shared" si="3"/>
        <v>0</v>
      </c>
      <c r="AA20" s="50"/>
      <c r="AB20" s="10"/>
    </row>
    <row r="21" spans="1:28" x14ac:dyDescent="0.2">
      <c r="A21" s="10"/>
      <c r="B21" s="10"/>
      <c r="C21" s="10"/>
      <c r="D21" s="10"/>
      <c r="E21" s="10"/>
      <c r="F21" s="10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0"/>
    </row>
    <row r="22" spans="1:28" x14ac:dyDescent="0.2">
      <c r="A22" s="10"/>
      <c r="B22" s="24" t="s">
        <v>253</v>
      </c>
      <c r="C22" s="24"/>
      <c r="D22" s="24"/>
      <c r="E22" s="24"/>
      <c r="F22" s="24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10"/>
    </row>
    <row r="23" spans="1:28" x14ac:dyDescent="0.2">
      <c r="A23" s="10"/>
      <c r="B23" s="24"/>
      <c r="C23" s="94" t="s">
        <v>246</v>
      </c>
      <c r="D23" s="94"/>
      <c r="E23" s="94"/>
      <c r="F23" s="94"/>
      <c r="G23" s="95">
        <f t="shared" ref="G23:Z23" si="4">IF(G$6&gt;=$E$15,G$6-$E$15+1,0)</f>
        <v>0</v>
      </c>
      <c r="H23" s="95">
        <f t="shared" si="4"/>
        <v>0</v>
      </c>
      <c r="I23" s="95">
        <f t="shared" si="4"/>
        <v>1</v>
      </c>
      <c r="J23" s="95">
        <f t="shared" si="4"/>
        <v>2</v>
      </c>
      <c r="K23" s="95">
        <f t="shared" si="4"/>
        <v>3</v>
      </c>
      <c r="L23" s="95">
        <f t="shared" si="4"/>
        <v>4</v>
      </c>
      <c r="M23" s="95">
        <f t="shared" si="4"/>
        <v>5</v>
      </c>
      <c r="N23" s="95">
        <f t="shared" si="4"/>
        <v>6</v>
      </c>
      <c r="O23" s="95">
        <f t="shared" si="4"/>
        <v>7</v>
      </c>
      <c r="P23" s="95">
        <f t="shared" si="4"/>
        <v>8</v>
      </c>
      <c r="Q23" s="95">
        <f t="shared" si="4"/>
        <v>9</v>
      </c>
      <c r="R23" s="95">
        <f t="shared" si="4"/>
        <v>10</v>
      </c>
      <c r="S23" s="95">
        <f t="shared" si="4"/>
        <v>11</v>
      </c>
      <c r="T23" s="95">
        <f t="shared" si="4"/>
        <v>12</v>
      </c>
      <c r="U23" s="95">
        <f t="shared" si="4"/>
        <v>13</v>
      </c>
      <c r="V23" s="95">
        <f t="shared" si="4"/>
        <v>14</v>
      </c>
      <c r="W23" s="95">
        <f t="shared" si="4"/>
        <v>15</v>
      </c>
      <c r="X23" s="95">
        <f t="shared" si="4"/>
        <v>16</v>
      </c>
      <c r="Y23" s="95">
        <f t="shared" si="4"/>
        <v>17</v>
      </c>
      <c r="Z23" s="95">
        <f t="shared" si="4"/>
        <v>18</v>
      </c>
      <c r="AA23" s="28"/>
      <c r="AB23" s="10"/>
    </row>
    <row r="24" spans="1:28" x14ac:dyDescent="0.2">
      <c r="A24" s="10"/>
      <c r="B24" s="24"/>
      <c r="C24" s="24" t="s">
        <v>239</v>
      </c>
      <c r="D24" s="24"/>
      <c r="E24" s="24"/>
      <c r="F24" s="24"/>
      <c r="G24" s="25" cm="1">
        <f t="array" ref="G24">IF(G23=0,0,INDEX($G$79:$K$81,MATCH($E$14,$E$79:$E$81,0),MIN(G23,5)))</f>
        <v>0</v>
      </c>
      <c r="H24" s="25" cm="1">
        <f t="array" ref="H24">IF(H23=0,0,INDEX($G$79:$K$81,MATCH($E$14,$E$79:$E$81,0),MIN(H23,5)))</f>
        <v>0</v>
      </c>
      <c r="I24" s="25" cm="1">
        <f t="array" ref="I24">IF(I23=0,0,INDEX($G$79:$K$81,MATCH($E$14,$E$79:$E$81,0),MIN(I23,5)))</f>
        <v>112</v>
      </c>
      <c r="J24" s="25" cm="1">
        <f t="array" ref="J24">IF(J23=0,0,INDEX($G$79:$K$81,MATCH($E$14,$E$79:$E$81,0),MIN(J23,5)))</f>
        <v>142</v>
      </c>
      <c r="K24" s="25" cm="1">
        <f t="array" ref="K24">IF(K23=0,0,INDEX($G$79:$K$81,MATCH($E$14,$E$79:$E$81,0),MIN(K23,5)))</f>
        <v>159</v>
      </c>
      <c r="L24" s="25" cm="1">
        <f t="array" ref="L24">IF(L23=0,0,INDEX($G$79:$K$81,MATCH($E$14,$E$79:$E$81,0),MIN(L23,5)))</f>
        <v>181</v>
      </c>
      <c r="M24" s="25" cm="1">
        <f t="array" ref="M24">IF(M23=0,0,INDEX($G$79:$K$81,MATCH($E$14,$E$79:$E$81,0),MIN(M23,5)))</f>
        <v>202</v>
      </c>
      <c r="N24" s="25" cm="1">
        <f t="array" ref="N24">IF(N23=0,0,INDEX($G$79:$K$81,MATCH($E$14,$E$79:$E$81,0),MIN(N23,5)))</f>
        <v>202</v>
      </c>
      <c r="O24" s="25" cm="1">
        <f t="array" ref="O24">IF(O23=0,0,INDEX($G$79:$K$81,MATCH($E$14,$E$79:$E$81,0),MIN(O23,5)))</f>
        <v>202</v>
      </c>
      <c r="P24" s="25" cm="1">
        <f t="array" ref="P24">IF(P23=0,0,INDEX($G$79:$K$81,MATCH($E$14,$E$79:$E$81,0),MIN(P23,5)))</f>
        <v>202</v>
      </c>
      <c r="Q24" s="25" cm="1">
        <f t="array" ref="Q24">IF(Q23=0,0,INDEX($G$79:$K$81,MATCH($E$14,$E$79:$E$81,0),MIN(Q23,5)))</f>
        <v>202</v>
      </c>
      <c r="R24" s="25" cm="1">
        <f t="array" ref="R24">IF(R23=0,0,INDEX($G$79:$K$81,MATCH($E$14,$E$79:$E$81,0),MIN(R23,5)))</f>
        <v>202</v>
      </c>
      <c r="S24" s="25" cm="1">
        <f t="array" ref="S24">IF(S23=0,0,INDEX($G$79:$K$81,MATCH($E$14,$E$79:$E$81,0),MIN(S23,5)))</f>
        <v>202</v>
      </c>
      <c r="T24" s="25" cm="1">
        <f t="array" ref="T24">IF(T23=0,0,INDEX($G$79:$K$81,MATCH($E$14,$E$79:$E$81,0),MIN(T23,5)))</f>
        <v>202</v>
      </c>
      <c r="U24" s="25" cm="1">
        <f t="array" ref="U24">IF(U23=0,0,INDEX($G$79:$K$81,MATCH($E$14,$E$79:$E$81,0),MIN(U23,5)))</f>
        <v>202</v>
      </c>
      <c r="V24" s="25" cm="1">
        <f t="array" ref="V24">IF(V23=0,0,INDEX($G$79:$K$81,MATCH($E$14,$E$79:$E$81,0),MIN(V23,5)))</f>
        <v>202</v>
      </c>
      <c r="W24" s="25" cm="1">
        <f t="array" ref="W24">IF(W23=0,0,INDEX($G$79:$K$81,MATCH($E$14,$E$79:$E$81,0),MIN(W23,5)))</f>
        <v>202</v>
      </c>
      <c r="X24" s="25" cm="1">
        <f t="array" ref="X24">IF(X23=0,0,INDEX($G$79:$K$81,MATCH($E$14,$E$79:$E$81,0),MIN(X23,5)))</f>
        <v>202</v>
      </c>
      <c r="Y24" s="25" cm="1">
        <f t="array" ref="Y24">IF(Y23=0,0,INDEX($G$79:$K$81,MATCH($E$14,$E$79:$E$81,0),MIN(Y23,5)))</f>
        <v>202</v>
      </c>
      <c r="Z24" s="25" cm="1">
        <f t="array" ref="Z24">IF(Z23=0,0,INDEX($G$79:$K$81,MATCH($E$14,$E$79:$E$81,0),MIN(Z23,5)))</f>
        <v>202</v>
      </c>
      <c r="AA24" s="28"/>
      <c r="AB24" s="10"/>
    </row>
    <row r="25" spans="1:28" x14ac:dyDescent="0.2">
      <c r="A25" s="10"/>
      <c r="B25" s="24"/>
      <c r="C25" s="24" t="s">
        <v>247</v>
      </c>
      <c r="D25" s="24"/>
      <c r="E25" s="24"/>
      <c r="F25" s="24"/>
      <c r="G25" s="93" cm="1">
        <f t="array" ref="G25">IF(G23=0,0,INDEX($G$82:$K$84,MATCH($E$14,$E$79:$E$81,0),MIN(G23,5))/1000*(1+$E$16)^MAX(0,G23-5))</f>
        <v>0</v>
      </c>
      <c r="H25" s="93" cm="1">
        <f t="array" ref="H25">IF(H23=0,0,INDEX($G$82:$K$84,MATCH($E$14,$E$79:$E$81,0),MIN(H23,5))/1000*(1+$E$16)^MAX(0,H23-5))</f>
        <v>0</v>
      </c>
      <c r="I25" s="93" cm="1">
        <f t="array" ref="I25">IF(I23=0,0,INDEX($G$82:$K$84,MATCH($E$14,$E$79:$E$81,0),MIN(I23,5))/1000*(1+$E$16)^MAX(0,I23-5))</f>
        <v>43.811430000000001</v>
      </c>
      <c r="J25" s="93" cm="1">
        <f t="array" ref="J25">IF(J23=0,0,INDEX($G$82:$K$84,MATCH($E$14,$E$79:$E$81,0),MIN(J23,5))/1000*(1+$E$16)^MAX(0,J23-5))</f>
        <v>47.272359999999999</v>
      </c>
      <c r="K25" s="93" cm="1">
        <f t="array" ref="K25">IF(K23=0,0,INDEX($G$82:$K$84,MATCH($E$14,$E$79:$E$81,0),MIN(K23,5))/1000*(1+$E$16)^MAX(0,K23-5))</f>
        <v>51.069830000000003</v>
      </c>
      <c r="L25" s="93" cm="1">
        <f t="array" ref="L25">IF(L23=0,0,INDEX($G$82:$K$84,MATCH($E$14,$E$79:$E$81,0),MIN(L23,5))/1000*(1+$E$16)^MAX(0,L23-5))</f>
        <v>54.85774</v>
      </c>
      <c r="M25" s="93" cm="1">
        <f t="array" ref="M25">IF(M23=0,0,INDEX($G$82:$K$84,MATCH($E$14,$E$79:$E$81,0),MIN(M23,5))/1000*(1+$E$16)^MAX(0,M23-5))</f>
        <v>59.351800000000004</v>
      </c>
      <c r="N25" s="93" cm="1">
        <f t="array" ref="N25">IF(N23=0,0,INDEX($G$82:$K$84,MATCH($E$14,$E$79:$E$81,0),MIN(N23,5))/1000*(1+$E$16)^MAX(0,N23-5))</f>
        <v>59.351800000000004</v>
      </c>
      <c r="O25" s="93" cm="1">
        <f t="array" ref="O25">IF(O23=0,0,INDEX($G$82:$K$84,MATCH($E$14,$E$79:$E$81,0),MIN(O23,5))/1000*(1+$E$16)^MAX(0,O23-5))</f>
        <v>59.351800000000004</v>
      </c>
      <c r="P25" s="93" cm="1">
        <f t="array" ref="P25">IF(P23=0,0,INDEX($G$82:$K$84,MATCH($E$14,$E$79:$E$81,0),MIN(P23,5))/1000*(1+$E$16)^MAX(0,P23-5))</f>
        <v>59.351800000000004</v>
      </c>
      <c r="Q25" s="93" cm="1">
        <f t="array" ref="Q25">IF(Q23=0,0,INDEX($G$82:$K$84,MATCH($E$14,$E$79:$E$81,0),MIN(Q23,5))/1000*(1+$E$16)^MAX(0,Q23-5))</f>
        <v>59.351800000000004</v>
      </c>
      <c r="R25" s="93" cm="1">
        <f t="array" ref="R25">IF(R23=0,0,INDEX($G$82:$K$84,MATCH($E$14,$E$79:$E$81,0),MIN(R23,5))/1000*(1+$E$16)^MAX(0,R23-5))</f>
        <v>59.351800000000004</v>
      </c>
      <c r="S25" s="93" cm="1">
        <f t="array" ref="S25">IF(S23=0,0,INDEX($G$82:$K$84,MATCH($E$14,$E$79:$E$81,0),MIN(S23,5))/1000*(1+$E$16)^MAX(0,S23-5))</f>
        <v>59.351800000000004</v>
      </c>
      <c r="T25" s="93" cm="1">
        <f t="array" ref="T25">IF(T23=0,0,INDEX($G$82:$K$84,MATCH($E$14,$E$79:$E$81,0),MIN(T23,5))/1000*(1+$E$16)^MAX(0,T23-5))</f>
        <v>59.351800000000004</v>
      </c>
      <c r="U25" s="93" cm="1">
        <f t="array" ref="U25">IF(U23=0,0,INDEX($G$82:$K$84,MATCH($E$14,$E$79:$E$81,0),MIN(U23,5))/1000*(1+$E$16)^MAX(0,U23-5))</f>
        <v>59.351800000000004</v>
      </c>
      <c r="V25" s="93" cm="1">
        <f t="array" ref="V25">IF(V23=0,0,INDEX($G$82:$K$84,MATCH($E$14,$E$79:$E$81,0),MIN(V23,5))/1000*(1+$E$16)^MAX(0,V23-5))</f>
        <v>59.351800000000004</v>
      </c>
      <c r="W25" s="93" cm="1">
        <f t="array" ref="W25">IF(W23=0,0,INDEX($G$82:$K$84,MATCH($E$14,$E$79:$E$81,0),MIN(W23,5))/1000*(1+$E$16)^MAX(0,W23-5))</f>
        <v>59.351800000000004</v>
      </c>
      <c r="X25" s="93" cm="1">
        <f t="array" ref="X25">IF(X23=0,0,INDEX($G$82:$K$84,MATCH($E$14,$E$79:$E$81,0),MIN(X23,5))/1000*(1+$E$16)^MAX(0,X23-5))</f>
        <v>59.351800000000004</v>
      </c>
      <c r="Y25" s="93" cm="1">
        <f t="array" ref="Y25">IF(Y23=0,0,INDEX($G$82:$K$84,MATCH($E$14,$E$79:$E$81,0),MIN(Y23,5))/1000*(1+$E$16)^MAX(0,Y23-5))</f>
        <v>59.351800000000004</v>
      </c>
      <c r="Z25" s="93" cm="1">
        <f t="array" ref="Z25">IF(Z23=0,0,INDEX($G$82:$K$84,MATCH($E$14,$E$79:$E$81,0),MIN(Z23,5))/1000*(1+$E$16)^MAX(0,Z23-5))</f>
        <v>59.351800000000004</v>
      </c>
      <c r="AA25" s="28"/>
      <c r="AB25" s="10"/>
    </row>
    <row r="26" spans="1:28" x14ac:dyDescent="0.2">
      <c r="A26" s="10"/>
      <c r="B26" s="24"/>
      <c r="C26" s="24" t="s">
        <v>248</v>
      </c>
      <c r="D26" s="24"/>
      <c r="E26" s="24"/>
      <c r="F26" s="24"/>
      <c r="G26" s="28">
        <f t="shared" ref="G26:Z26" si="5">G24*G25</f>
        <v>0</v>
      </c>
      <c r="H26" s="28">
        <f t="shared" si="5"/>
        <v>0</v>
      </c>
      <c r="I26" s="28">
        <f t="shared" si="5"/>
        <v>4906.8801600000006</v>
      </c>
      <c r="J26" s="28">
        <f t="shared" si="5"/>
        <v>6712.6751199999999</v>
      </c>
      <c r="K26" s="28">
        <f t="shared" si="5"/>
        <v>8120.1029700000008</v>
      </c>
      <c r="L26" s="28">
        <f t="shared" si="5"/>
        <v>9929.2509399999999</v>
      </c>
      <c r="M26" s="28">
        <f t="shared" si="5"/>
        <v>11989.063600000001</v>
      </c>
      <c r="N26" s="28">
        <f t="shared" si="5"/>
        <v>11989.063600000001</v>
      </c>
      <c r="O26" s="28">
        <f t="shared" si="5"/>
        <v>11989.063600000001</v>
      </c>
      <c r="P26" s="28">
        <f t="shared" si="5"/>
        <v>11989.063600000001</v>
      </c>
      <c r="Q26" s="28">
        <f t="shared" si="5"/>
        <v>11989.063600000001</v>
      </c>
      <c r="R26" s="28">
        <f t="shared" si="5"/>
        <v>11989.063600000001</v>
      </c>
      <c r="S26" s="28">
        <f t="shared" si="5"/>
        <v>11989.063600000001</v>
      </c>
      <c r="T26" s="28">
        <f t="shared" si="5"/>
        <v>11989.063600000001</v>
      </c>
      <c r="U26" s="28">
        <f t="shared" si="5"/>
        <v>11989.063600000001</v>
      </c>
      <c r="V26" s="28">
        <f t="shared" si="5"/>
        <v>11989.063600000001</v>
      </c>
      <c r="W26" s="28">
        <f t="shared" si="5"/>
        <v>11989.063600000001</v>
      </c>
      <c r="X26" s="28">
        <f t="shared" si="5"/>
        <v>11989.063600000001</v>
      </c>
      <c r="Y26" s="28">
        <f t="shared" si="5"/>
        <v>11989.063600000001</v>
      </c>
      <c r="Z26" s="28">
        <f t="shared" si="5"/>
        <v>11989.063600000001</v>
      </c>
      <c r="AA26" s="28"/>
      <c r="AB26" s="10"/>
    </row>
    <row r="27" spans="1:28" x14ac:dyDescent="0.2">
      <c r="A27" s="10"/>
      <c r="B27" s="24"/>
      <c r="C27" s="24" t="s">
        <v>249</v>
      </c>
      <c r="D27" s="24"/>
      <c r="E27" s="24"/>
      <c r="F27" s="24"/>
      <c r="G27" s="28" cm="1">
        <f t="array" ref="G27">IF(G23=0,0,INDEX($G$85:$K$87,MATCH($E$14,$E$79:$E$81,0),MIN(G23,5))/1000*(1+$E$16)^MAX(0,G23-5))</f>
        <v>0</v>
      </c>
      <c r="H27" s="28" cm="1">
        <f t="array" ref="H27">IF(H23=0,0,INDEX($G$85:$K$87,MATCH($E$14,$E$79:$E$81,0),MIN(H23,5))/1000*(1+$E$16)^MAX(0,H23-5))</f>
        <v>0</v>
      </c>
      <c r="I27" s="28" cm="1">
        <f t="array" ref="I27">IF(I23=0,0,INDEX($G$85:$K$87,MATCH($E$14,$E$79:$E$81,0),MIN(I23,5))/1000*(1+$E$16)^MAX(0,I23-5))</f>
        <v>1341.7541000000001</v>
      </c>
      <c r="J27" s="28" cm="1">
        <f t="array" ref="J27">IF(J23=0,0,INDEX($G$85:$K$87,MATCH($E$14,$E$79:$E$81,0),MIN(J23,5))/1000*(1+$E$16)^MAX(0,J23-5))</f>
        <v>1720.0938000000001</v>
      </c>
      <c r="K27" s="28" cm="1">
        <f t="array" ref="K27">IF(K23=0,0,INDEX($G$85:$K$87,MATCH($E$14,$E$79:$E$81,0),MIN(K23,5))/1000*(1+$E$16)^MAX(0,K23-5))</f>
        <v>1964.0082</v>
      </c>
      <c r="L27" s="28" cm="1">
        <f t="array" ref="L27">IF(L23=0,0,INDEX($G$85:$K$87,MATCH($E$14,$E$79:$E$81,0),MIN(L23,5))/1000*(1+$E$16)^MAX(0,L23-5))</f>
        <v>2228.67337</v>
      </c>
      <c r="M27" s="28" cm="1">
        <f t="array" ref="M27">IF(M23=0,0,INDEX($G$85:$K$87,MATCH($E$14,$E$79:$E$81,0),MIN(M23,5))/1000*(1+$E$16)^MAX(0,M23-5))</f>
        <v>2482.2133100000001</v>
      </c>
      <c r="N27" s="28" cm="1">
        <f t="array" ref="N27">IF(N23=0,0,INDEX($G$85:$K$87,MATCH($E$14,$E$79:$E$81,0),MIN(N23,5))/1000*(1+$E$16)^MAX(0,N23-5))</f>
        <v>2482.2133100000001</v>
      </c>
      <c r="O27" s="28" cm="1">
        <f t="array" ref="O27">IF(O23=0,0,INDEX($G$85:$K$87,MATCH($E$14,$E$79:$E$81,0),MIN(O23,5))/1000*(1+$E$16)^MAX(0,O23-5))</f>
        <v>2482.2133100000001</v>
      </c>
      <c r="P27" s="28" cm="1">
        <f t="array" ref="P27">IF(P23=0,0,INDEX($G$85:$K$87,MATCH($E$14,$E$79:$E$81,0),MIN(P23,5))/1000*(1+$E$16)^MAX(0,P23-5))</f>
        <v>2482.2133100000001</v>
      </c>
      <c r="Q27" s="28" cm="1">
        <f t="array" ref="Q27">IF(Q23=0,0,INDEX($G$85:$K$87,MATCH($E$14,$E$79:$E$81,0),MIN(Q23,5))/1000*(1+$E$16)^MAX(0,Q23-5))</f>
        <v>2482.2133100000001</v>
      </c>
      <c r="R27" s="28" cm="1">
        <f t="array" ref="R27">IF(R23=0,0,INDEX($G$85:$K$87,MATCH($E$14,$E$79:$E$81,0),MIN(R23,5))/1000*(1+$E$16)^MAX(0,R23-5))</f>
        <v>2482.2133100000001</v>
      </c>
      <c r="S27" s="28" cm="1">
        <f t="array" ref="S27">IF(S23=0,0,INDEX($G$85:$K$87,MATCH($E$14,$E$79:$E$81,0),MIN(S23,5))/1000*(1+$E$16)^MAX(0,S23-5))</f>
        <v>2482.2133100000001</v>
      </c>
      <c r="T27" s="28" cm="1">
        <f t="array" ref="T27">IF(T23=0,0,INDEX($G$85:$K$87,MATCH($E$14,$E$79:$E$81,0),MIN(T23,5))/1000*(1+$E$16)^MAX(0,T23-5))</f>
        <v>2482.2133100000001</v>
      </c>
      <c r="U27" s="28" cm="1">
        <f t="array" ref="U27">IF(U23=0,0,INDEX($G$85:$K$87,MATCH($E$14,$E$79:$E$81,0),MIN(U23,5))/1000*(1+$E$16)^MAX(0,U23-5))</f>
        <v>2482.2133100000001</v>
      </c>
      <c r="V27" s="28" cm="1">
        <f t="array" ref="V27">IF(V23=0,0,INDEX($G$85:$K$87,MATCH($E$14,$E$79:$E$81,0),MIN(V23,5))/1000*(1+$E$16)^MAX(0,V23-5))</f>
        <v>2482.2133100000001</v>
      </c>
      <c r="W27" s="28" cm="1">
        <f t="array" ref="W27">IF(W23=0,0,INDEX($G$85:$K$87,MATCH($E$14,$E$79:$E$81,0),MIN(W23,5))/1000*(1+$E$16)^MAX(0,W23-5))</f>
        <v>2482.2133100000001</v>
      </c>
      <c r="X27" s="28" cm="1">
        <f t="array" ref="X27">IF(X23=0,0,INDEX($G$85:$K$87,MATCH($E$14,$E$79:$E$81,0),MIN(X23,5))/1000*(1+$E$16)^MAX(0,X23-5))</f>
        <v>2482.2133100000001</v>
      </c>
      <c r="Y27" s="28" cm="1">
        <f t="array" ref="Y27">IF(Y23=0,0,INDEX($G$85:$K$87,MATCH($E$14,$E$79:$E$81,0),MIN(Y23,5))/1000*(1+$E$16)^MAX(0,Y23-5))</f>
        <v>2482.2133100000001</v>
      </c>
      <c r="Z27" s="28" cm="1">
        <f t="array" ref="Z27">IF(Z23=0,0,INDEX($G$85:$K$87,MATCH($E$14,$E$79:$E$81,0),MIN(Z23,5))/1000*(1+$E$16)^MAX(0,Z23-5))</f>
        <v>2482.2133100000001</v>
      </c>
      <c r="AA27" s="28"/>
      <c r="AB27" s="10"/>
    </row>
    <row r="28" spans="1:28" x14ac:dyDescent="0.2">
      <c r="A28" s="10"/>
      <c r="B28" s="98"/>
      <c r="C28" s="98" t="s">
        <v>3</v>
      </c>
      <c r="D28" s="98"/>
      <c r="E28" s="98"/>
      <c r="F28" s="98"/>
      <c r="G28" s="99">
        <f t="shared" ref="G28:Z28" si="6">G26+G27</f>
        <v>0</v>
      </c>
      <c r="H28" s="99">
        <f t="shared" si="6"/>
        <v>0</v>
      </c>
      <c r="I28" s="99">
        <f t="shared" si="6"/>
        <v>6248.6342600000007</v>
      </c>
      <c r="J28" s="99">
        <f t="shared" si="6"/>
        <v>8432.7689200000004</v>
      </c>
      <c r="K28" s="99">
        <f t="shared" si="6"/>
        <v>10084.11117</v>
      </c>
      <c r="L28" s="99">
        <f t="shared" si="6"/>
        <v>12157.92431</v>
      </c>
      <c r="M28" s="99">
        <f t="shared" si="6"/>
        <v>14471.27691</v>
      </c>
      <c r="N28" s="99">
        <f t="shared" si="6"/>
        <v>14471.27691</v>
      </c>
      <c r="O28" s="99">
        <f t="shared" si="6"/>
        <v>14471.27691</v>
      </c>
      <c r="P28" s="99">
        <f t="shared" si="6"/>
        <v>14471.27691</v>
      </c>
      <c r="Q28" s="99">
        <f t="shared" si="6"/>
        <v>14471.27691</v>
      </c>
      <c r="R28" s="99">
        <f t="shared" si="6"/>
        <v>14471.27691</v>
      </c>
      <c r="S28" s="99">
        <f t="shared" si="6"/>
        <v>14471.27691</v>
      </c>
      <c r="T28" s="99">
        <f t="shared" si="6"/>
        <v>14471.27691</v>
      </c>
      <c r="U28" s="99">
        <f t="shared" si="6"/>
        <v>14471.27691</v>
      </c>
      <c r="V28" s="99">
        <f t="shared" si="6"/>
        <v>14471.27691</v>
      </c>
      <c r="W28" s="99">
        <f t="shared" si="6"/>
        <v>14471.27691</v>
      </c>
      <c r="X28" s="99">
        <f t="shared" si="6"/>
        <v>14471.27691</v>
      </c>
      <c r="Y28" s="99">
        <f t="shared" si="6"/>
        <v>14471.27691</v>
      </c>
      <c r="Z28" s="99">
        <f t="shared" si="6"/>
        <v>14471.27691</v>
      </c>
      <c r="AA28" s="99"/>
      <c r="AB28" s="10"/>
    </row>
    <row r="29" spans="1:28" x14ac:dyDescent="0.2">
      <c r="A29" s="10"/>
      <c r="B29" s="24"/>
      <c r="C29" s="24" t="s">
        <v>250</v>
      </c>
      <c r="D29" s="24"/>
      <c r="E29" s="24"/>
      <c r="F29" s="24"/>
      <c r="G29" s="28" cm="1">
        <f t="array" ref="G29">IF(G23=0,0,INDEX($G$88:$K$90,MATCH($E$14,$E$79:$E$81,0),MIN(G23,5))/1000*(1+$E$16)^MAX(0,G23-5))</f>
        <v>0</v>
      </c>
      <c r="H29" s="28" cm="1">
        <f t="array" ref="H29">IF(H23=0,0,INDEX($G$88:$K$90,MATCH($E$14,$E$79:$E$81,0),MIN(H23,5))/1000*(1+$E$16)^MAX(0,H23-5))</f>
        <v>0</v>
      </c>
      <c r="I29" s="28" cm="1">
        <f t="array" ref="I29">IF(I23=0,0,INDEX($G$88:$K$90,MATCH($E$14,$E$79:$E$81,0),MIN(I23,5))/1000*(1+$E$16)^MAX(0,I23-5))</f>
        <v>-3588.6817299999998</v>
      </c>
      <c r="J29" s="28" cm="1">
        <f t="array" ref="J29">IF(J23=0,0,INDEX($G$88:$K$90,MATCH($E$14,$E$79:$E$81,0),MIN(J23,5))/1000*(1+$E$16)^MAX(0,J23-5))</f>
        <v>-4454.5042800000001</v>
      </c>
      <c r="K29" s="28" cm="1">
        <f t="array" ref="K29">IF(K23=0,0,INDEX($G$88:$K$90,MATCH($E$14,$E$79:$E$81,0),MIN(K23,5))/1000*(1+$E$16)^MAX(0,K23-5))</f>
        <v>-5088.3074999999999</v>
      </c>
      <c r="L29" s="28" cm="1">
        <f t="array" ref="L29">IF(L23=0,0,INDEX($G$88:$K$90,MATCH($E$14,$E$79:$E$81,0),MIN(L23,5))/1000*(1+$E$16)^MAX(0,L23-5))</f>
        <v>-5874.9866300000003</v>
      </c>
      <c r="M29" s="28" cm="1">
        <f t="array" ref="M29">IF(M23=0,0,INDEX($G$88:$K$90,MATCH($E$14,$E$79:$E$81,0),MIN(M23,5))/1000*(1+$E$16)^MAX(0,M23-5))</f>
        <v>-6737.8149100000001</v>
      </c>
      <c r="N29" s="28" cm="1">
        <f t="array" ref="N29">IF(N23=0,0,INDEX($G$88:$K$90,MATCH($E$14,$E$79:$E$81,0),MIN(N23,5))/1000*(1+$E$16)^MAX(0,N23-5))</f>
        <v>-6737.8149100000001</v>
      </c>
      <c r="O29" s="28" cm="1">
        <f t="array" ref="O29">IF(O23=0,0,INDEX($G$88:$K$90,MATCH($E$14,$E$79:$E$81,0),MIN(O23,5))/1000*(1+$E$16)^MAX(0,O23-5))</f>
        <v>-6737.8149100000001</v>
      </c>
      <c r="P29" s="28" cm="1">
        <f t="array" ref="P29">IF(P23=0,0,INDEX($G$88:$K$90,MATCH($E$14,$E$79:$E$81,0),MIN(P23,5))/1000*(1+$E$16)^MAX(0,P23-5))</f>
        <v>-6737.8149100000001</v>
      </c>
      <c r="Q29" s="28" cm="1">
        <f t="array" ref="Q29">IF(Q23=0,0,INDEX($G$88:$K$90,MATCH($E$14,$E$79:$E$81,0),MIN(Q23,5))/1000*(1+$E$16)^MAX(0,Q23-5))</f>
        <v>-6737.8149100000001</v>
      </c>
      <c r="R29" s="28" cm="1">
        <f t="array" ref="R29">IF(R23=0,0,INDEX($G$88:$K$90,MATCH($E$14,$E$79:$E$81,0),MIN(R23,5))/1000*(1+$E$16)^MAX(0,R23-5))</f>
        <v>-6737.8149100000001</v>
      </c>
      <c r="S29" s="28" cm="1">
        <f t="array" ref="S29">IF(S23=0,0,INDEX($G$88:$K$90,MATCH($E$14,$E$79:$E$81,0),MIN(S23,5))/1000*(1+$E$16)^MAX(0,S23-5))</f>
        <v>-6737.8149100000001</v>
      </c>
      <c r="T29" s="28" cm="1">
        <f t="array" ref="T29">IF(T23=0,0,INDEX($G$88:$K$90,MATCH($E$14,$E$79:$E$81,0),MIN(T23,5))/1000*(1+$E$16)^MAX(0,T23-5))</f>
        <v>-6737.8149100000001</v>
      </c>
      <c r="U29" s="28" cm="1">
        <f t="array" ref="U29">IF(U23=0,0,INDEX($G$88:$K$90,MATCH($E$14,$E$79:$E$81,0),MIN(U23,5))/1000*(1+$E$16)^MAX(0,U23-5))</f>
        <v>-6737.8149100000001</v>
      </c>
      <c r="V29" s="28" cm="1">
        <f t="array" ref="V29">IF(V23=0,0,INDEX($G$88:$K$90,MATCH($E$14,$E$79:$E$81,0),MIN(V23,5))/1000*(1+$E$16)^MAX(0,V23-5))</f>
        <v>-6737.8149100000001</v>
      </c>
      <c r="W29" s="28" cm="1">
        <f t="array" ref="W29">IF(W23=0,0,INDEX($G$88:$K$90,MATCH($E$14,$E$79:$E$81,0),MIN(W23,5))/1000*(1+$E$16)^MAX(0,W23-5))</f>
        <v>-6737.8149100000001</v>
      </c>
      <c r="X29" s="28" cm="1">
        <f t="array" ref="X29">IF(X23=0,0,INDEX($G$88:$K$90,MATCH($E$14,$E$79:$E$81,0),MIN(X23,5))/1000*(1+$E$16)^MAX(0,X23-5))</f>
        <v>-6737.8149100000001</v>
      </c>
      <c r="Y29" s="28" cm="1">
        <f t="array" ref="Y29">IF(Y23=0,0,INDEX($G$88:$K$90,MATCH($E$14,$E$79:$E$81,0),MIN(Y23,5))/1000*(1+$E$16)^MAX(0,Y23-5))</f>
        <v>-6737.8149100000001</v>
      </c>
      <c r="Z29" s="28" cm="1">
        <f t="array" ref="Z29">IF(Z23=0,0,INDEX($G$88:$K$90,MATCH($E$14,$E$79:$E$81,0),MIN(Z23,5))/1000*(1+$E$16)^MAX(0,Z23-5))</f>
        <v>-6737.8149100000001</v>
      </c>
      <c r="AA29" s="28"/>
      <c r="AB29" s="10"/>
    </row>
    <row r="30" spans="1:28" x14ac:dyDescent="0.2">
      <c r="A30" s="10"/>
      <c r="B30" s="24"/>
      <c r="C30" s="96" t="s">
        <v>251</v>
      </c>
      <c r="D30" s="96"/>
      <c r="E30" s="96"/>
      <c r="F30" s="96"/>
      <c r="G30" s="97">
        <f t="shared" ref="G30:Z30" si="7">IFERROR(G31/G28,0)</f>
        <v>0</v>
      </c>
      <c r="H30" s="97">
        <f t="shared" si="7"/>
        <v>0</v>
      </c>
      <c r="I30" s="97">
        <f t="shared" si="7"/>
        <v>0.42568542489795214</v>
      </c>
      <c r="J30" s="97">
        <f t="shared" si="7"/>
        <v>0.47176255838871012</v>
      </c>
      <c r="K30" s="97">
        <f t="shared" si="7"/>
        <v>0.49541338703825499</v>
      </c>
      <c r="L30" s="97">
        <f t="shared" si="7"/>
        <v>0.51677716687479525</v>
      </c>
      <c r="M30" s="97">
        <f t="shared" si="7"/>
        <v>0.53440080292126757</v>
      </c>
      <c r="N30" s="97">
        <f t="shared" si="7"/>
        <v>0.53440080292126757</v>
      </c>
      <c r="O30" s="97">
        <f t="shared" si="7"/>
        <v>0.53440080292126757</v>
      </c>
      <c r="P30" s="97">
        <f t="shared" si="7"/>
        <v>0.53440080292126757</v>
      </c>
      <c r="Q30" s="97">
        <f t="shared" si="7"/>
        <v>0.53440080292126757</v>
      </c>
      <c r="R30" s="97">
        <f t="shared" si="7"/>
        <v>0.53440080292126757</v>
      </c>
      <c r="S30" s="97">
        <f t="shared" si="7"/>
        <v>0.53440080292126757</v>
      </c>
      <c r="T30" s="97">
        <f t="shared" si="7"/>
        <v>0.53440080292126757</v>
      </c>
      <c r="U30" s="97">
        <f t="shared" si="7"/>
        <v>0.53440080292126757</v>
      </c>
      <c r="V30" s="97">
        <f t="shared" si="7"/>
        <v>0.53440080292126757</v>
      </c>
      <c r="W30" s="97">
        <f t="shared" si="7"/>
        <v>0.53440080292126757</v>
      </c>
      <c r="X30" s="97">
        <f t="shared" si="7"/>
        <v>0.53440080292126757</v>
      </c>
      <c r="Y30" s="97">
        <f t="shared" si="7"/>
        <v>0.53440080292126757</v>
      </c>
      <c r="Z30" s="97">
        <f t="shared" si="7"/>
        <v>0.53440080292126757</v>
      </c>
      <c r="AA30" s="28"/>
      <c r="AB30" s="10"/>
    </row>
    <row r="31" spans="1:28" x14ac:dyDescent="0.2">
      <c r="A31" s="10"/>
      <c r="B31" s="49"/>
      <c r="C31" s="49" t="s">
        <v>252</v>
      </c>
      <c r="D31" s="49"/>
      <c r="E31" s="49"/>
      <c r="F31" s="49"/>
      <c r="G31" s="100">
        <f t="shared" ref="G31:Z31" si="8">G28+G29</f>
        <v>0</v>
      </c>
      <c r="H31" s="100">
        <f t="shared" si="8"/>
        <v>0</v>
      </c>
      <c r="I31" s="100">
        <f t="shared" si="8"/>
        <v>2659.9525300000009</v>
      </c>
      <c r="J31" s="100">
        <f t="shared" si="8"/>
        <v>3978.2646400000003</v>
      </c>
      <c r="K31" s="100">
        <f t="shared" si="8"/>
        <v>4995.8036700000002</v>
      </c>
      <c r="L31" s="100">
        <f t="shared" si="8"/>
        <v>6282.93768</v>
      </c>
      <c r="M31" s="100">
        <f t="shared" si="8"/>
        <v>7733.4620000000004</v>
      </c>
      <c r="N31" s="100">
        <f t="shared" si="8"/>
        <v>7733.4620000000004</v>
      </c>
      <c r="O31" s="100">
        <f t="shared" si="8"/>
        <v>7733.4620000000004</v>
      </c>
      <c r="P31" s="100">
        <f t="shared" si="8"/>
        <v>7733.4620000000004</v>
      </c>
      <c r="Q31" s="100">
        <f t="shared" si="8"/>
        <v>7733.4620000000004</v>
      </c>
      <c r="R31" s="100">
        <f t="shared" si="8"/>
        <v>7733.4620000000004</v>
      </c>
      <c r="S31" s="100">
        <f t="shared" si="8"/>
        <v>7733.4620000000004</v>
      </c>
      <c r="T31" s="100">
        <f t="shared" si="8"/>
        <v>7733.4620000000004</v>
      </c>
      <c r="U31" s="100">
        <f t="shared" si="8"/>
        <v>7733.4620000000004</v>
      </c>
      <c r="V31" s="100">
        <f t="shared" si="8"/>
        <v>7733.4620000000004</v>
      </c>
      <c r="W31" s="100">
        <f t="shared" si="8"/>
        <v>7733.4620000000004</v>
      </c>
      <c r="X31" s="100">
        <f t="shared" si="8"/>
        <v>7733.4620000000004</v>
      </c>
      <c r="Y31" s="100">
        <f t="shared" si="8"/>
        <v>7733.4620000000004</v>
      </c>
      <c r="Z31" s="100">
        <f t="shared" si="8"/>
        <v>7733.4620000000004</v>
      </c>
      <c r="AA31" s="50"/>
      <c r="AB31" s="10"/>
    </row>
    <row r="32" spans="1:28" x14ac:dyDescent="0.2">
      <c r="A32" s="10"/>
      <c r="B32" s="10"/>
      <c r="C32" s="10"/>
      <c r="D32" s="10"/>
      <c r="E32" s="10"/>
      <c r="F32" s="10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0"/>
    </row>
    <row r="33" spans="1:28" x14ac:dyDescent="0.2">
      <c r="A33" s="10"/>
      <c r="B33" s="24" t="s">
        <v>15</v>
      </c>
      <c r="C33" s="24"/>
      <c r="D33" s="24"/>
      <c r="E33" s="24"/>
      <c r="F33" s="24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10"/>
    </row>
    <row r="34" spans="1:28" x14ac:dyDescent="0.2">
      <c r="A34" s="10"/>
      <c r="B34" s="10"/>
      <c r="C34" s="10" t="s">
        <v>113</v>
      </c>
      <c r="D34" s="10"/>
      <c r="E34" s="10"/>
      <c r="F34" s="10"/>
      <c r="G34" s="12">
        <f t="shared" ref="G34:Z34" si="9">G31</f>
        <v>0</v>
      </c>
      <c r="H34" s="12">
        <f t="shared" si="9"/>
        <v>0</v>
      </c>
      <c r="I34" s="12">
        <f t="shared" si="9"/>
        <v>2659.9525300000009</v>
      </c>
      <c r="J34" s="12">
        <f t="shared" si="9"/>
        <v>3978.2646400000003</v>
      </c>
      <c r="K34" s="12">
        <f t="shared" si="9"/>
        <v>4995.8036700000002</v>
      </c>
      <c r="L34" s="12">
        <f t="shared" si="9"/>
        <v>6282.93768</v>
      </c>
      <c r="M34" s="12">
        <f t="shared" si="9"/>
        <v>7733.4620000000004</v>
      </c>
      <c r="N34" s="12">
        <f t="shared" si="9"/>
        <v>7733.4620000000004</v>
      </c>
      <c r="O34" s="12">
        <f t="shared" si="9"/>
        <v>7733.4620000000004</v>
      </c>
      <c r="P34" s="12">
        <f t="shared" si="9"/>
        <v>7733.4620000000004</v>
      </c>
      <c r="Q34" s="12">
        <f t="shared" si="9"/>
        <v>7733.4620000000004</v>
      </c>
      <c r="R34" s="12">
        <f t="shared" si="9"/>
        <v>7733.4620000000004</v>
      </c>
      <c r="S34" s="12">
        <f t="shared" si="9"/>
        <v>7733.4620000000004</v>
      </c>
      <c r="T34" s="12">
        <f t="shared" si="9"/>
        <v>7733.4620000000004</v>
      </c>
      <c r="U34" s="12">
        <f t="shared" si="9"/>
        <v>7733.4620000000004</v>
      </c>
      <c r="V34" s="12">
        <f t="shared" si="9"/>
        <v>7733.4620000000004</v>
      </c>
      <c r="W34" s="12">
        <f t="shared" si="9"/>
        <v>7733.4620000000004</v>
      </c>
      <c r="X34" s="12">
        <f t="shared" si="9"/>
        <v>7733.4620000000004</v>
      </c>
      <c r="Y34" s="12">
        <f t="shared" si="9"/>
        <v>7733.4620000000004</v>
      </c>
      <c r="Z34" s="12">
        <f t="shared" si="9"/>
        <v>7733.4620000000004</v>
      </c>
      <c r="AA34" s="12"/>
      <c r="AB34" s="10"/>
    </row>
    <row r="35" spans="1:28" x14ac:dyDescent="0.2">
      <c r="A35" s="10"/>
      <c r="B35" s="10"/>
      <c r="C35" s="10" t="s">
        <v>110</v>
      </c>
      <c r="D35" s="10"/>
      <c r="E35" s="10"/>
      <c r="F35" s="10"/>
      <c r="G35" s="12">
        <f t="shared" ref="G35:Z35" si="10">-G20</f>
        <v>0</v>
      </c>
      <c r="H35" s="12">
        <f t="shared" si="10"/>
        <v>-16640</v>
      </c>
      <c r="I35" s="12">
        <f t="shared" si="10"/>
        <v>0</v>
      </c>
      <c r="J35" s="12">
        <f t="shared" si="10"/>
        <v>0</v>
      </c>
      <c r="K35" s="12">
        <f t="shared" si="10"/>
        <v>0</v>
      </c>
      <c r="L35" s="12">
        <f t="shared" si="10"/>
        <v>0</v>
      </c>
      <c r="M35" s="12">
        <f t="shared" si="10"/>
        <v>0</v>
      </c>
      <c r="N35" s="12">
        <f t="shared" si="10"/>
        <v>0</v>
      </c>
      <c r="O35" s="12">
        <f t="shared" si="10"/>
        <v>0</v>
      </c>
      <c r="P35" s="12">
        <f t="shared" si="10"/>
        <v>0</v>
      </c>
      <c r="Q35" s="12">
        <f t="shared" si="10"/>
        <v>0</v>
      </c>
      <c r="R35" s="12">
        <f t="shared" si="10"/>
        <v>0</v>
      </c>
      <c r="S35" s="12">
        <f t="shared" si="10"/>
        <v>0</v>
      </c>
      <c r="T35" s="12">
        <f t="shared" si="10"/>
        <v>0</v>
      </c>
      <c r="U35" s="12">
        <f t="shared" si="10"/>
        <v>0</v>
      </c>
      <c r="V35" s="12">
        <f t="shared" si="10"/>
        <v>0</v>
      </c>
      <c r="W35" s="12">
        <f t="shared" si="10"/>
        <v>0</v>
      </c>
      <c r="X35" s="12">
        <f t="shared" si="10"/>
        <v>0</v>
      </c>
      <c r="Y35" s="12">
        <f t="shared" si="10"/>
        <v>0</v>
      </c>
      <c r="Z35" s="12">
        <f t="shared" si="10"/>
        <v>0</v>
      </c>
      <c r="AA35" s="12"/>
      <c r="AB35" s="10"/>
    </row>
    <row r="36" spans="1:28" x14ac:dyDescent="0.2">
      <c r="A36" s="10"/>
      <c r="B36" s="31" t="s">
        <v>22</v>
      </c>
      <c r="C36" s="31"/>
      <c r="D36" s="31"/>
      <c r="E36" s="31"/>
      <c r="F36" s="31"/>
      <c r="G36" s="32">
        <f t="shared" ref="G36:Z36" si="11">G34+G35</f>
        <v>0</v>
      </c>
      <c r="H36" s="32">
        <f t="shared" si="11"/>
        <v>-16640</v>
      </c>
      <c r="I36" s="32">
        <f t="shared" si="11"/>
        <v>2659.9525300000009</v>
      </c>
      <c r="J36" s="32">
        <f t="shared" si="11"/>
        <v>3978.2646400000003</v>
      </c>
      <c r="K36" s="32">
        <f t="shared" si="11"/>
        <v>4995.8036700000002</v>
      </c>
      <c r="L36" s="32">
        <f t="shared" si="11"/>
        <v>6282.93768</v>
      </c>
      <c r="M36" s="32">
        <f t="shared" si="11"/>
        <v>7733.4620000000004</v>
      </c>
      <c r="N36" s="32">
        <f t="shared" si="11"/>
        <v>7733.4620000000004</v>
      </c>
      <c r="O36" s="32">
        <f t="shared" si="11"/>
        <v>7733.4620000000004</v>
      </c>
      <c r="P36" s="32">
        <f t="shared" si="11"/>
        <v>7733.4620000000004</v>
      </c>
      <c r="Q36" s="32">
        <f t="shared" si="11"/>
        <v>7733.4620000000004</v>
      </c>
      <c r="R36" s="32">
        <f t="shared" si="11"/>
        <v>7733.4620000000004</v>
      </c>
      <c r="S36" s="32">
        <f t="shared" si="11"/>
        <v>7733.4620000000004</v>
      </c>
      <c r="T36" s="32">
        <f t="shared" si="11"/>
        <v>7733.4620000000004</v>
      </c>
      <c r="U36" s="32">
        <f t="shared" si="11"/>
        <v>7733.4620000000004</v>
      </c>
      <c r="V36" s="32">
        <f t="shared" si="11"/>
        <v>7733.4620000000004</v>
      </c>
      <c r="W36" s="32">
        <f t="shared" si="11"/>
        <v>7733.4620000000004</v>
      </c>
      <c r="X36" s="32">
        <f t="shared" si="11"/>
        <v>7733.4620000000004</v>
      </c>
      <c r="Y36" s="32">
        <f t="shared" si="11"/>
        <v>7733.4620000000004</v>
      </c>
      <c r="Z36" s="32">
        <f t="shared" si="11"/>
        <v>7733.4620000000004</v>
      </c>
      <c r="AA36" s="32">
        <f>Z36/$E$12</f>
        <v>77334.62</v>
      </c>
      <c r="AB36" s="10"/>
    </row>
    <row r="37" spans="1:28" x14ac:dyDescent="0.2">
      <c r="A37" s="10"/>
      <c r="B37" s="10"/>
      <c r="C37" s="10" t="s">
        <v>101</v>
      </c>
      <c r="D37" s="10"/>
      <c r="E37" s="10"/>
      <c r="F37" s="10"/>
      <c r="G37" s="12">
        <f>G36</f>
        <v>0</v>
      </c>
      <c r="H37" s="12">
        <f t="shared" ref="H37:AA37" si="12">G37+H36</f>
        <v>-16640</v>
      </c>
      <c r="I37" s="12">
        <f t="shared" si="12"/>
        <v>-13980.04747</v>
      </c>
      <c r="J37" s="12">
        <f t="shared" si="12"/>
        <v>-10001.78283</v>
      </c>
      <c r="K37" s="12">
        <f t="shared" si="12"/>
        <v>-5005.9791599999999</v>
      </c>
      <c r="L37" s="12">
        <f t="shared" si="12"/>
        <v>1276.9585200000001</v>
      </c>
      <c r="M37" s="12">
        <f t="shared" si="12"/>
        <v>9010.4205199999997</v>
      </c>
      <c r="N37" s="12">
        <f t="shared" si="12"/>
        <v>16743.882519999999</v>
      </c>
      <c r="O37" s="12">
        <f t="shared" si="12"/>
        <v>24477.344519999999</v>
      </c>
      <c r="P37" s="12">
        <f t="shared" si="12"/>
        <v>32210.806519999998</v>
      </c>
      <c r="Q37" s="12">
        <f t="shared" si="12"/>
        <v>39944.268519999998</v>
      </c>
      <c r="R37" s="12">
        <f t="shared" si="12"/>
        <v>47677.730519999997</v>
      </c>
      <c r="S37" s="12">
        <f t="shared" si="12"/>
        <v>55411.192519999997</v>
      </c>
      <c r="T37" s="12">
        <f t="shared" si="12"/>
        <v>63144.654519999996</v>
      </c>
      <c r="U37" s="12">
        <f t="shared" si="12"/>
        <v>70878.116519999996</v>
      </c>
      <c r="V37" s="12">
        <f t="shared" si="12"/>
        <v>78611.578519999995</v>
      </c>
      <c r="W37" s="12">
        <f t="shared" si="12"/>
        <v>86345.040519999995</v>
      </c>
      <c r="X37" s="12">
        <f t="shared" si="12"/>
        <v>94078.502519999995</v>
      </c>
      <c r="Y37" s="12">
        <f t="shared" si="12"/>
        <v>101811.96451999999</v>
      </c>
      <c r="Z37" s="12">
        <f t="shared" si="12"/>
        <v>109545.42651999999</v>
      </c>
      <c r="AA37" s="12">
        <f t="shared" si="12"/>
        <v>186880.04651999997</v>
      </c>
      <c r="AB37" s="10"/>
    </row>
    <row r="38" spans="1:28" x14ac:dyDescent="0.2">
      <c r="A38" s="10"/>
      <c r="B38" s="10"/>
      <c r="C38" s="10"/>
      <c r="D38" s="10"/>
      <c r="E38" s="10"/>
      <c r="F38" s="10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0"/>
    </row>
    <row r="39" spans="1:28" x14ac:dyDescent="0.2">
      <c r="A39" s="10"/>
      <c r="B39" s="24" t="s">
        <v>142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10"/>
    </row>
    <row r="40" spans="1:28" x14ac:dyDescent="0.2">
      <c r="A40" s="10"/>
      <c r="B40" s="10"/>
      <c r="C40" s="23" t="s">
        <v>143</v>
      </c>
      <c r="D40" s="23"/>
      <c r="E40" s="23"/>
      <c r="F40" s="23"/>
      <c r="G40" s="66">
        <f>G36</f>
        <v>0</v>
      </c>
      <c r="H40" s="66">
        <f t="shared" ref="H40:Z40" si="13">G40+H36</f>
        <v>-16640</v>
      </c>
      <c r="I40" s="66">
        <f t="shared" si="13"/>
        <v>-13980.04747</v>
      </c>
      <c r="J40" s="66">
        <f t="shared" si="13"/>
        <v>-10001.78283</v>
      </c>
      <c r="K40" s="66">
        <f t="shared" si="13"/>
        <v>-5005.9791599999999</v>
      </c>
      <c r="L40" s="66">
        <f t="shared" si="13"/>
        <v>1276.9585200000001</v>
      </c>
      <c r="M40" s="66">
        <f t="shared" si="13"/>
        <v>9010.4205199999997</v>
      </c>
      <c r="N40" s="66">
        <f t="shared" si="13"/>
        <v>16743.882519999999</v>
      </c>
      <c r="O40" s="66">
        <f t="shared" si="13"/>
        <v>24477.344519999999</v>
      </c>
      <c r="P40" s="66">
        <f t="shared" si="13"/>
        <v>32210.806519999998</v>
      </c>
      <c r="Q40" s="66">
        <f t="shared" si="13"/>
        <v>39944.268519999998</v>
      </c>
      <c r="R40" s="66">
        <f t="shared" si="13"/>
        <v>47677.730519999997</v>
      </c>
      <c r="S40" s="66">
        <f t="shared" si="13"/>
        <v>55411.192519999997</v>
      </c>
      <c r="T40" s="66">
        <f t="shared" si="13"/>
        <v>63144.654519999996</v>
      </c>
      <c r="U40" s="66">
        <f t="shared" si="13"/>
        <v>70878.116519999996</v>
      </c>
      <c r="V40" s="66">
        <f t="shared" si="13"/>
        <v>78611.578519999995</v>
      </c>
      <c r="W40" s="66">
        <f t="shared" si="13"/>
        <v>86345.040519999995</v>
      </c>
      <c r="X40" s="66">
        <f t="shared" si="13"/>
        <v>94078.502519999995</v>
      </c>
      <c r="Y40" s="66">
        <f t="shared" si="13"/>
        <v>101811.96451999999</v>
      </c>
      <c r="Z40" s="66">
        <f t="shared" si="13"/>
        <v>109545.42651999999</v>
      </c>
      <c r="AA40" s="66"/>
      <c r="AB40" s="10"/>
    </row>
    <row r="41" spans="1:28" x14ac:dyDescent="0.2">
      <c r="A41" s="10"/>
      <c r="B41" s="10"/>
      <c r="C41" s="23" t="s">
        <v>144</v>
      </c>
      <c r="D41" s="23"/>
      <c r="E41" s="23"/>
      <c r="F41" s="23"/>
      <c r="G41" s="67">
        <f t="shared" ref="G41:AA41" si="14">1/(1+$E$11)^(COLUMN(G41)-COLUMN($G$41))</f>
        <v>1</v>
      </c>
      <c r="H41" s="67">
        <f t="shared" si="14"/>
        <v>0.9174311926605504</v>
      </c>
      <c r="I41" s="67">
        <f t="shared" si="14"/>
        <v>0.84167999326655996</v>
      </c>
      <c r="J41" s="67">
        <f t="shared" si="14"/>
        <v>0.77218348006106419</v>
      </c>
      <c r="K41" s="67">
        <f t="shared" si="14"/>
        <v>0.7084252110651964</v>
      </c>
      <c r="L41" s="67">
        <f t="shared" si="14"/>
        <v>0.64993138629834524</v>
      </c>
      <c r="M41" s="67">
        <f t="shared" si="14"/>
        <v>0.5962673268792158</v>
      </c>
      <c r="N41" s="67">
        <f t="shared" si="14"/>
        <v>0.54703424484331731</v>
      </c>
      <c r="O41" s="67">
        <f t="shared" si="14"/>
        <v>0.50186627967276809</v>
      </c>
      <c r="P41" s="67">
        <f t="shared" si="14"/>
        <v>0.46042777951630098</v>
      </c>
      <c r="Q41" s="67">
        <f t="shared" si="14"/>
        <v>0.42241080689568894</v>
      </c>
      <c r="R41" s="67">
        <f t="shared" si="14"/>
        <v>0.38753285036301738</v>
      </c>
      <c r="S41" s="67">
        <f t="shared" si="14"/>
        <v>0.35553472510368567</v>
      </c>
      <c r="T41" s="67">
        <f t="shared" si="14"/>
        <v>0.32617864688411524</v>
      </c>
      <c r="U41" s="67">
        <f t="shared" si="14"/>
        <v>0.29924646503129837</v>
      </c>
      <c r="V41" s="67">
        <f t="shared" si="14"/>
        <v>0.27453804131311776</v>
      </c>
      <c r="W41" s="67">
        <f t="shared" si="14"/>
        <v>0.2518697626725851</v>
      </c>
      <c r="X41" s="67">
        <f t="shared" si="14"/>
        <v>0.23107317676383954</v>
      </c>
      <c r="Y41" s="67">
        <f t="shared" si="14"/>
        <v>0.21199374015031147</v>
      </c>
      <c r="Z41" s="67">
        <f t="shared" si="14"/>
        <v>0.19448966986267105</v>
      </c>
      <c r="AA41" s="67">
        <f t="shared" si="14"/>
        <v>0.17843088978226704</v>
      </c>
      <c r="AB41" s="10"/>
    </row>
    <row r="42" spans="1:28" x14ac:dyDescent="0.2">
      <c r="A42" s="10"/>
      <c r="B42" s="10"/>
      <c r="C42" s="23" t="s">
        <v>145</v>
      </c>
      <c r="D42" s="23"/>
      <c r="E42" s="23"/>
      <c r="F42" s="23"/>
      <c r="G42" s="66">
        <f t="shared" ref="G42:AA42" si="15">G36*G41</f>
        <v>0</v>
      </c>
      <c r="H42" s="66">
        <f t="shared" si="15"/>
        <v>-15266.055045871559</v>
      </c>
      <c r="I42" s="66">
        <f t="shared" si="15"/>
        <v>2238.8288275397699</v>
      </c>
      <c r="J42" s="66">
        <f t="shared" si="15"/>
        <v>3071.950234319077</v>
      </c>
      <c r="K42" s="66">
        <f t="shared" si="15"/>
        <v>3539.1532693600329</v>
      </c>
      <c r="L42" s="66">
        <f t="shared" si="15"/>
        <v>4083.4783963885088</v>
      </c>
      <c r="M42" s="66">
        <f t="shared" si="15"/>
        <v>4611.2107142619943</v>
      </c>
      <c r="N42" s="66">
        <f t="shared" si="15"/>
        <v>4230.4685451944906</v>
      </c>
      <c r="O42" s="66">
        <f t="shared" si="15"/>
        <v>3881.1638029307246</v>
      </c>
      <c r="P42" s="66">
        <f t="shared" si="15"/>
        <v>3560.700736633692</v>
      </c>
      <c r="Q42" s="66">
        <f t="shared" si="15"/>
        <v>3266.6979235171484</v>
      </c>
      <c r="R42" s="66">
        <f t="shared" si="15"/>
        <v>2996.9705720340812</v>
      </c>
      <c r="S42" s="66">
        <f t="shared" si="15"/>
        <v>2749.5142862697994</v>
      </c>
      <c r="T42" s="66">
        <f t="shared" si="15"/>
        <v>2522.4901708897237</v>
      </c>
      <c r="U42" s="66">
        <f t="shared" si="15"/>
        <v>2314.211165953875</v>
      </c>
      <c r="V42" s="66">
        <f t="shared" si="15"/>
        <v>2123.1295100494262</v>
      </c>
      <c r="W42" s="66">
        <f t="shared" si="15"/>
        <v>1947.8252385774554</v>
      </c>
      <c r="X42" s="66">
        <f t="shared" si="15"/>
        <v>1786.9956317224362</v>
      </c>
      <c r="Y42" s="66">
        <f t="shared" si="15"/>
        <v>1639.4455336903081</v>
      </c>
      <c r="Z42" s="66">
        <f t="shared" si="15"/>
        <v>1504.0784712755119</v>
      </c>
      <c r="AA42" s="66">
        <f t="shared" si="15"/>
        <v>13798.885057573503</v>
      </c>
      <c r="AB42" s="10"/>
    </row>
    <row r="43" spans="1:28" x14ac:dyDescent="0.2">
      <c r="A43" s="10"/>
      <c r="B43" s="10"/>
      <c r="C43" s="23" t="s">
        <v>146</v>
      </c>
      <c r="D43" s="23"/>
      <c r="E43" s="23"/>
      <c r="F43" s="23"/>
      <c r="G43" s="66">
        <f>G42</f>
        <v>0</v>
      </c>
      <c r="H43" s="66">
        <f t="shared" ref="H43:Z43" si="16">G43+H42</f>
        <v>-15266.055045871559</v>
      </c>
      <c r="I43" s="66">
        <f t="shared" si="16"/>
        <v>-13027.226218331789</v>
      </c>
      <c r="J43" s="66">
        <f t="shared" si="16"/>
        <v>-9955.275984012711</v>
      </c>
      <c r="K43" s="66">
        <f t="shared" si="16"/>
        <v>-6416.122714652678</v>
      </c>
      <c r="L43" s="66">
        <f t="shared" si="16"/>
        <v>-2332.6443182641692</v>
      </c>
      <c r="M43" s="66">
        <f t="shared" si="16"/>
        <v>2278.5663959978251</v>
      </c>
      <c r="N43" s="66">
        <f t="shared" si="16"/>
        <v>6509.0349411923162</v>
      </c>
      <c r="O43" s="66">
        <f t="shared" si="16"/>
        <v>10390.198744123041</v>
      </c>
      <c r="P43" s="66">
        <f t="shared" si="16"/>
        <v>13950.899480756732</v>
      </c>
      <c r="Q43" s="66">
        <f t="shared" si="16"/>
        <v>17217.597404273882</v>
      </c>
      <c r="R43" s="66">
        <f t="shared" si="16"/>
        <v>20214.567976307964</v>
      </c>
      <c r="S43" s="66">
        <f t="shared" si="16"/>
        <v>22964.082262577766</v>
      </c>
      <c r="T43" s="66">
        <f t="shared" si="16"/>
        <v>25486.572433467489</v>
      </c>
      <c r="U43" s="66">
        <f t="shared" si="16"/>
        <v>27800.783599421364</v>
      </c>
      <c r="V43" s="66">
        <f t="shared" si="16"/>
        <v>29923.913109470792</v>
      </c>
      <c r="W43" s="66">
        <f t="shared" si="16"/>
        <v>31871.738348048246</v>
      </c>
      <c r="X43" s="66">
        <f t="shared" si="16"/>
        <v>33658.733979770681</v>
      </c>
      <c r="Y43" s="66">
        <f t="shared" si="16"/>
        <v>35298.179513460986</v>
      </c>
      <c r="Z43" s="66">
        <f t="shared" si="16"/>
        <v>36802.257984736498</v>
      </c>
      <c r="AA43" s="66"/>
      <c r="AB43" s="10"/>
    </row>
    <row r="44" spans="1:28" x14ac:dyDescent="0.2">
      <c r="A44" s="10"/>
      <c r="B44" s="10"/>
      <c r="C44" s="10"/>
      <c r="D44" s="10"/>
      <c r="E44" s="10"/>
      <c r="F44" s="10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0"/>
    </row>
    <row r="45" spans="1:28" x14ac:dyDescent="0.2">
      <c r="A45" s="10"/>
      <c r="B45" s="81" t="s">
        <v>149</v>
      </c>
      <c r="C45" s="81"/>
      <c r="D45" s="81"/>
      <c r="E45" s="81"/>
      <c r="F45" s="10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0"/>
    </row>
    <row r="46" spans="1:28" x14ac:dyDescent="0.2">
      <c r="A46" s="10"/>
      <c r="B46" s="10"/>
      <c r="C46" s="10" t="s">
        <v>150</v>
      </c>
      <c r="D46" s="10"/>
      <c r="E46" s="76">
        <f>IRR($G$36:$AA$36)</f>
        <v>0.32136766226820779</v>
      </c>
      <c r="F46" s="10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0"/>
    </row>
    <row r="47" spans="1:28" x14ac:dyDescent="0.2">
      <c r="A47" s="10"/>
      <c r="B47" s="10"/>
      <c r="C47" s="10" t="s">
        <v>151</v>
      </c>
      <c r="D47" s="10"/>
      <c r="E47" s="76">
        <f>IFERROR(IRR($G$36:$Z$36),"n/a")</f>
        <v>0.31522159911224312</v>
      </c>
      <c r="F47" s="10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0"/>
    </row>
    <row r="48" spans="1:28" x14ac:dyDescent="0.2">
      <c r="A48" s="10"/>
      <c r="B48" s="10"/>
      <c r="C48" s="10" t="s">
        <v>152</v>
      </c>
      <c r="D48" s="10"/>
      <c r="E48" s="76">
        <f>$E$11</f>
        <v>0.09</v>
      </c>
      <c r="F48" s="10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0"/>
    </row>
    <row r="49" spans="1:28" x14ac:dyDescent="0.2">
      <c r="A49" s="10"/>
      <c r="B49" s="10"/>
      <c r="C49" s="10" t="s">
        <v>153</v>
      </c>
      <c r="D49" s="10"/>
      <c r="E49" s="77">
        <f>SUM($G$42:$AA$42)</f>
        <v>50601.143042310003</v>
      </c>
      <c r="F49" s="10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0"/>
    </row>
    <row r="50" spans="1:28" x14ac:dyDescent="0.2">
      <c r="A50" s="10"/>
      <c r="B50" s="10"/>
      <c r="C50" s="10" t="s">
        <v>154</v>
      </c>
      <c r="D50" s="10"/>
      <c r="E50" s="77">
        <f>SUM($G$42:$Z$42)</f>
        <v>36802.257984736498</v>
      </c>
      <c r="F50" s="10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0"/>
    </row>
    <row r="51" spans="1:28" x14ac:dyDescent="0.2">
      <c r="A51" s="10"/>
      <c r="B51" s="10"/>
      <c r="C51" s="10" t="s">
        <v>155</v>
      </c>
      <c r="D51" s="10"/>
      <c r="E51" s="77">
        <f>$AA$42</f>
        <v>13798.885057573503</v>
      </c>
      <c r="F51" s="10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0"/>
    </row>
    <row r="52" spans="1:28" x14ac:dyDescent="0.2">
      <c r="A52" s="10"/>
      <c r="B52" s="10"/>
      <c r="C52" s="10" t="s">
        <v>156</v>
      </c>
      <c r="D52" s="10"/>
      <c r="E52" s="78">
        <f>SUMIF($G$42:$AA$42,"&gt;0")/-SUMIF($G$42:$AA$42,"&lt;0")</f>
        <v>4.3146181439974685</v>
      </c>
      <c r="F52" s="10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0"/>
    </row>
    <row r="53" spans="1:28" x14ac:dyDescent="0.2">
      <c r="A53" s="10"/>
      <c r="B53" s="10"/>
      <c r="C53" s="10"/>
      <c r="D53" s="10"/>
      <c r="E53" s="79"/>
      <c r="F53" s="10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0"/>
    </row>
    <row r="54" spans="1:28" x14ac:dyDescent="0.2">
      <c r="A54" s="10"/>
      <c r="B54" s="81" t="s">
        <v>157</v>
      </c>
      <c r="C54" s="81"/>
      <c r="D54" s="81"/>
      <c r="E54" s="83"/>
      <c r="F54" s="10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0"/>
    </row>
    <row r="55" spans="1:28" x14ac:dyDescent="0.2">
      <c r="A55" s="10"/>
      <c r="B55" s="10"/>
      <c r="C55" s="10" t="s">
        <v>158</v>
      </c>
      <c r="D55" s="10"/>
      <c r="E55" s="77">
        <f>-SUMIF($G$36:$Z$36,"&lt;0")</f>
        <v>16640</v>
      </c>
      <c r="F55" s="10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0"/>
    </row>
    <row r="56" spans="1:28" x14ac:dyDescent="0.2">
      <c r="A56" s="10"/>
      <c r="B56" s="10"/>
      <c r="C56" s="10" t="s">
        <v>159</v>
      </c>
      <c r="D56" s="10"/>
      <c r="E56" s="77">
        <f>-MIN(0,MIN($G$40:$Z$40))</f>
        <v>16640</v>
      </c>
      <c r="F56" s="10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0"/>
    </row>
    <row r="57" spans="1:28" x14ac:dyDescent="0.2">
      <c r="A57" s="10"/>
      <c r="B57" s="10"/>
      <c r="C57" s="10" t="s">
        <v>160</v>
      </c>
      <c r="D57" s="10"/>
      <c r="E57" s="63">
        <f>INDEX($G$6:$Z$6,MATCH(MIN($G$40:$Z$40),$G$40:$Z$40,0))</f>
        <v>2027</v>
      </c>
      <c r="F57" s="10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0"/>
    </row>
    <row r="58" spans="1:28" x14ac:dyDescent="0.2">
      <c r="A58" s="10"/>
      <c r="B58" s="10"/>
      <c r="C58" s="10" t="s">
        <v>161</v>
      </c>
      <c r="D58" s="10"/>
      <c r="E58" s="63">
        <f>COUNTIF($G$36:$Z$36,"&lt;0")</f>
        <v>1</v>
      </c>
      <c r="F58" s="10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0"/>
    </row>
    <row r="59" spans="1:28" x14ac:dyDescent="0.2">
      <c r="A59" s="10"/>
      <c r="B59" s="10"/>
      <c r="C59" s="10" t="s">
        <v>1041</v>
      </c>
      <c r="D59" s="10"/>
      <c r="E59" s="315">
        <f>IF(COUNTIF($G$40:$Z$40,"&lt;0")=COUNT($G$40:$Z$40),"&gt; 20 years",COUNTIF($G$40:$Z$40,"&lt;0"))</f>
        <v>4</v>
      </c>
      <c r="F59" s="10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0"/>
    </row>
    <row r="60" spans="1:28" x14ac:dyDescent="0.2">
      <c r="A60" s="10"/>
      <c r="B60" s="10"/>
      <c r="C60" s="10"/>
      <c r="D60" s="10"/>
      <c r="E60" s="79"/>
      <c r="F60" s="10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0"/>
    </row>
    <row r="61" spans="1:28" x14ac:dyDescent="0.2">
      <c r="A61" s="10"/>
      <c r="B61" s="81" t="s">
        <v>162</v>
      </c>
      <c r="C61" s="81"/>
      <c r="D61" s="81"/>
      <c r="E61" s="83"/>
      <c r="F61" s="10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0"/>
    </row>
    <row r="62" spans="1:28" x14ac:dyDescent="0.2">
      <c r="A62" s="10"/>
      <c r="B62" s="10"/>
      <c r="C62" s="10" t="s">
        <v>163</v>
      </c>
      <c r="D62" s="10"/>
      <c r="E62" s="77">
        <f>SUMIF($G$36:$Z$36,"&gt;0")</f>
        <v>126185.42651999999</v>
      </c>
      <c r="F62" s="10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0"/>
    </row>
    <row r="63" spans="1:28" x14ac:dyDescent="0.2">
      <c r="A63" s="10"/>
      <c r="B63" s="10"/>
      <c r="C63" s="10" t="s">
        <v>164</v>
      </c>
      <c r="D63" s="10"/>
      <c r="E63" s="77">
        <f>SUM($G$36:$Z$36)</f>
        <v>109545.42651999999</v>
      </c>
      <c r="F63" s="10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0"/>
    </row>
    <row r="64" spans="1:28" x14ac:dyDescent="0.2">
      <c r="A64" s="10"/>
      <c r="B64" s="10"/>
      <c r="C64" s="10" t="s">
        <v>165</v>
      </c>
      <c r="D64" s="10"/>
      <c r="E64" s="78">
        <f>E62/E55</f>
        <v>7.5832588052884615</v>
      </c>
      <c r="F64" s="10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0"/>
    </row>
    <row r="65" spans="1:28" x14ac:dyDescent="0.2">
      <c r="A65" s="10"/>
      <c r="B65" s="10"/>
      <c r="C65" s="10" t="s">
        <v>166</v>
      </c>
      <c r="D65" s="10"/>
      <c r="E65" s="78">
        <f>(E62+$AA$36)/E55</f>
        <v>12.230772026442306</v>
      </c>
      <c r="F65" s="10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0"/>
    </row>
    <row r="66" spans="1:28" x14ac:dyDescent="0.2">
      <c r="A66" s="10"/>
      <c r="B66" s="10"/>
      <c r="C66" s="10" t="s">
        <v>167</v>
      </c>
      <c r="D66" s="10"/>
      <c r="E66" s="77">
        <f>IFERROR(AVERAGEIF($G$36:$Z$36,"&gt;0"),0)</f>
        <v>7010.301473333333</v>
      </c>
      <c r="F66" s="10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0"/>
    </row>
    <row r="67" spans="1:28" x14ac:dyDescent="0.2">
      <c r="A67" s="10"/>
      <c r="B67" s="10"/>
      <c r="C67" s="10" t="s">
        <v>168</v>
      </c>
      <c r="D67" s="10"/>
      <c r="E67" s="76">
        <f>IFERROR(E66/E56,"n/a")</f>
        <v>0.42129215584935897</v>
      </c>
      <c r="F67" s="10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0"/>
    </row>
    <row r="68" spans="1:28" x14ac:dyDescent="0.2">
      <c r="A68" s="10"/>
      <c r="B68" s="10"/>
      <c r="C68" s="10"/>
      <c r="D68" s="10"/>
      <c r="E68" s="79"/>
      <c r="F68" s="10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0"/>
    </row>
    <row r="69" spans="1:28" x14ac:dyDescent="0.2">
      <c r="A69" s="10"/>
      <c r="F69" s="10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0"/>
    </row>
    <row r="70" spans="1:28" x14ac:dyDescent="0.2">
      <c r="A70" s="10"/>
      <c r="F70" s="10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0"/>
    </row>
    <row r="71" spans="1:28" x14ac:dyDescent="0.2">
      <c r="A71" s="10"/>
      <c r="F71" s="10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0"/>
    </row>
    <row r="72" spans="1:28" x14ac:dyDescent="0.2">
      <c r="A72" s="10"/>
      <c r="F72" s="10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0"/>
    </row>
    <row r="73" spans="1:28" x14ac:dyDescent="0.2"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 spans="1:28" x14ac:dyDescent="0.2"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 spans="1:28" x14ac:dyDescent="0.2">
      <c r="B75" s="84" t="s">
        <v>1031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7" spans="1:28" x14ac:dyDescent="0.2">
      <c r="B77" s="24" t="s">
        <v>231</v>
      </c>
      <c r="C77" s="24"/>
      <c r="D77" s="24"/>
      <c r="E77" s="24"/>
      <c r="F77" s="24"/>
      <c r="G77" s="24"/>
      <c r="H77" s="24"/>
      <c r="I77" s="24"/>
      <c r="J77" s="24"/>
      <c r="K77" s="24"/>
    </row>
    <row r="78" spans="1:28" x14ac:dyDescent="0.2">
      <c r="B78" s="10"/>
      <c r="C78" s="49" t="s">
        <v>232</v>
      </c>
      <c r="D78" s="49"/>
      <c r="E78" s="49" t="s">
        <v>233</v>
      </c>
      <c r="F78" s="49"/>
      <c r="G78" s="101" t="s">
        <v>234</v>
      </c>
      <c r="H78" s="101" t="s">
        <v>235</v>
      </c>
      <c r="I78" s="101" t="s">
        <v>236</v>
      </c>
      <c r="J78" s="101" t="s">
        <v>237</v>
      </c>
      <c r="K78" s="101" t="s">
        <v>238</v>
      </c>
    </row>
    <row r="79" spans="1:28" x14ac:dyDescent="0.2">
      <c r="B79" s="10"/>
      <c r="C79" s="10" t="s">
        <v>239</v>
      </c>
      <c r="D79" s="10"/>
      <c r="E79" s="10" t="s">
        <v>240</v>
      </c>
      <c r="F79" s="10"/>
      <c r="G79" s="40">
        <v>100</v>
      </c>
      <c r="H79" s="40">
        <v>127</v>
      </c>
      <c r="I79" s="40">
        <v>142</v>
      </c>
      <c r="J79" s="40">
        <v>162</v>
      </c>
      <c r="K79" s="40">
        <v>180</v>
      </c>
    </row>
    <row r="80" spans="1:28" x14ac:dyDescent="0.2">
      <c r="B80" s="10"/>
      <c r="C80" s="10" t="s">
        <v>239</v>
      </c>
      <c r="D80" s="10"/>
      <c r="E80" s="10" t="s">
        <v>228</v>
      </c>
      <c r="F80" s="10"/>
      <c r="G80" s="40">
        <v>112</v>
      </c>
      <c r="H80" s="40">
        <v>142</v>
      </c>
      <c r="I80" s="40">
        <v>159</v>
      </c>
      <c r="J80" s="40">
        <v>181</v>
      </c>
      <c r="K80" s="40">
        <v>202</v>
      </c>
    </row>
    <row r="81" spans="2:11" x14ac:dyDescent="0.2">
      <c r="B81" s="10"/>
      <c r="C81" s="103" t="s">
        <v>239</v>
      </c>
      <c r="D81" s="103"/>
      <c r="E81" s="103" t="s">
        <v>241</v>
      </c>
      <c r="F81" s="103"/>
      <c r="G81" s="104">
        <v>122</v>
      </c>
      <c r="H81" s="104">
        <v>155</v>
      </c>
      <c r="I81" s="104">
        <v>173</v>
      </c>
      <c r="J81" s="104">
        <v>198</v>
      </c>
      <c r="K81" s="104">
        <v>220</v>
      </c>
    </row>
    <row r="82" spans="2:11" x14ac:dyDescent="0.2">
      <c r="B82" s="10"/>
      <c r="C82" s="10" t="s">
        <v>242</v>
      </c>
      <c r="D82" s="10"/>
      <c r="E82" s="10" t="s">
        <v>240</v>
      </c>
      <c r="F82" s="10"/>
      <c r="G82" s="38">
        <v>43146.400000000001</v>
      </c>
      <c r="H82" s="38">
        <v>46689.34</v>
      </c>
      <c r="I82" s="38">
        <v>50887.9</v>
      </c>
      <c r="J82" s="38">
        <v>54695.14</v>
      </c>
      <c r="K82" s="38">
        <v>58730.8</v>
      </c>
    </row>
    <row r="83" spans="2:11" x14ac:dyDescent="0.2">
      <c r="B83" s="10"/>
      <c r="C83" s="10" t="s">
        <v>242</v>
      </c>
      <c r="D83" s="10"/>
      <c r="E83" s="10" t="s">
        <v>228</v>
      </c>
      <c r="F83" s="10"/>
      <c r="G83" s="38">
        <v>43811.43</v>
      </c>
      <c r="H83" s="38">
        <v>47272.36</v>
      </c>
      <c r="I83" s="38">
        <v>51069.83</v>
      </c>
      <c r="J83" s="38">
        <v>54857.74</v>
      </c>
      <c r="K83" s="38">
        <v>59351.8</v>
      </c>
    </row>
    <row r="84" spans="2:11" x14ac:dyDescent="0.2">
      <c r="B84" s="10"/>
      <c r="C84" s="103" t="s">
        <v>242</v>
      </c>
      <c r="D84" s="103"/>
      <c r="E84" s="103" t="s">
        <v>241</v>
      </c>
      <c r="F84" s="103"/>
      <c r="G84" s="105">
        <v>44072.13</v>
      </c>
      <c r="H84" s="105">
        <v>47084.66</v>
      </c>
      <c r="I84" s="105">
        <v>51072.41</v>
      </c>
      <c r="J84" s="105">
        <v>55152.99</v>
      </c>
      <c r="K84" s="105">
        <v>59676.49</v>
      </c>
    </row>
    <row r="85" spans="2:11" x14ac:dyDescent="0.2">
      <c r="B85" s="10"/>
      <c r="C85" s="10" t="s">
        <v>243</v>
      </c>
      <c r="D85" s="10"/>
      <c r="E85" s="10" t="s">
        <v>240</v>
      </c>
      <c r="F85" s="10"/>
      <c r="G85" s="38">
        <v>1182284.3400000001</v>
      </c>
      <c r="H85" s="38">
        <v>1537481.42</v>
      </c>
      <c r="I85" s="38">
        <v>1775465.7</v>
      </c>
      <c r="J85" s="38">
        <v>2011793.14</v>
      </c>
      <c r="K85" s="38">
        <v>2208579.0299999998</v>
      </c>
    </row>
    <row r="86" spans="2:11" x14ac:dyDescent="0.2">
      <c r="B86" s="10"/>
      <c r="C86" s="10" t="s">
        <v>243</v>
      </c>
      <c r="D86" s="10"/>
      <c r="E86" s="10" t="s">
        <v>228</v>
      </c>
      <c r="F86" s="10"/>
      <c r="G86" s="38">
        <v>1341754.1000000001</v>
      </c>
      <c r="H86" s="38">
        <v>1720093.8</v>
      </c>
      <c r="I86" s="38">
        <v>1964008.2</v>
      </c>
      <c r="J86" s="38">
        <v>2228673.37</v>
      </c>
      <c r="K86" s="38">
        <v>2482213.31</v>
      </c>
    </row>
    <row r="87" spans="2:11" x14ac:dyDescent="0.2">
      <c r="B87" s="10"/>
      <c r="C87" s="103" t="s">
        <v>243</v>
      </c>
      <c r="D87" s="103"/>
      <c r="E87" s="103" t="s">
        <v>241</v>
      </c>
      <c r="F87" s="103"/>
      <c r="G87" s="105">
        <v>1450478.51</v>
      </c>
      <c r="H87" s="105">
        <v>1876603.14</v>
      </c>
      <c r="I87" s="105">
        <v>2118204.27</v>
      </c>
      <c r="J87" s="105">
        <v>2436741.65</v>
      </c>
      <c r="K87" s="105">
        <v>2776628.07</v>
      </c>
    </row>
    <row r="88" spans="2:11" x14ac:dyDescent="0.2">
      <c r="B88" s="10"/>
      <c r="C88" s="10" t="s">
        <v>244</v>
      </c>
      <c r="D88" s="10"/>
      <c r="E88" s="10" t="s">
        <v>240</v>
      </c>
      <c r="F88" s="10"/>
      <c r="G88" s="38">
        <v>-3329598.49</v>
      </c>
      <c r="H88" s="38">
        <v>-4115986.56</v>
      </c>
      <c r="I88" s="38">
        <v>-4706231.79</v>
      </c>
      <c r="J88" s="38">
        <v>-5425165.29</v>
      </c>
      <c r="K88" s="38">
        <v>-6156553.2999999998</v>
      </c>
    </row>
    <row r="89" spans="2:11" x14ac:dyDescent="0.2">
      <c r="B89" s="10"/>
      <c r="C89" s="10" t="s">
        <v>244</v>
      </c>
      <c r="D89" s="10"/>
      <c r="E89" s="10" t="s">
        <v>228</v>
      </c>
      <c r="F89" s="10"/>
      <c r="G89" s="38">
        <v>-3588681.73</v>
      </c>
      <c r="H89" s="38">
        <v>-4454504.28</v>
      </c>
      <c r="I89" s="38">
        <v>-5088307.5</v>
      </c>
      <c r="J89" s="38">
        <v>-5874986.6299999999</v>
      </c>
      <c r="K89" s="38">
        <v>-6737814.9100000001</v>
      </c>
    </row>
    <row r="90" spans="2:11" x14ac:dyDescent="0.2">
      <c r="B90" s="10"/>
      <c r="C90" s="103" t="s">
        <v>244</v>
      </c>
      <c r="D90" s="103"/>
      <c r="E90" s="103" t="s">
        <v>241</v>
      </c>
      <c r="F90" s="103"/>
      <c r="G90" s="105">
        <v>-3792528.11</v>
      </c>
      <c r="H90" s="105">
        <v>-4718538.43</v>
      </c>
      <c r="I90" s="105">
        <v>-5396270.3200000003</v>
      </c>
      <c r="J90" s="105">
        <v>-6291042.5800000001</v>
      </c>
      <c r="K90" s="105">
        <v>-7220918.1600000001</v>
      </c>
    </row>
    <row r="91" spans="2:11" x14ac:dyDescent="0.2">
      <c r="B91" s="10"/>
      <c r="C91" s="11" t="s">
        <v>245</v>
      </c>
      <c r="D91" s="11"/>
      <c r="E91" s="11" t="str">
        <f>E79</f>
        <v>Pessimista</v>
      </c>
      <c r="F91" s="11"/>
      <c r="G91" s="65">
        <f t="shared" ref="G91:K93" si="17">G79*G82+G85+G88</f>
        <v>2167325.8499999996</v>
      </c>
      <c r="H91" s="65">
        <f t="shared" si="17"/>
        <v>3351041.0399999996</v>
      </c>
      <c r="I91" s="65">
        <f t="shared" si="17"/>
        <v>4295315.71</v>
      </c>
      <c r="J91" s="65">
        <f t="shared" si="17"/>
        <v>5447240.5300000003</v>
      </c>
      <c r="K91" s="65">
        <f t="shared" si="17"/>
        <v>6623569.7299999995</v>
      </c>
    </row>
    <row r="92" spans="2:11" x14ac:dyDescent="0.2">
      <c r="B92" s="10"/>
      <c r="C92" s="11" t="s">
        <v>245</v>
      </c>
      <c r="D92" s="11"/>
      <c r="E92" s="11" t="str">
        <f>E80</f>
        <v>Realista</v>
      </c>
      <c r="F92" s="11"/>
      <c r="G92" s="65">
        <f t="shared" si="17"/>
        <v>2659952.5299999998</v>
      </c>
      <c r="H92" s="65">
        <f t="shared" si="17"/>
        <v>3978264.6399999997</v>
      </c>
      <c r="I92" s="65">
        <f t="shared" si="17"/>
        <v>4995803.67</v>
      </c>
      <c r="J92" s="65">
        <f t="shared" si="17"/>
        <v>6282937.6799999988</v>
      </c>
      <c r="K92" s="65">
        <f t="shared" si="17"/>
        <v>7733462.0000000019</v>
      </c>
    </row>
    <row r="93" spans="2:11" x14ac:dyDescent="0.2">
      <c r="B93" s="10"/>
      <c r="C93" s="11" t="s">
        <v>245</v>
      </c>
      <c r="D93" s="11"/>
      <c r="E93" s="11" t="str">
        <f>E81</f>
        <v>Otimista</v>
      </c>
      <c r="F93" s="11"/>
      <c r="G93" s="65">
        <f t="shared" si="17"/>
        <v>3034750.2599999993</v>
      </c>
      <c r="H93" s="65">
        <f t="shared" si="17"/>
        <v>4456187.0100000016</v>
      </c>
      <c r="I93" s="65">
        <f t="shared" si="17"/>
        <v>5557460.879999999</v>
      </c>
      <c r="J93" s="65">
        <f t="shared" si="17"/>
        <v>7065991.0899999999</v>
      </c>
      <c r="K93" s="65">
        <f t="shared" si="17"/>
        <v>8684537.709999999</v>
      </c>
    </row>
    <row r="94" spans="2:11" x14ac:dyDescent="0.2">
      <c r="C94" s="84" t="s">
        <v>254</v>
      </c>
    </row>
    <row r="97" spans="2:27" x14ac:dyDescent="0.2">
      <c r="B97" s="24" t="s">
        <v>622</v>
      </c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 spans="2:27" x14ac:dyDescent="0.2">
      <c r="B98" s="185" t="s">
        <v>613</v>
      </c>
      <c r="C98" s="167" t="str">
        <f>"WDC Weddings: IRR of "&amp;TEXT($E$46,"0,0%")&amp;" with Capex of R$ "&amp;TEXT($E$20/1000,"#.##0,0")&amp;" million"</f>
        <v>WDC Casamentos: TIR de 32,1% com Capex de R$ 16,6 mi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spans="2:27" x14ac:dyDescent="0.2">
      <c r="B99" s="185" t="s">
        <v>614</v>
      </c>
      <c r="C99" s="168" t="str">
        <f>"Gramado is an established wedding destination and Club Med brings its own destination-wedding demand — the venue pays for itself in "&amp;$E$71&amp;" years in the "&amp;LOWER($E$14)&amp;"."</f>
        <v>Gramado é destino de casamento consolidado e o Club Med traz demanda própria de destination wedding — o espaço se paga em  anos no cenário realista.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spans="2:27" x14ac:dyDescent="0.2">
      <c r="B100" s="186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spans="2:27" x14ac:dyDescent="0.2">
      <c r="B101" s="175" t="s">
        <v>623</v>
      </c>
      <c r="C101" s="169"/>
      <c r="D101" s="169"/>
      <c r="E101" s="169"/>
      <c r="F101" s="169"/>
      <c r="G101" s="169"/>
      <c r="H101" s="169"/>
      <c r="I101" s="169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spans="2:27" x14ac:dyDescent="0.2">
      <c r="B102" s="186" t="s">
        <v>616</v>
      </c>
      <c r="C102" s="7" t="str">
        <f>"Brazil: R$ 31.7 billion in 2025, ~476 thousand parties and an average ticket of R$ 66 thousand per party"</f>
        <v>Brasil: R$ 31,7 bi movimentados em 2025, ~476 mil festas e ticket médio de R$ 66 mil por festa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spans="2:27" x14ac:dyDescent="0.2">
      <c r="B103" s="186" t="s">
        <v>616</v>
      </c>
      <c r="C103" s="7" t="str">
        <f>"~931 thousand civil weddings projected in Brazil in 2025, stable in the South (Abrafesta)"</f>
        <v>~931 mil casamentos civis projetados no Brasil em 2025, com estabilidade no Sul (Abrafesta)</v>
      </c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spans="2:27" x14ac:dyDescent="0.2">
      <c r="B104" s="186" t="s">
        <v>616</v>
      </c>
      <c r="C104" s="7" t="str">
        <f>"Gramado is the 7th most recommended destination-wedding location in the world — the only Brazilian one on the list"</f>
        <v>Gramado é o 7º destino mais recomendado do mundo para destination wedding — único brasileiro da lista</v>
      </c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2:27" x14ac:dyDescent="0.2">
      <c r="B105" s="186" t="s">
        <v>616</v>
      </c>
      <c r="C105" s="7" t="str">
        <f>"Club Med holds ~235 weddings/year in Brazil and chose Gramado as one of its main wedding destinations"</f>
        <v>Club Med faz ~235 casamentos/ano no Brasil e escolheu Gramado como um dos principais destinos para casamentos</v>
      </c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2:27" x14ac:dyDescent="0.2">
      <c r="B106" s="186" t="s">
        <v>616</v>
      </c>
      <c r="C106" s="7" t="str">
        <f>"Trend: demand for outdoor weddings and bespoke experiences (+45% in RJ, Abrafesta) — favors a venue with nature and lodging"</f>
        <v>Tendência: busca por casamentos ao ar livre e experiências autorais (+45% no RJ, Abrafesta) — favorece espaço com natureza e hospedagem</v>
      </c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spans="2:27" x14ac:dyDescent="0.2">
      <c r="B107" s="186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2:27" x14ac:dyDescent="0.2">
      <c r="B108" s="175" t="s">
        <v>624</v>
      </c>
      <c r="C108" s="169"/>
      <c r="D108" s="169"/>
      <c r="E108" s="169"/>
      <c r="F108" s="169"/>
      <c r="G108" s="169"/>
      <c r="H108" s="169"/>
      <c r="I108" s="169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spans="2:27" x14ac:dyDescent="0.2">
      <c r="B109" s="186" t="s">
        <v>616</v>
      </c>
      <c r="C109" s="7" t="str">
        <f>"Event venue with modules for 150 and 300 guests, in-house catering, decoration, sound/lighting/LED and entertainment"</f>
        <v>Espaço de eventos com módulos de 150 e 300 convidados, gastronomia própria, decoração, som/luz/LED e entretenimento</v>
      </c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spans="2:27" x14ac:dyDescent="0.2">
      <c r="B110" s="186" t="s">
        <v>616</v>
      </c>
      <c r="C110" s="7" t="str">
        <f>"Capex of R$ "&amp;TEXT($E$20/1000,"#.##0,0")&amp;" million (construction + infrastructure R$ "&amp;TEXT($E$18/1000,"#.##0,0")&amp;" million + development fee); opening in "&amp;$E$15</f>
        <v>Capex de R$ 16,6 mi (obra + infra R$ 16,0 mi + taxa de desenvolvimento); abertura em 2028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spans="2:27" x14ac:dyDescent="0.2">
      <c r="B111" s="186" t="s">
        <v>616</v>
      </c>
      <c r="C111" s="7" t="str">
        <f>"Basis: WDC Gramado business plan — "&amp;LOWER($E$14)&amp;"; ticket = venue rental per event"</f>
        <v>Base: BP WDC Gramado — cenário realista; ticket = locação do espaço por evento</v>
      </c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2:27" x14ac:dyDescent="0.2">
      <c r="B112" s="186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spans="2:27" x14ac:dyDescent="0.2">
      <c r="B113" s="175" t="s">
        <v>625</v>
      </c>
      <c r="C113" s="169"/>
      <c r="D113" s="169"/>
      <c r="E113" s="169"/>
      <c r="F113" s="169"/>
      <c r="G113" s="169"/>
      <c r="H113" s="169"/>
      <c r="I113" s="169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spans="2:27" x14ac:dyDescent="0.2">
      <c r="B114" s="186" t="s">
        <v>616</v>
      </c>
      <c r="C114" s="7" t="str">
        <f>TEXT($I$24,"#.##0")&amp;" events in the 1st year → "&amp;TEXT($M$24,"#.##0")&amp;" in the 5th year; average ticket of R$ "&amp;TEXT($I$25,"#.##0,0")&amp;" thousand → R$ "&amp;TEXT($M$25,"#.##0,0")&amp;" thousand"</f>
        <v>112 eventos no 1º ano → 202 no 5º ano; ticket médio de R$ 43,8 mil → R$ 59,4 mil</v>
      </c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2:27" x14ac:dyDescent="0.2">
      <c r="B115" s="186" t="s">
        <v>616</v>
      </c>
      <c r="C115" s="7" t="str">
        <f>"Gross revenue of R$ "&amp;TEXT($I$28/1000,"#.##0,0")&amp;" million → R$ "&amp;TEXT($M$28/1000,"#.##0,0")&amp;" million in the 5th year; margin of "&amp;TEXT($I$30,"0,0%")&amp;" → "&amp;TEXT($M$30,"0,0%")</f>
        <v>Receita bruta de R$ 6,2 mi → R$ 14,5 mi no 5º ano; margem de 42,6% → 53,4%</v>
      </c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spans="2:27" x14ac:dyDescent="0.2">
      <c r="B116" s="186" t="s">
        <v>616</v>
      </c>
      <c r="C116" s="7" t="str">
        <f>"Distributable result of R$ "&amp;TEXT($M$31/1000,"#.##0,0")&amp;" million/year in the 5th operating year"</f>
        <v>Resultado a distribuir de R$ 7,7 mi/ano no 5º ano de operação</v>
      </c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spans="2:27" x14ac:dyDescent="0.2">
      <c r="B117" s="186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spans="2:27" x14ac:dyDescent="0.2">
      <c r="B118" s="175" t="s">
        <v>626</v>
      </c>
      <c r="C118" s="169"/>
      <c r="D118" s="169"/>
      <c r="E118" s="169"/>
      <c r="F118" s="169"/>
      <c r="G118" s="169"/>
      <c r="H118" s="169"/>
      <c r="I118" s="169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2:27" x14ac:dyDescent="0.2">
      <c r="B119" s="186"/>
      <c r="C119" s="29" t="s">
        <v>181</v>
      </c>
      <c r="D119" s="29"/>
      <c r="E119" s="29"/>
      <c r="F119" s="29"/>
      <c r="G119" s="182" t="s">
        <v>240</v>
      </c>
      <c r="H119" s="182" t="s">
        <v>228</v>
      </c>
      <c r="I119" s="182" t="s">
        <v>241</v>
      </c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spans="2:27" x14ac:dyDescent="0.2">
      <c r="B120" s="186"/>
      <c r="C120" s="7" t="s">
        <v>239</v>
      </c>
      <c r="D120" s="7"/>
      <c r="E120" s="7"/>
      <c r="F120" s="7"/>
      <c r="G120" s="57">
        <f>$K$79</f>
        <v>180</v>
      </c>
      <c r="H120" s="183">
        <f>$K$80</f>
        <v>202</v>
      </c>
      <c r="I120" s="57">
        <f>$K$81</f>
        <v>220</v>
      </c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2:27" x14ac:dyDescent="0.2">
      <c r="B121" s="186"/>
      <c r="C121" s="7" t="s">
        <v>242</v>
      </c>
      <c r="D121" s="7"/>
      <c r="E121" s="7"/>
      <c r="F121" s="7"/>
      <c r="G121" s="57">
        <f>$K$82</f>
        <v>58730.8</v>
      </c>
      <c r="H121" s="183">
        <f>$K$83</f>
        <v>59351.8</v>
      </c>
      <c r="I121" s="57">
        <f>$K$84</f>
        <v>59676.49</v>
      </c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spans="2:27" x14ac:dyDescent="0.2">
      <c r="B122" s="186"/>
      <c r="C122" s="7" t="s">
        <v>627</v>
      </c>
      <c r="D122" s="7"/>
      <c r="E122" s="7"/>
      <c r="F122" s="7"/>
      <c r="G122" s="19">
        <f>$K$91/1000</f>
        <v>6623.5697299999993</v>
      </c>
      <c r="H122" s="184">
        <f>$K$92/1000</f>
        <v>7733.4620000000023</v>
      </c>
      <c r="I122" s="19">
        <f>$K$93/1000</f>
        <v>8684.5377099999987</v>
      </c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2:27" x14ac:dyDescent="0.2">
      <c r="B123" s="186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spans="2:27" x14ac:dyDescent="0.2">
      <c r="B124" s="175" t="s">
        <v>628</v>
      </c>
      <c r="C124" s="169"/>
      <c r="D124" s="169"/>
      <c r="E124" s="169"/>
      <c r="F124" s="169"/>
      <c r="G124" s="169"/>
      <c r="H124" s="169"/>
      <c r="I124" s="169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2:27" x14ac:dyDescent="0.2">
      <c r="B125" s="186"/>
      <c r="C125" s="29" t="s">
        <v>181</v>
      </c>
      <c r="D125" s="29"/>
      <c r="E125" s="29"/>
      <c r="F125" s="29"/>
      <c r="G125" s="187" t="s">
        <v>629</v>
      </c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spans="2:27" x14ac:dyDescent="0.2">
      <c r="B126" s="186"/>
      <c r="C126" s="7" t="s">
        <v>150</v>
      </c>
      <c r="D126" s="7"/>
      <c r="E126" s="7"/>
      <c r="F126" s="7"/>
      <c r="G126" s="36">
        <f>$E$46</f>
        <v>0.32136766226820779</v>
      </c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spans="2:27" x14ac:dyDescent="0.2">
      <c r="B127" s="186"/>
      <c r="C127" s="7" t="s">
        <v>1018</v>
      </c>
      <c r="D127" s="7"/>
      <c r="E127" s="7"/>
      <c r="F127" s="7"/>
      <c r="G127" s="19">
        <f>$E$49</f>
        <v>50601.143042310003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spans="2:27" x14ac:dyDescent="0.2">
      <c r="B128" s="186"/>
      <c r="C128" s="7" t="s">
        <v>159</v>
      </c>
      <c r="D128" s="7"/>
      <c r="E128" s="7"/>
      <c r="F128" s="7"/>
      <c r="G128" s="19">
        <f>$E$56</f>
        <v>16640</v>
      </c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2:27" x14ac:dyDescent="0.2">
      <c r="B129" s="186"/>
      <c r="C129" s="7" t="s">
        <v>180</v>
      </c>
      <c r="D129" s="7"/>
      <c r="E129" s="7"/>
      <c r="F129" s="7"/>
      <c r="G129" s="150">
        <f>$E$64</f>
        <v>7.5832588052884615</v>
      </c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2" spans="2:27" x14ac:dyDescent="0.2">
      <c r="B132" s="186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2:27" x14ac:dyDescent="0.2">
      <c r="B133" s="175" t="s">
        <v>621</v>
      </c>
      <c r="C133" s="169"/>
      <c r="D133" s="169"/>
      <c r="E133" s="169"/>
      <c r="F133" s="169"/>
      <c r="G133" s="169"/>
      <c r="H133" s="169"/>
      <c r="I133" s="169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spans="2:27" x14ac:dyDescent="0.2">
      <c r="B134" s="186" t="s">
        <v>616</v>
      </c>
      <c r="C134" s="7" t="str">
        <f>"Operating figures come from the WDC Gramado business plan (operator's spreadsheet) — no income tax and no leverage in this cash flow"</f>
        <v>Números operacionais vêm do BP WDC Gramado (planilha do operador) — sem IR e sem alavancagem neste fluxo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spans="2:27" x14ac:dyDescent="0.2">
      <c r="B135" s="186" t="s">
        <v>616</v>
      </c>
      <c r="C135" s="7" t="str">
        <f>"Market data from industry associations and the press (sources in the comments); the destination-wedding ranking is from 2022"</f>
        <v>Dados de mercado de associações setoriais e imprensa (fontes nos comentários); ranking de destination wedding é de 2022</v>
      </c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spans="2:27" x14ac:dyDescent="0.2">
      <c r="B136" s="186" t="s">
        <v>616</v>
      </c>
      <c r="C136" s="7" t="str">
        <f>"Local competition from hotels and venues (Wish Serrano, Laghetto, Parque Tomasini) and year-end seasonality"</f>
        <v>Concorrência local de hotéis e espaços (Wish Serrano, Laghetto, Parque Tomasini) e sazonalidade de fim de ano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spans="2:27" x14ac:dyDescent="0.2">
      <c r="B137" s="186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</sheetData>
  <dataValidations count="1">
    <dataValidation type="list" allowBlank="1" showInputMessage="1" showErrorMessage="1" sqref="E14" xr:uid="{86BB986C-480F-FB42-A9D1-AB21A770DF53}">
      <formula1>"Pessimistic,Realistic,Optimistic"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5618E-A901-C745-BE67-92A1F2215883}">
  <dimension ref="A1:CN143"/>
  <sheetViews>
    <sheetView showGridLines="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C14" sqref="C14"/>
    </sheetView>
  </sheetViews>
  <sheetFormatPr baseColWidth="10" defaultRowHeight="15" x14ac:dyDescent="0.2"/>
  <cols>
    <col min="1" max="1" width="1.6640625" customWidth="1"/>
    <col min="2" max="2" width="15.83203125" customWidth="1"/>
    <col min="3" max="3" width="55" customWidth="1"/>
    <col min="4" max="5" width="16.5" bestFit="1" customWidth="1"/>
    <col min="6" max="6" width="12" customWidth="1"/>
    <col min="7" max="8" width="13.33203125" customWidth="1"/>
    <col min="9" max="92" width="9.6640625" customWidth="1"/>
  </cols>
  <sheetData>
    <row r="1" spans="1:92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</row>
    <row r="2" spans="1:92" ht="16" x14ac:dyDescent="0.2">
      <c r="A2" s="10"/>
      <c r="B2" s="5" t="s">
        <v>800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</row>
    <row r="3" spans="1:92" x14ac:dyDescent="0.2">
      <c r="A3" s="10"/>
      <c r="B3" s="23" t="s">
        <v>801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</row>
    <row r="4" spans="1:92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</row>
    <row r="5" spans="1:92" x14ac:dyDescent="0.2">
      <c r="A5" s="10"/>
      <c r="B5" s="10"/>
      <c r="C5" s="10" t="s">
        <v>738</v>
      </c>
      <c r="D5" s="10"/>
      <c r="E5" s="10"/>
      <c r="F5" s="10"/>
      <c r="G5" s="10"/>
      <c r="H5" s="10"/>
      <c r="I5" s="194">
        <f>1</f>
        <v>1</v>
      </c>
      <c r="J5" s="194">
        <f t="shared" ref="J5:AO5" si="0">I5+1</f>
        <v>2</v>
      </c>
      <c r="K5" s="194">
        <f t="shared" si="0"/>
        <v>3</v>
      </c>
      <c r="L5" s="194">
        <f t="shared" si="0"/>
        <v>4</v>
      </c>
      <c r="M5" s="194">
        <f t="shared" si="0"/>
        <v>5</v>
      </c>
      <c r="N5" s="194">
        <f t="shared" si="0"/>
        <v>6</v>
      </c>
      <c r="O5" s="194">
        <f t="shared" si="0"/>
        <v>7</v>
      </c>
      <c r="P5" s="194">
        <f t="shared" si="0"/>
        <v>8</v>
      </c>
      <c r="Q5" s="194">
        <f t="shared" si="0"/>
        <v>9</v>
      </c>
      <c r="R5" s="194">
        <f t="shared" si="0"/>
        <v>10</v>
      </c>
      <c r="S5" s="194">
        <f t="shared" si="0"/>
        <v>11</v>
      </c>
      <c r="T5" s="194">
        <f t="shared" si="0"/>
        <v>12</v>
      </c>
      <c r="U5" s="194">
        <f t="shared" si="0"/>
        <v>13</v>
      </c>
      <c r="V5" s="194">
        <f t="shared" si="0"/>
        <v>14</v>
      </c>
      <c r="W5" s="194">
        <f t="shared" si="0"/>
        <v>15</v>
      </c>
      <c r="X5" s="194">
        <f t="shared" si="0"/>
        <v>16</v>
      </c>
      <c r="Y5" s="194">
        <f t="shared" si="0"/>
        <v>17</v>
      </c>
      <c r="Z5" s="194">
        <f t="shared" si="0"/>
        <v>18</v>
      </c>
      <c r="AA5" s="194">
        <f t="shared" si="0"/>
        <v>19</v>
      </c>
      <c r="AB5" s="194">
        <f t="shared" si="0"/>
        <v>20</v>
      </c>
      <c r="AC5" s="194">
        <f t="shared" si="0"/>
        <v>21</v>
      </c>
      <c r="AD5" s="194">
        <f t="shared" si="0"/>
        <v>22</v>
      </c>
      <c r="AE5" s="194">
        <f t="shared" si="0"/>
        <v>23</v>
      </c>
      <c r="AF5" s="194">
        <f t="shared" si="0"/>
        <v>24</v>
      </c>
      <c r="AG5" s="194">
        <f t="shared" si="0"/>
        <v>25</v>
      </c>
      <c r="AH5" s="194">
        <f t="shared" si="0"/>
        <v>26</v>
      </c>
      <c r="AI5" s="194">
        <f t="shared" si="0"/>
        <v>27</v>
      </c>
      <c r="AJ5" s="194">
        <f t="shared" si="0"/>
        <v>28</v>
      </c>
      <c r="AK5" s="194">
        <f t="shared" si="0"/>
        <v>29</v>
      </c>
      <c r="AL5" s="194">
        <f t="shared" si="0"/>
        <v>30</v>
      </c>
      <c r="AM5" s="194">
        <f t="shared" si="0"/>
        <v>31</v>
      </c>
      <c r="AN5" s="194">
        <f t="shared" si="0"/>
        <v>32</v>
      </c>
      <c r="AO5" s="194">
        <f t="shared" si="0"/>
        <v>33</v>
      </c>
      <c r="AP5" s="194">
        <f t="shared" ref="AP5:BU5" si="1">AO5+1</f>
        <v>34</v>
      </c>
      <c r="AQ5" s="194">
        <f t="shared" si="1"/>
        <v>35</v>
      </c>
      <c r="AR5" s="194">
        <f t="shared" si="1"/>
        <v>36</v>
      </c>
      <c r="AS5" s="194">
        <f t="shared" si="1"/>
        <v>37</v>
      </c>
      <c r="AT5" s="194">
        <f t="shared" si="1"/>
        <v>38</v>
      </c>
      <c r="AU5" s="194">
        <f t="shared" si="1"/>
        <v>39</v>
      </c>
      <c r="AV5" s="194">
        <f t="shared" si="1"/>
        <v>40</v>
      </c>
      <c r="AW5" s="194">
        <f t="shared" si="1"/>
        <v>41</v>
      </c>
      <c r="AX5" s="194">
        <f t="shared" si="1"/>
        <v>42</v>
      </c>
      <c r="AY5" s="194">
        <f t="shared" si="1"/>
        <v>43</v>
      </c>
      <c r="AZ5" s="194">
        <f t="shared" si="1"/>
        <v>44</v>
      </c>
      <c r="BA5" s="194">
        <f t="shared" si="1"/>
        <v>45</v>
      </c>
      <c r="BB5" s="194">
        <f t="shared" si="1"/>
        <v>46</v>
      </c>
      <c r="BC5" s="194">
        <f t="shared" si="1"/>
        <v>47</v>
      </c>
      <c r="BD5" s="194">
        <f t="shared" si="1"/>
        <v>48</v>
      </c>
      <c r="BE5" s="194">
        <f t="shared" si="1"/>
        <v>49</v>
      </c>
      <c r="BF5" s="194">
        <f t="shared" si="1"/>
        <v>50</v>
      </c>
      <c r="BG5" s="194">
        <f t="shared" si="1"/>
        <v>51</v>
      </c>
      <c r="BH5" s="194">
        <f t="shared" si="1"/>
        <v>52</v>
      </c>
      <c r="BI5" s="194">
        <f t="shared" si="1"/>
        <v>53</v>
      </c>
      <c r="BJ5" s="194">
        <f t="shared" si="1"/>
        <v>54</v>
      </c>
      <c r="BK5" s="194">
        <f t="shared" si="1"/>
        <v>55</v>
      </c>
      <c r="BL5" s="194">
        <f t="shared" si="1"/>
        <v>56</v>
      </c>
      <c r="BM5" s="194">
        <f t="shared" si="1"/>
        <v>57</v>
      </c>
      <c r="BN5" s="194">
        <f t="shared" si="1"/>
        <v>58</v>
      </c>
      <c r="BO5" s="194">
        <f t="shared" si="1"/>
        <v>59</v>
      </c>
      <c r="BP5" s="194">
        <f t="shared" si="1"/>
        <v>60</v>
      </c>
      <c r="BQ5" s="194">
        <f t="shared" si="1"/>
        <v>61</v>
      </c>
      <c r="BR5" s="194">
        <f t="shared" si="1"/>
        <v>62</v>
      </c>
      <c r="BS5" s="194">
        <f t="shared" si="1"/>
        <v>63</v>
      </c>
      <c r="BT5" s="194">
        <f t="shared" si="1"/>
        <v>64</v>
      </c>
      <c r="BU5" s="194">
        <f t="shared" si="1"/>
        <v>65</v>
      </c>
      <c r="BV5" s="194">
        <f t="shared" ref="BV5:CN5" si="2">BU5+1</f>
        <v>66</v>
      </c>
      <c r="BW5" s="194">
        <f t="shared" si="2"/>
        <v>67</v>
      </c>
      <c r="BX5" s="194">
        <f t="shared" si="2"/>
        <v>68</v>
      </c>
      <c r="BY5" s="194">
        <f t="shared" si="2"/>
        <v>69</v>
      </c>
      <c r="BZ5" s="194">
        <f t="shared" si="2"/>
        <v>70</v>
      </c>
      <c r="CA5" s="194">
        <f t="shared" si="2"/>
        <v>71</v>
      </c>
      <c r="CB5" s="194">
        <f t="shared" si="2"/>
        <v>72</v>
      </c>
      <c r="CC5" s="194">
        <f t="shared" si="2"/>
        <v>73</v>
      </c>
      <c r="CD5" s="194">
        <f t="shared" si="2"/>
        <v>74</v>
      </c>
      <c r="CE5" s="194">
        <f t="shared" si="2"/>
        <v>75</v>
      </c>
      <c r="CF5" s="194">
        <f t="shared" si="2"/>
        <v>76</v>
      </c>
      <c r="CG5" s="194">
        <f t="shared" si="2"/>
        <v>77</v>
      </c>
      <c r="CH5" s="194">
        <f t="shared" si="2"/>
        <v>78</v>
      </c>
      <c r="CI5" s="194">
        <f t="shared" si="2"/>
        <v>79</v>
      </c>
      <c r="CJ5" s="194">
        <f t="shared" si="2"/>
        <v>80</v>
      </c>
      <c r="CK5" s="194">
        <f t="shared" si="2"/>
        <v>81</v>
      </c>
      <c r="CL5" s="194">
        <f t="shared" si="2"/>
        <v>82</v>
      </c>
      <c r="CM5" s="194">
        <f t="shared" si="2"/>
        <v>83</v>
      </c>
      <c r="CN5" s="194">
        <f t="shared" si="2"/>
        <v>84</v>
      </c>
    </row>
    <row r="6" spans="1:92" x14ac:dyDescent="0.2">
      <c r="A6" s="10"/>
      <c r="B6" s="24" t="s">
        <v>678</v>
      </c>
      <c r="C6" s="24"/>
      <c r="D6" s="26" t="s">
        <v>679</v>
      </c>
      <c r="E6" s="26" t="s">
        <v>680</v>
      </c>
      <c r="F6" s="26" t="s">
        <v>681</v>
      </c>
      <c r="G6" s="26" t="s">
        <v>682</v>
      </c>
      <c r="H6" s="26" t="s">
        <v>24</v>
      </c>
      <c r="I6" s="207">
        <f>$D$10</f>
        <v>46023</v>
      </c>
      <c r="J6" s="207">
        <f t="shared" ref="J6:AO6" si="3">EDATE(I6,1)</f>
        <v>46054</v>
      </c>
      <c r="K6" s="207">
        <f t="shared" si="3"/>
        <v>46082</v>
      </c>
      <c r="L6" s="207">
        <f t="shared" si="3"/>
        <v>46113</v>
      </c>
      <c r="M6" s="207">
        <f t="shared" si="3"/>
        <v>46143</v>
      </c>
      <c r="N6" s="207">
        <f t="shared" si="3"/>
        <v>46174</v>
      </c>
      <c r="O6" s="207">
        <f t="shared" si="3"/>
        <v>46204</v>
      </c>
      <c r="P6" s="207">
        <f t="shared" si="3"/>
        <v>46235</v>
      </c>
      <c r="Q6" s="207">
        <f t="shared" si="3"/>
        <v>46266</v>
      </c>
      <c r="R6" s="207">
        <f t="shared" si="3"/>
        <v>46296</v>
      </c>
      <c r="S6" s="207">
        <f t="shared" si="3"/>
        <v>46327</v>
      </c>
      <c r="T6" s="207">
        <f t="shared" si="3"/>
        <v>46357</v>
      </c>
      <c r="U6" s="207">
        <f t="shared" si="3"/>
        <v>46388</v>
      </c>
      <c r="V6" s="207">
        <f t="shared" si="3"/>
        <v>46419</v>
      </c>
      <c r="W6" s="207">
        <f t="shared" si="3"/>
        <v>46447</v>
      </c>
      <c r="X6" s="207">
        <f t="shared" si="3"/>
        <v>46478</v>
      </c>
      <c r="Y6" s="207">
        <f t="shared" si="3"/>
        <v>46508</v>
      </c>
      <c r="Z6" s="207">
        <f t="shared" si="3"/>
        <v>46539</v>
      </c>
      <c r="AA6" s="207">
        <f t="shared" si="3"/>
        <v>46569</v>
      </c>
      <c r="AB6" s="207">
        <f t="shared" si="3"/>
        <v>46600</v>
      </c>
      <c r="AC6" s="207">
        <f t="shared" si="3"/>
        <v>46631</v>
      </c>
      <c r="AD6" s="207">
        <f t="shared" si="3"/>
        <v>46661</v>
      </c>
      <c r="AE6" s="207">
        <f t="shared" si="3"/>
        <v>46692</v>
      </c>
      <c r="AF6" s="207">
        <f t="shared" si="3"/>
        <v>46722</v>
      </c>
      <c r="AG6" s="207">
        <f t="shared" si="3"/>
        <v>46753</v>
      </c>
      <c r="AH6" s="207">
        <f t="shared" si="3"/>
        <v>46784</v>
      </c>
      <c r="AI6" s="207">
        <f t="shared" si="3"/>
        <v>46813</v>
      </c>
      <c r="AJ6" s="207">
        <f t="shared" si="3"/>
        <v>46844</v>
      </c>
      <c r="AK6" s="207">
        <f t="shared" si="3"/>
        <v>46874</v>
      </c>
      <c r="AL6" s="207">
        <f t="shared" si="3"/>
        <v>46905</v>
      </c>
      <c r="AM6" s="207">
        <f t="shared" si="3"/>
        <v>46935</v>
      </c>
      <c r="AN6" s="207">
        <f t="shared" si="3"/>
        <v>46966</v>
      </c>
      <c r="AO6" s="207">
        <f t="shared" si="3"/>
        <v>46997</v>
      </c>
      <c r="AP6" s="207">
        <f t="shared" ref="AP6:BU6" si="4">EDATE(AO6,1)</f>
        <v>47027</v>
      </c>
      <c r="AQ6" s="207">
        <f t="shared" si="4"/>
        <v>47058</v>
      </c>
      <c r="AR6" s="207">
        <f t="shared" si="4"/>
        <v>47088</v>
      </c>
      <c r="AS6" s="207">
        <f t="shared" si="4"/>
        <v>47119</v>
      </c>
      <c r="AT6" s="207">
        <f t="shared" si="4"/>
        <v>47150</v>
      </c>
      <c r="AU6" s="207">
        <f t="shared" si="4"/>
        <v>47178</v>
      </c>
      <c r="AV6" s="207">
        <f t="shared" si="4"/>
        <v>47209</v>
      </c>
      <c r="AW6" s="207">
        <f t="shared" si="4"/>
        <v>47239</v>
      </c>
      <c r="AX6" s="207">
        <f t="shared" si="4"/>
        <v>47270</v>
      </c>
      <c r="AY6" s="207">
        <f t="shared" si="4"/>
        <v>47300</v>
      </c>
      <c r="AZ6" s="207">
        <f t="shared" si="4"/>
        <v>47331</v>
      </c>
      <c r="BA6" s="207">
        <f t="shared" si="4"/>
        <v>47362</v>
      </c>
      <c r="BB6" s="207">
        <f t="shared" si="4"/>
        <v>47392</v>
      </c>
      <c r="BC6" s="207">
        <f t="shared" si="4"/>
        <v>47423</v>
      </c>
      <c r="BD6" s="207">
        <f t="shared" si="4"/>
        <v>47453</v>
      </c>
      <c r="BE6" s="207">
        <f t="shared" si="4"/>
        <v>47484</v>
      </c>
      <c r="BF6" s="207">
        <f t="shared" si="4"/>
        <v>47515</v>
      </c>
      <c r="BG6" s="207">
        <f t="shared" si="4"/>
        <v>47543</v>
      </c>
      <c r="BH6" s="207">
        <f t="shared" si="4"/>
        <v>47574</v>
      </c>
      <c r="BI6" s="207">
        <f t="shared" si="4"/>
        <v>47604</v>
      </c>
      <c r="BJ6" s="207">
        <f t="shared" si="4"/>
        <v>47635</v>
      </c>
      <c r="BK6" s="207">
        <f t="shared" si="4"/>
        <v>47665</v>
      </c>
      <c r="BL6" s="207">
        <f t="shared" si="4"/>
        <v>47696</v>
      </c>
      <c r="BM6" s="207">
        <f t="shared" si="4"/>
        <v>47727</v>
      </c>
      <c r="BN6" s="207">
        <f t="shared" si="4"/>
        <v>47757</v>
      </c>
      <c r="BO6" s="207">
        <f t="shared" si="4"/>
        <v>47788</v>
      </c>
      <c r="BP6" s="207">
        <f t="shared" si="4"/>
        <v>47818</v>
      </c>
      <c r="BQ6" s="207">
        <f t="shared" si="4"/>
        <v>47849</v>
      </c>
      <c r="BR6" s="207">
        <f t="shared" si="4"/>
        <v>47880</v>
      </c>
      <c r="BS6" s="207">
        <f t="shared" si="4"/>
        <v>47908</v>
      </c>
      <c r="BT6" s="207">
        <f t="shared" si="4"/>
        <v>47939</v>
      </c>
      <c r="BU6" s="207">
        <f t="shared" si="4"/>
        <v>47969</v>
      </c>
      <c r="BV6" s="207">
        <f t="shared" ref="BV6:CN6" si="5">EDATE(BU6,1)</f>
        <v>48000</v>
      </c>
      <c r="BW6" s="207">
        <f t="shared" si="5"/>
        <v>48030</v>
      </c>
      <c r="BX6" s="207">
        <f t="shared" si="5"/>
        <v>48061</v>
      </c>
      <c r="BY6" s="207">
        <f t="shared" si="5"/>
        <v>48092</v>
      </c>
      <c r="BZ6" s="207">
        <f t="shared" si="5"/>
        <v>48122</v>
      </c>
      <c r="CA6" s="207">
        <f t="shared" si="5"/>
        <v>48153</v>
      </c>
      <c r="CB6" s="207">
        <f t="shared" si="5"/>
        <v>48183</v>
      </c>
      <c r="CC6" s="207">
        <f t="shared" si="5"/>
        <v>48214</v>
      </c>
      <c r="CD6" s="207">
        <f t="shared" si="5"/>
        <v>48245</v>
      </c>
      <c r="CE6" s="207">
        <f t="shared" si="5"/>
        <v>48274</v>
      </c>
      <c r="CF6" s="207">
        <f t="shared" si="5"/>
        <v>48305</v>
      </c>
      <c r="CG6" s="207">
        <f t="shared" si="5"/>
        <v>48335</v>
      </c>
      <c r="CH6" s="207">
        <f t="shared" si="5"/>
        <v>48366</v>
      </c>
      <c r="CI6" s="207">
        <f t="shared" si="5"/>
        <v>48396</v>
      </c>
      <c r="CJ6" s="207">
        <f t="shared" si="5"/>
        <v>48427</v>
      </c>
      <c r="CK6" s="207">
        <f t="shared" si="5"/>
        <v>48458</v>
      </c>
      <c r="CL6" s="207">
        <f t="shared" si="5"/>
        <v>48488</v>
      </c>
      <c r="CM6" s="207">
        <f t="shared" si="5"/>
        <v>48519</v>
      </c>
      <c r="CN6" s="207">
        <f t="shared" si="5"/>
        <v>48549</v>
      </c>
    </row>
    <row r="7" spans="1:92" x14ac:dyDescent="0.2">
      <c r="A7" s="10"/>
      <c r="B7" s="10"/>
      <c r="C7" s="10" t="s">
        <v>739</v>
      </c>
      <c r="D7" s="17"/>
      <c r="E7" s="17"/>
      <c r="F7" s="17"/>
      <c r="G7" s="17"/>
      <c r="H7" s="17"/>
      <c r="I7" s="196">
        <f t="shared" ref="I7:AN7" si="6">YEAR(I6)</f>
        <v>2026</v>
      </c>
      <c r="J7" s="196">
        <f t="shared" si="6"/>
        <v>2026</v>
      </c>
      <c r="K7" s="196">
        <f t="shared" si="6"/>
        <v>2026</v>
      </c>
      <c r="L7" s="196">
        <f t="shared" si="6"/>
        <v>2026</v>
      </c>
      <c r="M7" s="196">
        <f t="shared" si="6"/>
        <v>2026</v>
      </c>
      <c r="N7" s="196">
        <f t="shared" si="6"/>
        <v>2026</v>
      </c>
      <c r="O7" s="196">
        <f t="shared" si="6"/>
        <v>2026</v>
      </c>
      <c r="P7" s="196">
        <f t="shared" si="6"/>
        <v>2026</v>
      </c>
      <c r="Q7" s="196">
        <f t="shared" si="6"/>
        <v>2026</v>
      </c>
      <c r="R7" s="196">
        <f t="shared" si="6"/>
        <v>2026</v>
      </c>
      <c r="S7" s="196">
        <f t="shared" si="6"/>
        <v>2026</v>
      </c>
      <c r="T7" s="196">
        <f t="shared" si="6"/>
        <v>2026</v>
      </c>
      <c r="U7" s="196">
        <f t="shared" si="6"/>
        <v>2027</v>
      </c>
      <c r="V7" s="196">
        <f t="shared" si="6"/>
        <v>2027</v>
      </c>
      <c r="W7" s="196">
        <f t="shared" si="6"/>
        <v>2027</v>
      </c>
      <c r="X7" s="196">
        <f t="shared" si="6"/>
        <v>2027</v>
      </c>
      <c r="Y7" s="196">
        <f t="shared" si="6"/>
        <v>2027</v>
      </c>
      <c r="Z7" s="196">
        <f t="shared" si="6"/>
        <v>2027</v>
      </c>
      <c r="AA7" s="196">
        <f t="shared" si="6"/>
        <v>2027</v>
      </c>
      <c r="AB7" s="196">
        <f t="shared" si="6"/>
        <v>2027</v>
      </c>
      <c r="AC7" s="196">
        <f t="shared" si="6"/>
        <v>2027</v>
      </c>
      <c r="AD7" s="196">
        <f t="shared" si="6"/>
        <v>2027</v>
      </c>
      <c r="AE7" s="196">
        <f t="shared" si="6"/>
        <v>2027</v>
      </c>
      <c r="AF7" s="196">
        <f t="shared" si="6"/>
        <v>2027</v>
      </c>
      <c r="AG7" s="196">
        <f t="shared" si="6"/>
        <v>2028</v>
      </c>
      <c r="AH7" s="196">
        <f t="shared" si="6"/>
        <v>2028</v>
      </c>
      <c r="AI7" s="196">
        <f t="shared" si="6"/>
        <v>2028</v>
      </c>
      <c r="AJ7" s="196">
        <f t="shared" si="6"/>
        <v>2028</v>
      </c>
      <c r="AK7" s="196">
        <f t="shared" si="6"/>
        <v>2028</v>
      </c>
      <c r="AL7" s="196">
        <f t="shared" si="6"/>
        <v>2028</v>
      </c>
      <c r="AM7" s="196">
        <f t="shared" si="6"/>
        <v>2028</v>
      </c>
      <c r="AN7" s="196">
        <f t="shared" si="6"/>
        <v>2028</v>
      </c>
      <c r="AO7" s="196">
        <f t="shared" ref="AO7:BT7" si="7">YEAR(AO6)</f>
        <v>2028</v>
      </c>
      <c r="AP7" s="196">
        <f t="shared" si="7"/>
        <v>2028</v>
      </c>
      <c r="AQ7" s="196">
        <f t="shared" si="7"/>
        <v>2028</v>
      </c>
      <c r="AR7" s="196">
        <f t="shared" si="7"/>
        <v>2028</v>
      </c>
      <c r="AS7" s="196">
        <f t="shared" si="7"/>
        <v>2029</v>
      </c>
      <c r="AT7" s="196">
        <f t="shared" si="7"/>
        <v>2029</v>
      </c>
      <c r="AU7" s="196">
        <f t="shared" si="7"/>
        <v>2029</v>
      </c>
      <c r="AV7" s="196">
        <f t="shared" si="7"/>
        <v>2029</v>
      </c>
      <c r="AW7" s="196">
        <f t="shared" si="7"/>
        <v>2029</v>
      </c>
      <c r="AX7" s="196">
        <f t="shared" si="7"/>
        <v>2029</v>
      </c>
      <c r="AY7" s="196">
        <f t="shared" si="7"/>
        <v>2029</v>
      </c>
      <c r="AZ7" s="196">
        <f t="shared" si="7"/>
        <v>2029</v>
      </c>
      <c r="BA7" s="196">
        <f t="shared" si="7"/>
        <v>2029</v>
      </c>
      <c r="BB7" s="196">
        <f t="shared" si="7"/>
        <v>2029</v>
      </c>
      <c r="BC7" s="196">
        <f t="shared" si="7"/>
        <v>2029</v>
      </c>
      <c r="BD7" s="196">
        <f t="shared" si="7"/>
        <v>2029</v>
      </c>
      <c r="BE7" s="196">
        <f t="shared" si="7"/>
        <v>2030</v>
      </c>
      <c r="BF7" s="196">
        <f t="shared" si="7"/>
        <v>2030</v>
      </c>
      <c r="BG7" s="196">
        <f t="shared" si="7"/>
        <v>2030</v>
      </c>
      <c r="BH7" s="196">
        <f t="shared" si="7"/>
        <v>2030</v>
      </c>
      <c r="BI7" s="196">
        <f t="shared" si="7"/>
        <v>2030</v>
      </c>
      <c r="BJ7" s="196">
        <f t="shared" si="7"/>
        <v>2030</v>
      </c>
      <c r="BK7" s="196">
        <f t="shared" si="7"/>
        <v>2030</v>
      </c>
      <c r="BL7" s="196">
        <f t="shared" si="7"/>
        <v>2030</v>
      </c>
      <c r="BM7" s="196">
        <f t="shared" si="7"/>
        <v>2030</v>
      </c>
      <c r="BN7" s="196">
        <f t="shared" si="7"/>
        <v>2030</v>
      </c>
      <c r="BO7" s="196">
        <f t="shared" si="7"/>
        <v>2030</v>
      </c>
      <c r="BP7" s="196">
        <f t="shared" si="7"/>
        <v>2030</v>
      </c>
      <c r="BQ7" s="196">
        <f t="shared" si="7"/>
        <v>2031</v>
      </c>
      <c r="BR7" s="196">
        <f t="shared" si="7"/>
        <v>2031</v>
      </c>
      <c r="BS7" s="196">
        <f t="shared" si="7"/>
        <v>2031</v>
      </c>
      <c r="BT7" s="196">
        <f t="shared" si="7"/>
        <v>2031</v>
      </c>
      <c r="BU7" s="196">
        <f t="shared" ref="BU7:CN7" si="8">YEAR(BU6)</f>
        <v>2031</v>
      </c>
      <c r="BV7" s="196">
        <f t="shared" si="8"/>
        <v>2031</v>
      </c>
      <c r="BW7" s="196">
        <f t="shared" si="8"/>
        <v>2031</v>
      </c>
      <c r="BX7" s="196">
        <f t="shared" si="8"/>
        <v>2031</v>
      </c>
      <c r="BY7" s="196">
        <f t="shared" si="8"/>
        <v>2031</v>
      </c>
      <c r="BZ7" s="196">
        <f t="shared" si="8"/>
        <v>2031</v>
      </c>
      <c r="CA7" s="196">
        <f t="shared" si="8"/>
        <v>2031</v>
      </c>
      <c r="CB7" s="196">
        <f t="shared" si="8"/>
        <v>2031</v>
      </c>
      <c r="CC7" s="196">
        <f t="shared" si="8"/>
        <v>2032</v>
      </c>
      <c r="CD7" s="196">
        <f t="shared" si="8"/>
        <v>2032</v>
      </c>
      <c r="CE7" s="196">
        <f t="shared" si="8"/>
        <v>2032</v>
      </c>
      <c r="CF7" s="196">
        <f t="shared" si="8"/>
        <v>2032</v>
      </c>
      <c r="CG7" s="196">
        <f t="shared" si="8"/>
        <v>2032</v>
      </c>
      <c r="CH7" s="196">
        <f t="shared" si="8"/>
        <v>2032</v>
      </c>
      <c r="CI7" s="196">
        <f t="shared" si="8"/>
        <v>2032</v>
      </c>
      <c r="CJ7" s="196">
        <f t="shared" si="8"/>
        <v>2032</v>
      </c>
      <c r="CK7" s="196">
        <f t="shared" si="8"/>
        <v>2032</v>
      </c>
      <c r="CL7" s="196">
        <f t="shared" si="8"/>
        <v>2032</v>
      </c>
      <c r="CM7" s="196">
        <f t="shared" si="8"/>
        <v>2032</v>
      </c>
      <c r="CN7" s="196">
        <f t="shared" si="8"/>
        <v>2032</v>
      </c>
    </row>
    <row r="8" spans="1:92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</row>
    <row r="9" spans="1:92" x14ac:dyDescent="0.2">
      <c r="A9" s="10"/>
      <c r="B9" s="24" t="s">
        <v>683</v>
      </c>
      <c r="C9" s="24"/>
      <c r="D9" s="24"/>
      <c r="E9" s="24"/>
      <c r="F9" s="24"/>
      <c r="G9" s="24"/>
      <c r="H9" s="2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</row>
    <row r="10" spans="1:92" x14ac:dyDescent="0.2">
      <c r="A10" s="10"/>
      <c r="B10" s="10"/>
      <c r="C10" s="10" t="s">
        <v>684</v>
      </c>
      <c r="D10" s="214">
        <v>46023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</row>
    <row r="11" spans="1:92" x14ac:dyDescent="0.2">
      <c r="A11" s="10"/>
      <c r="B11" s="10"/>
      <c r="C11" s="10" t="s">
        <v>685</v>
      </c>
      <c r="D11" s="39"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</row>
    <row r="12" spans="1:92" x14ac:dyDescent="0.2">
      <c r="A12" s="10"/>
      <c r="B12" s="10"/>
      <c r="C12" s="10" t="s">
        <v>55</v>
      </c>
      <c r="D12" s="42">
        <f>MANAGEMENT!$H$6</f>
        <v>0.09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</row>
    <row r="13" spans="1:92" x14ac:dyDescent="0.2">
      <c r="A13" s="10"/>
      <c r="B13" s="10"/>
      <c r="C13" s="10" t="s">
        <v>805</v>
      </c>
      <c r="D13" s="58">
        <f>E19</f>
        <v>5769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</row>
    <row r="14" spans="1:92" x14ac:dyDescent="0.2">
      <c r="A14" s="10"/>
      <c r="B14" s="10" t="s">
        <v>686</v>
      </c>
      <c r="C14" s="29" t="s">
        <v>36</v>
      </c>
      <c r="D14" s="29" t="s">
        <v>687</v>
      </c>
      <c r="E14" s="29" t="s">
        <v>688</v>
      </c>
      <c r="F14" s="29" t="s">
        <v>689</v>
      </c>
      <c r="G14" s="29" t="s">
        <v>690</v>
      </c>
      <c r="H14" s="29" t="s">
        <v>429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</row>
    <row r="15" spans="1:92" x14ac:dyDescent="0.2">
      <c r="A15" s="10"/>
      <c r="B15" s="10"/>
      <c r="C15" s="53" t="s">
        <v>802</v>
      </c>
      <c r="D15" s="58">
        <v>3</v>
      </c>
      <c r="E15" s="58">
        <v>471</v>
      </c>
      <c r="F15" s="106">
        <f>IFERROR(E15/D15,0)</f>
        <v>157</v>
      </c>
      <c r="G15" s="60">
        <v>27000</v>
      </c>
      <c r="H15" s="12">
        <f>E15*G15/1000</f>
        <v>12717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</row>
    <row r="16" spans="1:92" x14ac:dyDescent="0.2">
      <c r="A16" s="10"/>
      <c r="B16" s="10"/>
      <c r="C16" s="53" t="s">
        <v>803</v>
      </c>
      <c r="D16" s="58">
        <v>14</v>
      </c>
      <c r="E16" s="58">
        <v>2940</v>
      </c>
      <c r="F16" s="106">
        <f>IFERROR(E16/D16,0)</f>
        <v>210</v>
      </c>
      <c r="G16" s="60">
        <v>25000</v>
      </c>
      <c r="H16" s="12">
        <f>E16*G16/1000</f>
        <v>73500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</row>
    <row r="17" spans="1:92" x14ac:dyDescent="0.2">
      <c r="A17" s="10"/>
      <c r="B17" s="10"/>
      <c r="C17" s="53" t="s">
        <v>804</v>
      </c>
      <c r="D17" s="58">
        <v>9</v>
      </c>
      <c r="E17" s="58">
        <v>2358</v>
      </c>
      <c r="F17" s="106">
        <f>IFERROR(E17/D17,0)</f>
        <v>262</v>
      </c>
      <c r="G17" s="60">
        <v>24000</v>
      </c>
      <c r="H17" s="12">
        <f>E17*G17/1000</f>
        <v>56592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</row>
    <row r="18" spans="1:92" x14ac:dyDescent="0.2">
      <c r="A18" s="10"/>
      <c r="B18" s="10"/>
      <c r="C18" s="53"/>
      <c r="D18" s="58">
        <v>0</v>
      </c>
      <c r="E18" s="58">
        <v>0</v>
      </c>
      <c r="F18" s="106">
        <f>IFERROR(E18/D18,0)</f>
        <v>0</v>
      </c>
      <c r="G18" s="58">
        <v>0</v>
      </c>
      <c r="H18" s="12">
        <f>E18*G18/1000</f>
        <v>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</row>
    <row r="19" spans="1:92" x14ac:dyDescent="0.2">
      <c r="A19" s="10"/>
      <c r="B19" s="49"/>
      <c r="C19" s="49" t="s">
        <v>691</v>
      </c>
      <c r="D19" s="209">
        <f>SUM(D15:D18)</f>
        <v>26</v>
      </c>
      <c r="E19" s="209">
        <f>SUM(E15:E18)</f>
        <v>5769</v>
      </c>
      <c r="F19" s="209">
        <f>IFERROR(E19/D19,0)</f>
        <v>221.88461538461539</v>
      </c>
      <c r="G19" s="209">
        <f>IFERROR(H19*1000/E19,0)</f>
        <v>24754.550182007279</v>
      </c>
      <c r="H19" s="50">
        <f>SUM(H15:H18)</f>
        <v>142809</v>
      </c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</row>
    <row r="20" spans="1:92" x14ac:dyDescent="0.2">
      <c r="A20" s="10"/>
      <c r="B20" s="10"/>
      <c r="C20" s="10"/>
      <c r="D20" s="10"/>
      <c r="E20" s="10"/>
      <c r="F20" s="10"/>
      <c r="G20" s="10"/>
      <c r="H20" s="12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</row>
    <row r="21" spans="1:92" x14ac:dyDescent="0.2">
      <c r="A21" s="10"/>
      <c r="B21" s="24" t="s">
        <v>29</v>
      </c>
      <c r="C21" s="24"/>
      <c r="D21" s="24"/>
      <c r="E21" s="24"/>
      <c r="F21" s="24"/>
      <c r="G21" s="24"/>
      <c r="H21" s="28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</row>
    <row r="22" spans="1:92" x14ac:dyDescent="0.2">
      <c r="A22" s="10"/>
      <c r="B22" s="10"/>
      <c r="C22" s="10" t="s">
        <v>692</v>
      </c>
      <c r="D22" s="58">
        <v>13000</v>
      </c>
      <c r="E22" s="214">
        <v>46388</v>
      </c>
      <c r="F22" s="40">
        <v>24</v>
      </c>
      <c r="G22" s="10" t="s">
        <v>693</v>
      </c>
      <c r="H22" s="12">
        <f>D22*D13/1000</f>
        <v>74997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</row>
    <row r="23" spans="1:92" x14ac:dyDescent="0.2">
      <c r="A23" s="10"/>
      <c r="B23" s="10"/>
      <c r="C23" s="10" t="s">
        <v>694</v>
      </c>
      <c r="D23" s="60">
        <v>5560</v>
      </c>
      <c r="E23" s="208">
        <f>E22</f>
        <v>46388</v>
      </c>
      <c r="F23" s="52">
        <f>F22</f>
        <v>24</v>
      </c>
      <c r="G23" s="10" t="s">
        <v>695</v>
      </c>
      <c r="H23" s="12">
        <f>D23</f>
        <v>5560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</row>
    <row r="24" spans="1:92" x14ac:dyDescent="0.2">
      <c r="A24" s="10"/>
      <c r="B24" s="10"/>
      <c r="C24" s="10" t="s">
        <v>696</v>
      </c>
      <c r="D24" s="40">
        <v>1</v>
      </c>
      <c r="E24" s="208"/>
      <c r="F24" s="52"/>
      <c r="G24" s="10"/>
      <c r="H24" s="12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</row>
    <row r="25" spans="1:92" x14ac:dyDescent="0.2">
      <c r="A25" s="10"/>
      <c r="B25" s="10"/>
      <c r="C25" s="10" t="s">
        <v>697</v>
      </c>
      <c r="D25" s="10"/>
      <c r="E25" s="208">
        <f>EDATE(E22,F22)</f>
        <v>47119</v>
      </c>
      <c r="F25" s="52"/>
      <c r="G25" s="10"/>
      <c r="H25" s="12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</row>
    <row r="26" spans="1:92" x14ac:dyDescent="0.2">
      <c r="A26" s="10"/>
      <c r="B26" s="10"/>
      <c r="C26" s="10"/>
      <c r="D26" s="10"/>
      <c r="E26" s="208"/>
      <c r="F26" s="52"/>
      <c r="G26" s="10"/>
      <c r="H26" s="12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</row>
    <row r="27" spans="1:92" x14ac:dyDescent="0.2">
      <c r="A27" s="10"/>
      <c r="B27" s="24" t="s">
        <v>698</v>
      </c>
      <c r="C27" s="24"/>
      <c r="D27" s="24" t="s">
        <v>699</v>
      </c>
      <c r="E27" s="206" t="s">
        <v>680</v>
      </c>
      <c r="F27" s="25" t="s">
        <v>681</v>
      </c>
      <c r="G27" s="24"/>
      <c r="H27" s="28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</row>
    <row r="28" spans="1:92" x14ac:dyDescent="0.2">
      <c r="A28" s="10"/>
      <c r="B28" s="10"/>
      <c r="C28" s="10" t="s">
        <v>700</v>
      </c>
      <c r="D28" s="39">
        <v>0.4</v>
      </c>
      <c r="E28" s="214">
        <v>46447</v>
      </c>
      <c r="F28" s="40">
        <v>6</v>
      </c>
      <c r="G28" s="10"/>
      <c r="H28" s="12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</row>
    <row r="29" spans="1:92" x14ac:dyDescent="0.2">
      <c r="A29" s="10"/>
      <c r="B29" s="10"/>
      <c r="C29" s="10" t="s">
        <v>701</v>
      </c>
      <c r="D29" s="18">
        <f>1-D28-D30</f>
        <v>0.44999999999999996</v>
      </c>
      <c r="E29" s="208">
        <f>MAX(EDATE(E28,F28),E22)</f>
        <v>46631</v>
      </c>
      <c r="F29" s="52">
        <f>MAX(0,(YEAR(E25)-YEAR(E29))*12+MONTH(E25)-MONTH(E29))</f>
        <v>16</v>
      </c>
      <c r="G29" s="10"/>
      <c r="H29" s="12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</row>
    <row r="30" spans="1:92" x14ac:dyDescent="0.2">
      <c r="A30" s="10"/>
      <c r="B30" s="10"/>
      <c r="C30" s="10" t="s">
        <v>702</v>
      </c>
      <c r="D30" s="39">
        <v>0.15</v>
      </c>
      <c r="E30" s="208">
        <f>EDATE(E25,1)</f>
        <v>47150</v>
      </c>
      <c r="F30" s="40">
        <v>6</v>
      </c>
      <c r="G30" s="10"/>
      <c r="H30" s="12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</row>
    <row r="31" spans="1:92" x14ac:dyDescent="0.2">
      <c r="A31" s="10"/>
      <c r="B31" s="49"/>
      <c r="C31" s="49" t="s">
        <v>703</v>
      </c>
      <c r="D31" s="212">
        <f>SUM(D28:D30)</f>
        <v>1</v>
      </c>
      <c r="E31" s="210"/>
      <c r="F31" s="211"/>
      <c r="G31" s="49"/>
      <c r="H31" s="50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  <c r="CK31" s="49"/>
      <c r="CL31" s="49"/>
      <c r="CM31" s="49"/>
      <c r="CN31" s="49"/>
    </row>
    <row r="32" spans="1:92" x14ac:dyDescent="0.2">
      <c r="A32" s="10"/>
      <c r="B32" s="10"/>
      <c r="C32" s="10" t="s">
        <v>704</v>
      </c>
      <c r="D32" s="18"/>
      <c r="E32" s="208">
        <f>IF(F30&gt;0,EDATE(E30,F30),EDATE(E25,1))</f>
        <v>47331</v>
      </c>
      <c r="F32" s="52"/>
      <c r="G32" s="10"/>
      <c r="H32" s="12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</row>
    <row r="33" spans="1:92" x14ac:dyDescent="0.2">
      <c r="A33" s="10"/>
      <c r="B33" s="10"/>
      <c r="C33" s="10"/>
      <c r="D33" s="18"/>
      <c r="E33" s="208"/>
      <c r="F33" s="52"/>
      <c r="G33" s="10"/>
      <c r="H33" s="12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</row>
    <row r="34" spans="1:92" x14ac:dyDescent="0.2">
      <c r="A34" s="10"/>
      <c r="B34" s="24" t="s">
        <v>705</v>
      </c>
      <c r="C34" s="24"/>
      <c r="D34" s="213" t="s">
        <v>706</v>
      </c>
      <c r="E34" s="206"/>
      <c r="F34" s="25"/>
      <c r="G34" s="24"/>
      <c r="H34" s="28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</row>
    <row r="35" spans="1:92" x14ac:dyDescent="0.2">
      <c r="A35" s="10"/>
      <c r="B35" s="10"/>
      <c r="C35" s="10" t="s">
        <v>707</v>
      </c>
      <c r="D35" s="85">
        <v>0.3</v>
      </c>
      <c r="E35" s="208"/>
      <c r="F35" s="52"/>
      <c r="G35" s="23" t="s">
        <v>711</v>
      </c>
      <c r="H35" s="12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</row>
    <row r="36" spans="1:92" x14ac:dyDescent="0.2">
      <c r="A36" s="10"/>
      <c r="B36" s="10"/>
      <c r="C36" s="10" t="s">
        <v>708</v>
      </c>
      <c r="D36" s="85">
        <v>0.5</v>
      </c>
      <c r="E36" s="208"/>
      <c r="F36" s="52"/>
      <c r="G36" s="10"/>
      <c r="H36" s="12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</row>
    <row r="37" spans="1:92" x14ac:dyDescent="0.2">
      <c r="A37" s="10"/>
      <c r="B37" s="10"/>
      <c r="C37" s="10" t="s">
        <v>709</v>
      </c>
      <c r="D37" s="85">
        <v>0.2</v>
      </c>
      <c r="E37" s="208"/>
      <c r="F37" s="52"/>
      <c r="G37" s="10"/>
      <c r="H37" s="12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</row>
    <row r="38" spans="1:92" x14ac:dyDescent="0.2">
      <c r="A38" s="10"/>
      <c r="B38" s="10"/>
      <c r="C38" s="10" t="s">
        <v>806</v>
      </c>
      <c r="D38" s="39">
        <v>0</v>
      </c>
      <c r="E38" s="208"/>
      <c r="F38" s="52"/>
      <c r="G38" s="10"/>
      <c r="H38" s="12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</row>
    <row r="39" spans="1:92" x14ac:dyDescent="0.2">
      <c r="A39" s="10"/>
      <c r="B39" s="49"/>
      <c r="C39" s="49" t="s">
        <v>24</v>
      </c>
      <c r="D39" s="212">
        <f>SUM(D35:D38)</f>
        <v>1</v>
      </c>
      <c r="E39" s="210"/>
      <c r="F39" s="211"/>
      <c r="G39" s="49"/>
      <c r="H39" s="50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  <c r="CK39" s="49"/>
      <c r="CL39" s="49"/>
      <c r="CM39" s="49"/>
      <c r="CN39" s="49"/>
    </row>
    <row r="40" spans="1:92" x14ac:dyDescent="0.2">
      <c r="A40" s="10"/>
      <c r="B40" s="10"/>
      <c r="C40" s="10"/>
      <c r="D40" s="10"/>
      <c r="E40" s="208"/>
      <c r="F40" s="52"/>
      <c r="G40" s="10"/>
      <c r="H40" s="12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</row>
    <row r="41" spans="1:92" x14ac:dyDescent="0.2">
      <c r="A41" s="10"/>
      <c r="B41" s="24" t="s">
        <v>33</v>
      </c>
      <c r="C41" s="24"/>
      <c r="D41" s="24" t="s">
        <v>679</v>
      </c>
      <c r="E41" s="206" t="s">
        <v>680</v>
      </c>
      <c r="F41" s="25" t="s">
        <v>712</v>
      </c>
      <c r="G41" s="24" t="s">
        <v>682</v>
      </c>
      <c r="H41" s="28" t="s">
        <v>713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</row>
    <row r="42" spans="1:92" x14ac:dyDescent="0.2">
      <c r="A42" s="10"/>
      <c r="B42" s="10"/>
      <c r="C42" s="10" t="s">
        <v>714</v>
      </c>
      <c r="D42" s="58">
        <v>0</v>
      </c>
      <c r="E42" s="191">
        <f>$E$22</f>
        <v>46388</v>
      </c>
      <c r="F42" s="40">
        <v>12</v>
      </c>
      <c r="G42" s="10" t="s">
        <v>715</v>
      </c>
      <c r="H42" s="12">
        <f>D42</f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</row>
    <row r="43" spans="1:92" x14ac:dyDescent="0.2">
      <c r="A43" s="10"/>
      <c r="B43" s="10"/>
      <c r="C43" s="10" t="s">
        <v>716</v>
      </c>
      <c r="D43" s="39">
        <v>0.03</v>
      </c>
      <c r="E43" s="208">
        <f>E42</f>
        <v>46388</v>
      </c>
      <c r="F43" s="52">
        <f>F42</f>
        <v>12</v>
      </c>
      <c r="G43" s="10" t="s">
        <v>717</v>
      </c>
      <c r="H43" s="12">
        <f>D43*H42</f>
        <v>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</row>
    <row r="44" spans="1:92" x14ac:dyDescent="0.2">
      <c r="A44" s="10"/>
      <c r="B44" s="10"/>
      <c r="C44" s="10" t="s">
        <v>807</v>
      </c>
      <c r="D44" s="58">
        <v>200</v>
      </c>
      <c r="E44" s="191">
        <f>$E$22</f>
        <v>46388</v>
      </c>
      <c r="F44" s="40">
        <v>6</v>
      </c>
      <c r="G44" s="10" t="s">
        <v>715</v>
      </c>
      <c r="H44" s="12">
        <f>D44</f>
        <v>200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</row>
    <row r="45" spans="1:92" x14ac:dyDescent="0.2">
      <c r="A45" s="10"/>
      <c r="B45" s="10"/>
      <c r="C45" s="10" t="s">
        <v>718</v>
      </c>
      <c r="D45" s="60">
        <v>1000</v>
      </c>
      <c r="E45" s="214">
        <v>46113</v>
      </c>
      <c r="F45" s="40">
        <v>12</v>
      </c>
      <c r="G45" s="10" t="s">
        <v>715</v>
      </c>
      <c r="H45" s="12">
        <f>D45</f>
        <v>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</row>
    <row r="46" spans="1:92" x14ac:dyDescent="0.2">
      <c r="A46" s="10"/>
      <c r="B46" s="10"/>
      <c r="C46" s="10" t="s">
        <v>719</v>
      </c>
      <c r="D46" s="60">
        <v>200</v>
      </c>
      <c r="E46" s="214">
        <v>46113</v>
      </c>
      <c r="F46" s="40">
        <v>12</v>
      </c>
      <c r="G46" s="10" t="s">
        <v>715</v>
      </c>
      <c r="H46" s="12">
        <f>D46</f>
        <v>200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</row>
    <row r="47" spans="1:92" x14ac:dyDescent="0.2">
      <c r="A47" s="10"/>
      <c r="B47" s="10"/>
      <c r="C47" s="10" t="s">
        <v>720</v>
      </c>
      <c r="D47" s="60">
        <v>300</v>
      </c>
      <c r="E47" s="214">
        <v>46113</v>
      </c>
      <c r="F47" s="40">
        <v>6</v>
      </c>
      <c r="G47" s="10" t="s">
        <v>715</v>
      </c>
      <c r="H47" s="12">
        <f>D47</f>
        <v>300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</row>
    <row r="48" spans="1:92" x14ac:dyDescent="0.2">
      <c r="A48" s="10"/>
      <c r="B48" s="10"/>
      <c r="C48" s="10" t="s">
        <v>721</v>
      </c>
      <c r="D48" s="60">
        <v>2250</v>
      </c>
      <c r="E48" s="191">
        <f>$E$22</f>
        <v>46388</v>
      </c>
      <c r="F48" s="40">
        <v>24</v>
      </c>
      <c r="G48" s="10" t="s">
        <v>715</v>
      </c>
      <c r="H48" s="12">
        <f>D48</f>
        <v>2250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</row>
    <row r="49" spans="1:92" x14ac:dyDescent="0.2">
      <c r="A49" s="10"/>
      <c r="B49" s="10"/>
      <c r="C49" s="10" t="s">
        <v>722</v>
      </c>
      <c r="D49" s="111">
        <v>0.01</v>
      </c>
      <c r="E49" s="191">
        <f>$E$22</f>
        <v>46388</v>
      </c>
      <c r="F49" s="37">
        <f>$F$22</f>
        <v>24</v>
      </c>
      <c r="G49" s="10" t="s">
        <v>723</v>
      </c>
      <c r="H49" s="12">
        <f>D49*H22</f>
        <v>749.97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</row>
    <row r="50" spans="1:92" x14ac:dyDescent="0.2">
      <c r="A50" s="10"/>
      <c r="B50" s="10"/>
      <c r="C50" s="10" t="s">
        <v>724</v>
      </c>
      <c r="D50" s="39">
        <v>0</v>
      </c>
      <c r="E50" s="191">
        <f>$E$22</f>
        <v>46388</v>
      </c>
      <c r="F50" s="40">
        <v>24</v>
      </c>
      <c r="G50" s="10" t="s">
        <v>725</v>
      </c>
      <c r="H50" s="12">
        <f>D50*H19</f>
        <v>0</v>
      </c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</row>
    <row r="51" spans="1:92" x14ac:dyDescent="0.2">
      <c r="A51" s="10"/>
      <c r="B51" s="10"/>
      <c r="C51" s="10" t="s">
        <v>726</v>
      </c>
      <c r="D51" s="39">
        <v>0.02</v>
      </c>
      <c r="E51" s="214">
        <v>46419</v>
      </c>
      <c r="F51" s="40">
        <v>12</v>
      </c>
      <c r="G51" s="10" t="s">
        <v>725</v>
      </c>
      <c r="H51" s="12">
        <f>D51*H19</f>
        <v>2856.18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</row>
    <row r="52" spans="1:92" x14ac:dyDescent="0.2">
      <c r="A52" s="10"/>
      <c r="B52" s="10"/>
      <c r="C52" s="10" t="s">
        <v>727</v>
      </c>
      <c r="D52" s="39">
        <v>0.04</v>
      </c>
      <c r="E52" s="208"/>
      <c r="F52" s="52"/>
      <c r="G52" s="10" t="s">
        <v>728</v>
      </c>
      <c r="H52" s="12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</row>
    <row r="53" spans="1:92" x14ac:dyDescent="0.2">
      <c r="A53" s="10"/>
      <c r="B53" s="10"/>
      <c r="C53" s="10" t="s">
        <v>729</v>
      </c>
      <c r="D53" s="39">
        <v>0.04</v>
      </c>
      <c r="E53" s="208"/>
      <c r="F53" s="52"/>
      <c r="G53" s="10" t="s">
        <v>730</v>
      </c>
      <c r="H53" s="12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</row>
    <row r="54" spans="1:92" x14ac:dyDescent="0.2">
      <c r="A54" s="10"/>
      <c r="B54" s="10"/>
      <c r="C54" s="10" t="s">
        <v>731</v>
      </c>
      <c r="D54" s="39">
        <v>0.04</v>
      </c>
      <c r="E54" s="208"/>
      <c r="F54" s="52"/>
      <c r="G54" s="10" t="s">
        <v>730</v>
      </c>
      <c r="H54" s="12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</row>
    <row r="55" spans="1:92" x14ac:dyDescent="0.2">
      <c r="A55" s="10"/>
      <c r="B55" s="10"/>
      <c r="C55" s="10" t="s">
        <v>732</v>
      </c>
      <c r="D55" s="39">
        <v>0</v>
      </c>
      <c r="E55" s="208"/>
      <c r="F55" s="52"/>
      <c r="G55" s="10" t="s">
        <v>733</v>
      </c>
      <c r="H55" s="12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</row>
    <row r="56" spans="1:92" x14ac:dyDescent="0.2">
      <c r="A56" s="10"/>
      <c r="B56" s="10"/>
      <c r="C56" s="10"/>
      <c r="D56" s="10"/>
      <c r="E56" s="208"/>
      <c r="F56" s="52"/>
      <c r="G56" s="10"/>
      <c r="H56" s="12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</row>
    <row r="57" spans="1:92" x14ac:dyDescent="0.2">
      <c r="A57" s="10"/>
      <c r="B57" s="10"/>
      <c r="C57" s="10"/>
      <c r="D57" s="10"/>
      <c r="E57" s="208"/>
      <c r="F57" s="52"/>
      <c r="G57" s="10"/>
      <c r="H57" s="12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</row>
    <row r="58" spans="1:92" x14ac:dyDescent="0.2">
      <c r="A58" s="10"/>
      <c r="B58" s="24" t="s">
        <v>734</v>
      </c>
      <c r="C58" s="24"/>
      <c r="D58" s="24"/>
      <c r="E58" s="206"/>
      <c r="F58" s="25"/>
      <c r="G58" s="24"/>
      <c r="H58" s="28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</row>
    <row r="59" spans="1:92" x14ac:dyDescent="0.2">
      <c r="A59" s="10"/>
      <c r="B59" s="10"/>
      <c r="C59" s="10" t="s">
        <v>735</v>
      </c>
      <c r="D59" s="39">
        <v>0.6</v>
      </c>
      <c r="E59" s="208"/>
      <c r="F59" s="52"/>
      <c r="G59" s="10"/>
      <c r="H59" s="12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</row>
    <row r="60" spans="1:92" x14ac:dyDescent="0.2">
      <c r="A60" s="10"/>
      <c r="B60" s="10"/>
      <c r="C60" s="10" t="s">
        <v>736</v>
      </c>
      <c r="D60" s="39">
        <v>0.12</v>
      </c>
      <c r="E60" s="208"/>
      <c r="F60" s="52"/>
      <c r="G60" s="10"/>
      <c r="H60" s="12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</row>
    <row r="61" spans="1:92" x14ac:dyDescent="0.2">
      <c r="A61" s="10"/>
      <c r="B61" s="10"/>
      <c r="C61" s="10" t="s">
        <v>737</v>
      </c>
      <c r="D61" s="10"/>
      <c r="E61" s="208">
        <f>E32</f>
        <v>47331</v>
      </c>
      <c r="F61" s="52"/>
      <c r="G61" s="10"/>
      <c r="H61" s="12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</row>
    <row r="62" spans="1:92" x14ac:dyDescent="0.2">
      <c r="A62" s="10"/>
      <c r="B62" s="10"/>
      <c r="C62" s="10" t="s">
        <v>808</v>
      </c>
      <c r="D62" s="334" t="s">
        <v>779</v>
      </c>
      <c r="E62" s="335"/>
      <c r="F62" s="335"/>
      <c r="G62" s="23" t="s">
        <v>809</v>
      </c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</row>
    <row r="63" spans="1:92" x14ac:dyDescent="0.2">
      <c r="A63" s="10"/>
      <c r="B63" s="24" t="s">
        <v>740</v>
      </c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</row>
    <row r="64" spans="1:92" x14ac:dyDescent="0.2">
      <c r="A64" s="10"/>
      <c r="B64" s="142" t="s">
        <v>741</v>
      </c>
      <c r="C64" s="10" t="s">
        <v>35</v>
      </c>
      <c r="D64" s="10"/>
      <c r="E64" s="10"/>
      <c r="F64" s="10"/>
      <c r="G64" s="10"/>
      <c r="H64" s="10"/>
      <c r="I64" s="203" t="str">
        <f t="shared" ref="I64:AN64" si="9">IF(AND(I$6&gt;=$E$28,I$6&lt;EDATE($E$28,$F$28)),"Launch",IF(AND(I$6&gt;=$E$29,I$6&lt;$E$25),"Construction",IF(I$6=$E$25,"Keys",IF(AND(I$6&gt;=$E$30,I$6&lt;$E$32),"Post",IF(I$6=$E$32,"Transfer","")))))</f>
        <v/>
      </c>
      <c r="J64" s="203" t="str">
        <f t="shared" si="9"/>
        <v/>
      </c>
      <c r="K64" s="203" t="str">
        <f t="shared" si="9"/>
        <v/>
      </c>
      <c r="L64" s="203" t="str">
        <f t="shared" si="9"/>
        <v/>
      </c>
      <c r="M64" s="203" t="str">
        <f t="shared" si="9"/>
        <v/>
      </c>
      <c r="N64" s="203" t="str">
        <f t="shared" si="9"/>
        <v/>
      </c>
      <c r="O64" s="203" t="str">
        <f t="shared" si="9"/>
        <v/>
      </c>
      <c r="P64" s="203" t="str">
        <f t="shared" si="9"/>
        <v/>
      </c>
      <c r="Q64" s="203" t="str">
        <f t="shared" si="9"/>
        <v/>
      </c>
      <c r="R64" s="203" t="str">
        <f t="shared" si="9"/>
        <v/>
      </c>
      <c r="S64" s="203" t="str">
        <f t="shared" si="9"/>
        <v/>
      </c>
      <c r="T64" s="203" t="str">
        <f t="shared" si="9"/>
        <v/>
      </c>
      <c r="U64" s="203" t="str">
        <f t="shared" si="9"/>
        <v/>
      </c>
      <c r="V64" s="203" t="str">
        <f t="shared" si="9"/>
        <v/>
      </c>
      <c r="W64" s="203" t="str">
        <f t="shared" si="9"/>
        <v>Lanç.</v>
      </c>
      <c r="X64" s="203" t="str">
        <f t="shared" si="9"/>
        <v>Lanç.</v>
      </c>
      <c r="Y64" s="203" t="str">
        <f t="shared" si="9"/>
        <v>Lanç.</v>
      </c>
      <c r="Z64" s="203" t="str">
        <f t="shared" si="9"/>
        <v>Lanç.</v>
      </c>
      <c r="AA64" s="203" t="str">
        <f t="shared" si="9"/>
        <v>Lanç.</v>
      </c>
      <c r="AB64" s="203" t="str">
        <f t="shared" si="9"/>
        <v>Lanç.</v>
      </c>
      <c r="AC64" s="203" t="str">
        <f t="shared" si="9"/>
        <v>Obra</v>
      </c>
      <c r="AD64" s="203" t="str">
        <f t="shared" si="9"/>
        <v>Obra</v>
      </c>
      <c r="AE64" s="203" t="str">
        <f t="shared" si="9"/>
        <v>Obra</v>
      </c>
      <c r="AF64" s="203" t="str">
        <f t="shared" si="9"/>
        <v>Obra</v>
      </c>
      <c r="AG64" s="203" t="str">
        <f t="shared" si="9"/>
        <v>Obra</v>
      </c>
      <c r="AH64" s="203" t="str">
        <f t="shared" si="9"/>
        <v>Obra</v>
      </c>
      <c r="AI64" s="203" t="str">
        <f t="shared" si="9"/>
        <v>Obra</v>
      </c>
      <c r="AJ64" s="203" t="str">
        <f t="shared" si="9"/>
        <v>Obra</v>
      </c>
      <c r="AK64" s="203" t="str">
        <f t="shared" si="9"/>
        <v>Obra</v>
      </c>
      <c r="AL64" s="203" t="str">
        <f t="shared" si="9"/>
        <v>Obra</v>
      </c>
      <c r="AM64" s="203" t="str">
        <f t="shared" si="9"/>
        <v>Obra</v>
      </c>
      <c r="AN64" s="203" t="str">
        <f t="shared" si="9"/>
        <v>Obra</v>
      </c>
      <c r="AO64" s="203" t="str">
        <f t="shared" ref="AO64:BT64" si="10">IF(AND(AO$6&gt;=$E$28,AO$6&lt;EDATE($E$28,$F$28)),"Launch",IF(AND(AO$6&gt;=$E$29,AO$6&lt;$E$25),"Construction",IF(AO$6=$E$25,"Keys",IF(AND(AO$6&gt;=$E$30,AO$6&lt;$E$32),"Post",IF(AO$6=$E$32,"Transfer","")))))</f>
        <v>Obra</v>
      </c>
      <c r="AP64" s="203" t="str">
        <f t="shared" si="10"/>
        <v>Obra</v>
      </c>
      <c r="AQ64" s="203" t="str">
        <f t="shared" si="10"/>
        <v>Obra</v>
      </c>
      <c r="AR64" s="203" t="str">
        <f t="shared" si="10"/>
        <v>Obra</v>
      </c>
      <c r="AS64" s="203" t="str">
        <f t="shared" si="10"/>
        <v>Chaves</v>
      </c>
      <c r="AT64" s="203" t="str">
        <f t="shared" si="10"/>
        <v>Pós</v>
      </c>
      <c r="AU64" s="203" t="str">
        <f t="shared" si="10"/>
        <v>Pós</v>
      </c>
      <c r="AV64" s="203" t="str">
        <f t="shared" si="10"/>
        <v>Pós</v>
      </c>
      <c r="AW64" s="203" t="str">
        <f t="shared" si="10"/>
        <v>Pós</v>
      </c>
      <c r="AX64" s="203" t="str">
        <f t="shared" si="10"/>
        <v>Pós</v>
      </c>
      <c r="AY64" s="203" t="str">
        <f t="shared" si="10"/>
        <v>Pós</v>
      </c>
      <c r="AZ64" s="203" t="str">
        <f t="shared" si="10"/>
        <v>Repasse</v>
      </c>
      <c r="BA64" s="203" t="str">
        <f t="shared" si="10"/>
        <v/>
      </c>
      <c r="BB64" s="203" t="str">
        <f t="shared" si="10"/>
        <v/>
      </c>
      <c r="BC64" s="203" t="str">
        <f t="shared" si="10"/>
        <v/>
      </c>
      <c r="BD64" s="203" t="str">
        <f t="shared" si="10"/>
        <v/>
      </c>
      <c r="BE64" s="203" t="str">
        <f t="shared" si="10"/>
        <v/>
      </c>
      <c r="BF64" s="203" t="str">
        <f t="shared" si="10"/>
        <v/>
      </c>
      <c r="BG64" s="203" t="str">
        <f t="shared" si="10"/>
        <v/>
      </c>
      <c r="BH64" s="203" t="str">
        <f t="shared" si="10"/>
        <v/>
      </c>
      <c r="BI64" s="203" t="str">
        <f t="shared" si="10"/>
        <v/>
      </c>
      <c r="BJ64" s="203" t="str">
        <f t="shared" si="10"/>
        <v/>
      </c>
      <c r="BK64" s="203" t="str">
        <f t="shared" si="10"/>
        <v/>
      </c>
      <c r="BL64" s="203" t="str">
        <f t="shared" si="10"/>
        <v/>
      </c>
      <c r="BM64" s="203" t="str">
        <f t="shared" si="10"/>
        <v/>
      </c>
      <c r="BN64" s="203" t="str">
        <f t="shared" si="10"/>
        <v/>
      </c>
      <c r="BO64" s="203" t="str">
        <f t="shared" si="10"/>
        <v/>
      </c>
      <c r="BP64" s="203" t="str">
        <f t="shared" si="10"/>
        <v/>
      </c>
      <c r="BQ64" s="203" t="str">
        <f t="shared" si="10"/>
        <v/>
      </c>
      <c r="BR64" s="203" t="str">
        <f t="shared" si="10"/>
        <v/>
      </c>
      <c r="BS64" s="203" t="str">
        <f t="shared" si="10"/>
        <v/>
      </c>
      <c r="BT64" s="203" t="str">
        <f t="shared" si="10"/>
        <v/>
      </c>
      <c r="BU64" s="203" t="str">
        <f t="shared" ref="BU64:CN64" si="11">IF(AND(BU$6&gt;=$E$28,BU$6&lt;EDATE($E$28,$F$28)),"Launch",IF(AND(BU$6&gt;=$E$29,BU$6&lt;$E$25),"Construction",IF(BU$6=$E$25,"Keys",IF(AND(BU$6&gt;=$E$30,BU$6&lt;$E$32),"Post",IF(BU$6=$E$32,"Transfer","")))))</f>
        <v/>
      </c>
      <c r="BV64" s="203" t="str">
        <f t="shared" si="11"/>
        <v/>
      </c>
      <c r="BW64" s="203" t="str">
        <f t="shared" si="11"/>
        <v/>
      </c>
      <c r="BX64" s="203" t="str">
        <f t="shared" si="11"/>
        <v/>
      </c>
      <c r="BY64" s="203" t="str">
        <f t="shared" si="11"/>
        <v/>
      </c>
      <c r="BZ64" s="203" t="str">
        <f t="shared" si="11"/>
        <v/>
      </c>
      <c r="CA64" s="203" t="str">
        <f t="shared" si="11"/>
        <v/>
      </c>
      <c r="CB64" s="203" t="str">
        <f t="shared" si="11"/>
        <v/>
      </c>
      <c r="CC64" s="203" t="str">
        <f t="shared" si="11"/>
        <v/>
      </c>
      <c r="CD64" s="203" t="str">
        <f t="shared" si="11"/>
        <v/>
      </c>
      <c r="CE64" s="203" t="str">
        <f t="shared" si="11"/>
        <v/>
      </c>
      <c r="CF64" s="203" t="str">
        <f t="shared" si="11"/>
        <v/>
      </c>
      <c r="CG64" s="203" t="str">
        <f t="shared" si="11"/>
        <v/>
      </c>
      <c r="CH64" s="203" t="str">
        <f t="shared" si="11"/>
        <v/>
      </c>
      <c r="CI64" s="203" t="str">
        <f t="shared" si="11"/>
        <v/>
      </c>
      <c r="CJ64" s="203" t="str">
        <f t="shared" si="11"/>
        <v/>
      </c>
      <c r="CK64" s="203" t="str">
        <f t="shared" si="11"/>
        <v/>
      </c>
      <c r="CL64" s="203" t="str">
        <f t="shared" si="11"/>
        <v/>
      </c>
      <c r="CM64" s="203" t="str">
        <f t="shared" si="11"/>
        <v/>
      </c>
      <c r="CN64" s="203" t="str">
        <f t="shared" si="11"/>
        <v/>
      </c>
    </row>
    <row r="65" spans="1:92" x14ac:dyDescent="0.2">
      <c r="A65" s="10"/>
      <c r="B65" s="10"/>
      <c r="C65" s="10" t="s">
        <v>742</v>
      </c>
      <c r="D65" s="10"/>
      <c r="E65" s="10"/>
      <c r="F65" s="10"/>
      <c r="G65" s="10"/>
      <c r="H65" s="18">
        <f>SUM(I65:CN65)</f>
        <v>0.99999999999999956</v>
      </c>
      <c r="I65" s="51">
        <f t="shared" ref="I65:AN65" si="12">IFERROR(IF(AND(I$6&gt;=$E$28,I$6&lt;EDATE($E$28,$F$28)),$D$28/$F$28,IF(AND(I$6&gt;=$E$29,I$6&lt;$E$25),$D$29/$F$29,IF(AND(I$6&gt;=$E$30,I$6&lt;$E$32),$D$30/$F$30,0))),0)</f>
        <v>0</v>
      </c>
      <c r="J65" s="51">
        <f t="shared" si="12"/>
        <v>0</v>
      </c>
      <c r="K65" s="51">
        <f t="shared" si="12"/>
        <v>0</v>
      </c>
      <c r="L65" s="51">
        <f t="shared" si="12"/>
        <v>0</v>
      </c>
      <c r="M65" s="51">
        <f t="shared" si="12"/>
        <v>0</v>
      </c>
      <c r="N65" s="51">
        <f t="shared" si="12"/>
        <v>0</v>
      </c>
      <c r="O65" s="51">
        <f t="shared" si="12"/>
        <v>0</v>
      </c>
      <c r="P65" s="51">
        <f t="shared" si="12"/>
        <v>0</v>
      </c>
      <c r="Q65" s="51">
        <f t="shared" si="12"/>
        <v>0</v>
      </c>
      <c r="R65" s="51">
        <f t="shared" si="12"/>
        <v>0</v>
      </c>
      <c r="S65" s="51">
        <f t="shared" si="12"/>
        <v>0</v>
      </c>
      <c r="T65" s="51">
        <f t="shared" si="12"/>
        <v>0</v>
      </c>
      <c r="U65" s="51">
        <f t="shared" si="12"/>
        <v>0</v>
      </c>
      <c r="V65" s="51">
        <f t="shared" si="12"/>
        <v>0</v>
      </c>
      <c r="W65" s="51">
        <f t="shared" si="12"/>
        <v>6.6666666666666666E-2</v>
      </c>
      <c r="X65" s="51">
        <f t="shared" si="12"/>
        <v>6.6666666666666666E-2</v>
      </c>
      <c r="Y65" s="51">
        <f t="shared" si="12"/>
        <v>6.6666666666666666E-2</v>
      </c>
      <c r="Z65" s="51">
        <f t="shared" si="12"/>
        <v>6.6666666666666666E-2</v>
      </c>
      <c r="AA65" s="51">
        <f t="shared" si="12"/>
        <v>6.6666666666666666E-2</v>
      </c>
      <c r="AB65" s="51">
        <f t="shared" si="12"/>
        <v>6.6666666666666666E-2</v>
      </c>
      <c r="AC65" s="51">
        <f t="shared" si="12"/>
        <v>2.8124999999999997E-2</v>
      </c>
      <c r="AD65" s="51">
        <f t="shared" si="12"/>
        <v>2.8124999999999997E-2</v>
      </c>
      <c r="AE65" s="51">
        <f t="shared" si="12"/>
        <v>2.8124999999999997E-2</v>
      </c>
      <c r="AF65" s="51">
        <f t="shared" si="12"/>
        <v>2.8124999999999997E-2</v>
      </c>
      <c r="AG65" s="51">
        <f t="shared" si="12"/>
        <v>2.8124999999999997E-2</v>
      </c>
      <c r="AH65" s="51">
        <f t="shared" si="12"/>
        <v>2.8124999999999997E-2</v>
      </c>
      <c r="AI65" s="51">
        <f t="shared" si="12"/>
        <v>2.8124999999999997E-2</v>
      </c>
      <c r="AJ65" s="51">
        <f t="shared" si="12"/>
        <v>2.8124999999999997E-2</v>
      </c>
      <c r="AK65" s="51">
        <f t="shared" si="12"/>
        <v>2.8124999999999997E-2</v>
      </c>
      <c r="AL65" s="51">
        <f t="shared" si="12"/>
        <v>2.8124999999999997E-2</v>
      </c>
      <c r="AM65" s="51">
        <f t="shared" si="12"/>
        <v>2.8124999999999997E-2</v>
      </c>
      <c r="AN65" s="51">
        <f t="shared" si="12"/>
        <v>2.8124999999999997E-2</v>
      </c>
      <c r="AO65" s="51">
        <f t="shared" ref="AO65:BT65" si="13">IFERROR(IF(AND(AO$6&gt;=$E$28,AO$6&lt;EDATE($E$28,$F$28)),$D$28/$F$28,IF(AND(AO$6&gt;=$E$29,AO$6&lt;$E$25),$D$29/$F$29,IF(AND(AO$6&gt;=$E$30,AO$6&lt;$E$32),$D$30/$F$30,0))),0)</f>
        <v>2.8124999999999997E-2</v>
      </c>
      <c r="AP65" s="51">
        <f t="shared" si="13"/>
        <v>2.8124999999999997E-2</v>
      </c>
      <c r="AQ65" s="51">
        <f t="shared" si="13"/>
        <v>2.8124999999999997E-2</v>
      </c>
      <c r="AR65" s="51">
        <f t="shared" si="13"/>
        <v>2.8124999999999997E-2</v>
      </c>
      <c r="AS65" s="51">
        <f t="shared" si="13"/>
        <v>0</v>
      </c>
      <c r="AT65" s="51">
        <f t="shared" si="13"/>
        <v>2.4999999999999998E-2</v>
      </c>
      <c r="AU65" s="51">
        <f t="shared" si="13"/>
        <v>2.4999999999999998E-2</v>
      </c>
      <c r="AV65" s="51">
        <f t="shared" si="13"/>
        <v>2.4999999999999998E-2</v>
      </c>
      <c r="AW65" s="51">
        <f t="shared" si="13"/>
        <v>2.4999999999999998E-2</v>
      </c>
      <c r="AX65" s="51">
        <f t="shared" si="13"/>
        <v>2.4999999999999998E-2</v>
      </c>
      <c r="AY65" s="51">
        <f t="shared" si="13"/>
        <v>2.4999999999999998E-2</v>
      </c>
      <c r="AZ65" s="51">
        <f t="shared" si="13"/>
        <v>0</v>
      </c>
      <c r="BA65" s="51">
        <f t="shared" si="13"/>
        <v>0</v>
      </c>
      <c r="BB65" s="51">
        <f t="shared" si="13"/>
        <v>0</v>
      </c>
      <c r="BC65" s="51">
        <f t="shared" si="13"/>
        <v>0</v>
      </c>
      <c r="BD65" s="51">
        <f t="shared" si="13"/>
        <v>0</v>
      </c>
      <c r="BE65" s="51">
        <f t="shared" si="13"/>
        <v>0</v>
      </c>
      <c r="BF65" s="51">
        <f t="shared" si="13"/>
        <v>0</v>
      </c>
      <c r="BG65" s="51">
        <f t="shared" si="13"/>
        <v>0</v>
      </c>
      <c r="BH65" s="51">
        <f t="shared" si="13"/>
        <v>0</v>
      </c>
      <c r="BI65" s="51">
        <f t="shared" si="13"/>
        <v>0</v>
      </c>
      <c r="BJ65" s="51">
        <f t="shared" si="13"/>
        <v>0</v>
      </c>
      <c r="BK65" s="51">
        <f t="shared" si="13"/>
        <v>0</v>
      </c>
      <c r="BL65" s="51">
        <f t="shared" si="13"/>
        <v>0</v>
      </c>
      <c r="BM65" s="51">
        <f t="shared" si="13"/>
        <v>0</v>
      </c>
      <c r="BN65" s="51">
        <f t="shared" si="13"/>
        <v>0</v>
      </c>
      <c r="BO65" s="51">
        <f t="shared" si="13"/>
        <v>0</v>
      </c>
      <c r="BP65" s="51">
        <f t="shared" si="13"/>
        <v>0</v>
      </c>
      <c r="BQ65" s="51">
        <f t="shared" si="13"/>
        <v>0</v>
      </c>
      <c r="BR65" s="51">
        <f t="shared" si="13"/>
        <v>0</v>
      </c>
      <c r="BS65" s="51">
        <f t="shared" si="13"/>
        <v>0</v>
      </c>
      <c r="BT65" s="51">
        <f t="shared" si="13"/>
        <v>0</v>
      </c>
      <c r="BU65" s="51">
        <f t="shared" ref="BU65:CN65" si="14">IFERROR(IF(AND(BU$6&gt;=$E$28,BU$6&lt;EDATE($E$28,$F$28)),$D$28/$F$28,IF(AND(BU$6&gt;=$E$29,BU$6&lt;$E$25),$D$29/$F$29,IF(AND(BU$6&gt;=$E$30,BU$6&lt;$E$32),$D$30/$F$30,0))),0)</f>
        <v>0</v>
      </c>
      <c r="BV65" s="51">
        <f t="shared" si="14"/>
        <v>0</v>
      </c>
      <c r="BW65" s="51">
        <f t="shared" si="14"/>
        <v>0</v>
      </c>
      <c r="BX65" s="51">
        <f t="shared" si="14"/>
        <v>0</v>
      </c>
      <c r="BY65" s="51">
        <f t="shared" si="14"/>
        <v>0</v>
      </c>
      <c r="BZ65" s="51">
        <f t="shared" si="14"/>
        <v>0</v>
      </c>
      <c r="CA65" s="51">
        <f t="shared" si="14"/>
        <v>0</v>
      </c>
      <c r="CB65" s="51">
        <f t="shared" si="14"/>
        <v>0</v>
      </c>
      <c r="CC65" s="51">
        <f t="shared" si="14"/>
        <v>0</v>
      </c>
      <c r="CD65" s="51">
        <f t="shared" si="14"/>
        <v>0</v>
      </c>
      <c r="CE65" s="51">
        <f t="shared" si="14"/>
        <v>0</v>
      </c>
      <c r="CF65" s="51">
        <f t="shared" si="14"/>
        <v>0</v>
      </c>
      <c r="CG65" s="51">
        <f t="shared" si="14"/>
        <v>0</v>
      </c>
      <c r="CH65" s="51">
        <f t="shared" si="14"/>
        <v>0</v>
      </c>
      <c r="CI65" s="51">
        <f t="shared" si="14"/>
        <v>0</v>
      </c>
      <c r="CJ65" s="51">
        <f t="shared" si="14"/>
        <v>0</v>
      </c>
      <c r="CK65" s="51">
        <f t="shared" si="14"/>
        <v>0</v>
      </c>
      <c r="CL65" s="51">
        <f t="shared" si="14"/>
        <v>0</v>
      </c>
      <c r="CM65" s="51">
        <f t="shared" si="14"/>
        <v>0</v>
      </c>
      <c r="CN65" s="51">
        <f t="shared" si="14"/>
        <v>0</v>
      </c>
    </row>
    <row r="66" spans="1:92" x14ac:dyDescent="0.2">
      <c r="A66" s="10"/>
      <c r="B66" s="10"/>
      <c r="C66" s="10" t="s">
        <v>743</v>
      </c>
      <c r="D66" s="10"/>
      <c r="E66" s="10"/>
      <c r="F66" s="10"/>
      <c r="G66" s="10"/>
      <c r="H66" s="10"/>
      <c r="I66" s="51">
        <f>I65</f>
        <v>0</v>
      </c>
      <c r="J66" s="51">
        <f t="shared" ref="J66:AO66" si="15">I66+J65</f>
        <v>0</v>
      </c>
      <c r="K66" s="51">
        <f t="shared" si="15"/>
        <v>0</v>
      </c>
      <c r="L66" s="51">
        <f t="shared" si="15"/>
        <v>0</v>
      </c>
      <c r="M66" s="51">
        <f t="shared" si="15"/>
        <v>0</v>
      </c>
      <c r="N66" s="51">
        <f t="shared" si="15"/>
        <v>0</v>
      </c>
      <c r="O66" s="51">
        <f t="shared" si="15"/>
        <v>0</v>
      </c>
      <c r="P66" s="51">
        <f t="shared" si="15"/>
        <v>0</v>
      </c>
      <c r="Q66" s="51">
        <f t="shared" si="15"/>
        <v>0</v>
      </c>
      <c r="R66" s="51">
        <f t="shared" si="15"/>
        <v>0</v>
      </c>
      <c r="S66" s="51">
        <f t="shared" si="15"/>
        <v>0</v>
      </c>
      <c r="T66" s="51">
        <f t="shared" si="15"/>
        <v>0</v>
      </c>
      <c r="U66" s="51">
        <f t="shared" si="15"/>
        <v>0</v>
      </c>
      <c r="V66" s="51">
        <f t="shared" si="15"/>
        <v>0</v>
      </c>
      <c r="W66" s="51">
        <f t="shared" si="15"/>
        <v>6.6666666666666666E-2</v>
      </c>
      <c r="X66" s="51">
        <f t="shared" si="15"/>
        <v>0.13333333333333333</v>
      </c>
      <c r="Y66" s="51">
        <f t="shared" si="15"/>
        <v>0.2</v>
      </c>
      <c r="Z66" s="51">
        <f t="shared" si="15"/>
        <v>0.26666666666666666</v>
      </c>
      <c r="AA66" s="51">
        <f t="shared" si="15"/>
        <v>0.33333333333333331</v>
      </c>
      <c r="AB66" s="51">
        <f t="shared" si="15"/>
        <v>0.39999999999999997</v>
      </c>
      <c r="AC66" s="51">
        <f t="shared" si="15"/>
        <v>0.42812499999999998</v>
      </c>
      <c r="AD66" s="51">
        <f t="shared" si="15"/>
        <v>0.45624999999999999</v>
      </c>
      <c r="AE66" s="51">
        <f t="shared" si="15"/>
        <v>0.484375</v>
      </c>
      <c r="AF66" s="51">
        <f t="shared" si="15"/>
        <v>0.51249999999999996</v>
      </c>
      <c r="AG66" s="51">
        <f t="shared" si="15"/>
        <v>0.54062499999999991</v>
      </c>
      <c r="AH66" s="51">
        <f t="shared" si="15"/>
        <v>0.56874999999999987</v>
      </c>
      <c r="AI66" s="51">
        <f t="shared" si="15"/>
        <v>0.59687499999999982</v>
      </c>
      <c r="AJ66" s="51">
        <f t="shared" si="15"/>
        <v>0.62499999999999978</v>
      </c>
      <c r="AK66" s="51">
        <f t="shared" si="15"/>
        <v>0.65312499999999973</v>
      </c>
      <c r="AL66" s="51">
        <f t="shared" si="15"/>
        <v>0.68124999999999969</v>
      </c>
      <c r="AM66" s="51">
        <f t="shared" si="15"/>
        <v>0.70937499999999964</v>
      </c>
      <c r="AN66" s="51">
        <f t="shared" si="15"/>
        <v>0.7374999999999996</v>
      </c>
      <c r="AO66" s="51">
        <f t="shared" si="15"/>
        <v>0.76562499999999956</v>
      </c>
      <c r="AP66" s="51">
        <f t="shared" ref="AP66:BU66" si="16">AO66+AP65</f>
        <v>0.79374999999999951</v>
      </c>
      <c r="AQ66" s="51">
        <f t="shared" si="16"/>
        <v>0.82187499999999947</v>
      </c>
      <c r="AR66" s="51">
        <f t="shared" si="16"/>
        <v>0.84999999999999942</v>
      </c>
      <c r="AS66" s="51">
        <f t="shared" si="16"/>
        <v>0.84999999999999942</v>
      </c>
      <c r="AT66" s="51">
        <f t="shared" si="16"/>
        <v>0.87499999999999944</v>
      </c>
      <c r="AU66" s="51">
        <f t="shared" si="16"/>
        <v>0.89999999999999947</v>
      </c>
      <c r="AV66" s="51">
        <f t="shared" si="16"/>
        <v>0.92499999999999949</v>
      </c>
      <c r="AW66" s="51">
        <f t="shared" si="16"/>
        <v>0.94999999999999951</v>
      </c>
      <c r="AX66" s="51">
        <f t="shared" si="16"/>
        <v>0.97499999999999953</v>
      </c>
      <c r="AY66" s="51">
        <f t="shared" si="16"/>
        <v>0.99999999999999956</v>
      </c>
      <c r="AZ66" s="51">
        <f t="shared" si="16"/>
        <v>0.99999999999999956</v>
      </c>
      <c r="BA66" s="51">
        <f t="shared" si="16"/>
        <v>0.99999999999999956</v>
      </c>
      <c r="BB66" s="51">
        <f t="shared" si="16"/>
        <v>0.99999999999999956</v>
      </c>
      <c r="BC66" s="51">
        <f t="shared" si="16"/>
        <v>0.99999999999999956</v>
      </c>
      <c r="BD66" s="51">
        <f t="shared" si="16"/>
        <v>0.99999999999999956</v>
      </c>
      <c r="BE66" s="51">
        <f t="shared" si="16"/>
        <v>0.99999999999999956</v>
      </c>
      <c r="BF66" s="51">
        <f t="shared" si="16"/>
        <v>0.99999999999999956</v>
      </c>
      <c r="BG66" s="51">
        <f t="shared" si="16"/>
        <v>0.99999999999999956</v>
      </c>
      <c r="BH66" s="51">
        <f t="shared" si="16"/>
        <v>0.99999999999999956</v>
      </c>
      <c r="BI66" s="51">
        <f t="shared" si="16"/>
        <v>0.99999999999999956</v>
      </c>
      <c r="BJ66" s="51">
        <f t="shared" si="16"/>
        <v>0.99999999999999956</v>
      </c>
      <c r="BK66" s="51">
        <f t="shared" si="16"/>
        <v>0.99999999999999956</v>
      </c>
      <c r="BL66" s="51">
        <f t="shared" si="16"/>
        <v>0.99999999999999956</v>
      </c>
      <c r="BM66" s="51">
        <f t="shared" si="16"/>
        <v>0.99999999999999956</v>
      </c>
      <c r="BN66" s="51">
        <f t="shared" si="16"/>
        <v>0.99999999999999956</v>
      </c>
      <c r="BO66" s="51">
        <f t="shared" si="16"/>
        <v>0.99999999999999956</v>
      </c>
      <c r="BP66" s="51">
        <f t="shared" si="16"/>
        <v>0.99999999999999956</v>
      </c>
      <c r="BQ66" s="51">
        <f t="shared" si="16"/>
        <v>0.99999999999999956</v>
      </c>
      <c r="BR66" s="51">
        <f t="shared" si="16"/>
        <v>0.99999999999999956</v>
      </c>
      <c r="BS66" s="51">
        <f t="shared" si="16"/>
        <v>0.99999999999999956</v>
      </c>
      <c r="BT66" s="51">
        <f t="shared" si="16"/>
        <v>0.99999999999999956</v>
      </c>
      <c r="BU66" s="51">
        <f t="shared" si="16"/>
        <v>0.99999999999999956</v>
      </c>
      <c r="BV66" s="51">
        <f t="shared" ref="BV66:CN66" si="17">BU66+BV65</f>
        <v>0.99999999999999956</v>
      </c>
      <c r="BW66" s="51">
        <f t="shared" si="17"/>
        <v>0.99999999999999956</v>
      </c>
      <c r="BX66" s="51">
        <f t="shared" si="17"/>
        <v>0.99999999999999956</v>
      </c>
      <c r="BY66" s="51">
        <f t="shared" si="17"/>
        <v>0.99999999999999956</v>
      </c>
      <c r="BZ66" s="51">
        <f t="shared" si="17"/>
        <v>0.99999999999999956</v>
      </c>
      <c r="CA66" s="51">
        <f t="shared" si="17"/>
        <v>0.99999999999999956</v>
      </c>
      <c r="CB66" s="51">
        <f t="shared" si="17"/>
        <v>0.99999999999999956</v>
      </c>
      <c r="CC66" s="51">
        <f t="shared" si="17"/>
        <v>0.99999999999999956</v>
      </c>
      <c r="CD66" s="51">
        <f t="shared" si="17"/>
        <v>0.99999999999999956</v>
      </c>
      <c r="CE66" s="51">
        <f t="shared" si="17"/>
        <v>0.99999999999999956</v>
      </c>
      <c r="CF66" s="51">
        <f t="shared" si="17"/>
        <v>0.99999999999999956</v>
      </c>
      <c r="CG66" s="51">
        <f t="shared" si="17"/>
        <v>0.99999999999999956</v>
      </c>
      <c r="CH66" s="51">
        <f t="shared" si="17"/>
        <v>0.99999999999999956</v>
      </c>
      <c r="CI66" s="51">
        <f t="shared" si="17"/>
        <v>0.99999999999999956</v>
      </c>
      <c r="CJ66" s="51">
        <f t="shared" si="17"/>
        <v>0.99999999999999956</v>
      </c>
      <c r="CK66" s="51">
        <f t="shared" si="17"/>
        <v>0.99999999999999956</v>
      </c>
      <c r="CL66" s="51">
        <f t="shared" si="17"/>
        <v>0.99999999999999956</v>
      </c>
      <c r="CM66" s="51">
        <f t="shared" si="17"/>
        <v>0.99999999999999956</v>
      </c>
      <c r="CN66" s="51">
        <f t="shared" si="17"/>
        <v>0.99999999999999956</v>
      </c>
    </row>
    <row r="67" spans="1:92" x14ac:dyDescent="0.2">
      <c r="A67" s="10"/>
      <c r="B67" s="10"/>
      <c r="C67" s="10" t="s">
        <v>744</v>
      </c>
      <c r="D67" s="10"/>
      <c r="E67" s="10"/>
      <c r="F67" s="10"/>
      <c r="G67" s="10"/>
      <c r="H67" s="12">
        <f>SUM(I67:CN67)</f>
        <v>25.999999999999982</v>
      </c>
      <c r="I67" s="215">
        <f t="shared" ref="I67:AN67" si="18">I65*$D$19</f>
        <v>0</v>
      </c>
      <c r="J67" s="215">
        <f t="shared" si="18"/>
        <v>0</v>
      </c>
      <c r="K67" s="215">
        <f t="shared" si="18"/>
        <v>0</v>
      </c>
      <c r="L67" s="215">
        <f t="shared" si="18"/>
        <v>0</v>
      </c>
      <c r="M67" s="215">
        <f t="shared" si="18"/>
        <v>0</v>
      </c>
      <c r="N67" s="215">
        <f t="shared" si="18"/>
        <v>0</v>
      </c>
      <c r="O67" s="215">
        <f t="shared" si="18"/>
        <v>0</v>
      </c>
      <c r="P67" s="215">
        <f t="shared" si="18"/>
        <v>0</v>
      </c>
      <c r="Q67" s="215">
        <f t="shared" si="18"/>
        <v>0</v>
      </c>
      <c r="R67" s="215">
        <f t="shared" si="18"/>
        <v>0</v>
      </c>
      <c r="S67" s="215">
        <f t="shared" si="18"/>
        <v>0</v>
      </c>
      <c r="T67" s="215">
        <f t="shared" si="18"/>
        <v>0</v>
      </c>
      <c r="U67" s="215">
        <f t="shared" si="18"/>
        <v>0</v>
      </c>
      <c r="V67" s="215">
        <f t="shared" si="18"/>
        <v>0</v>
      </c>
      <c r="W67" s="215">
        <f t="shared" si="18"/>
        <v>1.7333333333333334</v>
      </c>
      <c r="X67" s="215">
        <f t="shared" si="18"/>
        <v>1.7333333333333334</v>
      </c>
      <c r="Y67" s="215">
        <f t="shared" si="18"/>
        <v>1.7333333333333334</v>
      </c>
      <c r="Z67" s="215">
        <f t="shared" si="18"/>
        <v>1.7333333333333334</v>
      </c>
      <c r="AA67" s="215">
        <f t="shared" si="18"/>
        <v>1.7333333333333334</v>
      </c>
      <c r="AB67" s="215">
        <f t="shared" si="18"/>
        <v>1.7333333333333334</v>
      </c>
      <c r="AC67" s="215">
        <f t="shared" si="18"/>
        <v>0.73124999999999996</v>
      </c>
      <c r="AD67" s="215">
        <f t="shared" si="18"/>
        <v>0.73124999999999996</v>
      </c>
      <c r="AE67" s="215">
        <f t="shared" si="18"/>
        <v>0.73124999999999996</v>
      </c>
      <c r="AF67" s="215">
        <f t="shared" si="18"/>
        <v>0.73124999999999996</v>
      </c>
      <c r="AG67" s="215">
        <f t="shared" si="18"/>
        <v>0.73124999999999996</v>
      </c>
      <c r="AH67" s="215">
        <f t="shared" si="18"/>
        <v>0.73124999999999996</v>
      </c>
      <c r="AI67" s="215">
        <f t="shared" si="18"/>
        <v>0.73124999999999996</v>
      </c>
      <c r="AJ67" s="215">
        <f t="shared" si="18"/>
        <v>0.73124999999999996</v>
      </c>
      <c r="AK67" s="215">
        <f t="shared" si="18"/>
        <v>0.73124999999999996</v>
      </c>
      <c r="AL67" s="215">
        <f t="shared" si="18"/>
        <v>0.73124999999999996</v>
      </c>
      <c r="AM67" s="215">
        <f t="shared" si="18"/>
        <v>0.73124999999999996</v>
      </c>
      <c r="AN67" s="215">
        <f t="shared" si="18"/>
        <v>0.73124999999999996</v>
      </c>
      <c r="AO67" s="215">
        <f t="shared" ref="AO67:BT67" si="19">AO65*$D$19</f>
        <v>0.73124999999999996</v>
      </c>
      <c r="AP67" s="215">
        <f t="shared" si="19"/>
        <v>0.73124999999999996</v>
      </c>
      <c r="AQ67" s="215">
        <f t="shared" si="19"/>
        <v>0.73124999999999996</v>
      </c>
      <c r="AR67" s="215">
        <f t="shared" si="19"/>
        <v>0.73124999999999996</v>
      </c>
      <c r="AS67" s="215">
        <f t="shared" si="19"/>
        <v>0</v>
      </c>
      <c r="AT67" s="215">
        <f t="shared" si="19"/>
        <v>0.64999999999999991</v>
      </c>
      <c r="AU67" s="215">
        <f t="shared" si="19"/>
        <v>0.64999999999999991</v>
      </c>
      <c r="AV67" s="215">
        <f t="shared" si="19"/>
        <v>0.64999999999999991</v>
      </c>
      <c r="AW67" s="215">
        <f t="shared" si="19"/>
        <v>0.64999999999999991</v>
      </c>
      <c r="AX67" s="215">
        <f t="shared" si="19"/>
        <v>0.64999999999999991</v>
      </c>
      <c r="AY67" s="215">
        <f t="shared" si="19"/>
        <v>0.64999999999999991</v>
      </c>
      <c r="AZ67" s="215">
        <f t="shared" si="19"/>
        <v>0</v>
      </c>
      <c r="BA67" s="215">
        <f t="shared" si="19"/>
        <v>0</v>
      </c>
      <c r="BB67" s="215">
        <f t="shared" si="19"/>
        <v>0</v>
      </c>
      <c r="BC67" s="215">
        <f t="shared" si="19"/>
        <v>0</v>
      </c>
      <c r="BD67" s="215">
        <f t="shared" si="19"/>
        <v>0</v>
      </c>
      <c r="BE67" s="215">
        <f t="shared" si="19"/>
        <v>0</v>
      </c>
      <c r="BF67" s="215">
        <f t="shared" si="19"/>
        <v>0</v>
      </c>
      <c r="BG67" s="215">
        <f t="shared" si="19"/>
        <v>0</v>
      </c>
      <c r="BH67" s="215">
        <f t="shared" si="19"/>
        <v>0</v>
      </c>
      <c r="BI67" s="215">
        <f t="shared" si="19"/>
        <v>0</v>
      </c>
      <c r="BJ67" s="215">
        <f t="shared" si="19"/>
        <v>0</v>
      </c>
      <c r="BK67" s="215">
        <f t="shared" si="19"/>
        <v>0</v>
      </c>
      <c r="BL67" s="215">
        <f t="shared" si="19"/>
        <v>0</v>
      </c>
      <c r="BM67" s="215">
        <f t="shared" si="19"/>
        <v>0</v>
      </c>
      <c r="BN67" s="215">
        <f t="shared" si="19"/>
        <v>0</v>
      </c>
      <c r="BO67" s="215">
        <f t="shared" si="19"/>
        <v>0</v>
      </c>
      <c r="BP67" s="215">
        <f t="shared" si="19"/>
        <v>0</v>
      </c>
      <c r="BQ67" s="215">
        <f t="shared" si="19"/>
        <v>0</v>
      </c>
      <c r="BR67" s="215">
        <f t="shared" si="19"/>
        <v>0</v>
      </c>
      <c r="BS67" s="215">
        <f t="shared" si="19"/>
        <v>0</v>
      </c>
      <c r="BT67" s="215">
        <f t="shared" si="19"/>
        <v>0</v>
      </c>
      <c r="BU67" s="215">
        <f t="shared" ref="BU67:CN67" si="20">BU65*$D$19</f>
        <v>0</v>
      </c>
      <c r="BV67" s="215">
        <f t="shared" si="20"/>
        <v>0</v>
      </c>
      <c r="BW67" s="215">
        <f t="shared" si="20"/>
        <v>0</v>
      </c>
      <c r="BX67" s="215">
        <f t="shared" si="20"/>
        <v>0</v>
      </c>
      <c r="BY67" s="215">
        <f t="shared" si="20"/>
        <v>0</v>
      </c>
      <c r="BZ67" s="215">
        <f t="shared" si="20"/>
        <v>0</v>
      </c>
      <c r="CA67" s="215">
        <f t="shared" si="20"/>
        <v>0</v>
      </c>
      <c r="CB67" s="215">
        <f t="shared" si="20"/>
        <v>0</v>
      </c>
      <c r="CC67" s="215">
        <f t="shared" si="20"/>
        <v>0</v>
      </c>
      <c r="CD67" s="215">
        <f t="shared" si="20"/>
        <v>0</v>
      </c>
      <c r="CE67" s="215">
        <f t="shared" si="20"/>
        <v>0</v>
      </c>
      <c r="CF67" s="215">
        <f t="shared" si="20"/>
        <v>0</v>
      </c>
      <c r="CG67" s="215">
        <f t="shared" si="20"/>
        <v>0</v>
      </c>
      <c r="CH67" s="215">
        <f t="shared" si="20"/>
        <v>0</v>
      </c>
      <c r="CI67" s="215">
        <f t="shared" si="20"/>
        <v>0</v>
      </c>
      <c r="CJ67" s="215">
        <f t="shared" si="20"/>
        <v>0</v>
      </c>
      <c r="CK67" s="215">
        <f t="shared" si="20"/>
        <v>0</v>
      </c>
      <c r="CL67" s="215">
        <f t="shared" si="20"/>
        <v>0</v>
      </c>
      <c r="CM67" s="215">
        <f t="shared" si="20"/>
        <v>0</v>
      </c>
      <c r="CN67" s="215">
        <f t="shared" si="20"/>
        <v>0</v>
      </c>
    </row>
    <row r="68" spans="1:92" x14ac:dyDescent="0.2">
      <c r="A68" s="10"/>
      <c r="B68" s="10"/>
      <c r="C68" s="10" t="s">
        <v>745</v>
      </c>
      <c r="D68" s="10"/>
      <c r="E68" s="10"/>
      <c r="F68" s="10"/>
      <c r="G68" s="10"/>
      <c r="H68" s="12"/>
      <c r="I68" s="128">
        <f t="shared" ref="I68:AN68" si="21">(1+$D$11)^(MAX(0,(YEAR(I$6)-YEAR($E$28))*12+MONTH(I$6)-MONTH($E$28))/12)</f>
        <v>1</v>
      </c>
      <c r="J68" s="128">
        <f t="shared" si="21"/>
        <v>1</v>
      </c>
      <c r="K68" s="128">
        <f t="shared" si="21"/>
        <v>1</v>
      </c>
      <c r="L68" s="128">
        <f t="shared" si="21"/>
        <v>1</v>
      </c>
      <c r="M68" s="128">
        <f t="shared" si="21"/>
        <v>1</v>
      </c>
      <c r="N68" s="128">
        <f t="shared" si="21"/>
        <v>1</v>
      </c>
      <c r="O68" s="128">
        <f t="shared" si="21"/>
        <v>1</v>
      </c>
      <c r="P68" s="128">
        <f t="shared" si="21"/>
        <v>1</v>
      </c>
      <c r="Q68" s="128">
        <f t="shared" si="21"/>
        <v>1</v>
      </c>
      <c r="R68" s="128">
        <f t="shared" si="21"/>
        <v>1</v>
      </c>
      <c r="S68" s="128">
        <f t="shared" si="21"/>
        <v>1</v>
      </c>
      <c r="T68" s="128">
        <f t="shared" si="21"/>
        <v>1</v>
      </c>
      <c r="U68" s="128">
        <f t="shared" si="21"/>
        <v>1</v>
      </c>
      <c r="V68" s="128">
        <f t="shared" si="21"/>
        <v>1</v>
      </c>
      <c r="W68" s="128">
        <f t="shared" si="21"/>
        <v>1</v>
      </c>
      <c r="X68" s="128">
        <f t="shared" si="21"/>
        <v>1</v>
      </c>
      <c r="Y68" s="128">
        <f t="shared" si="21"/>
        <v>1</v>
      </c>
      <c r="Z68" s="128">
        <f t="shared" si="21"/>
        <v>1</v>
      </c>
      <c r="AA68" s="128">
        <f t="shared" si="21"/>
        <v>1</v>
      </c>
      <c r="AB68" s="128">
        <f t="shared" si="21"/>
        <v>1</v>
      </c>
      <c r="AC68" s="128">
        <f t="shared" si="21"/>
        <v>1</v>
      </c>
      <c r="AD68" s="128">
        <f t="shared" si="21"/>
        <v>1</v>
      </c>
      <c r="AE68" s="128">
        <f t="shared" si="21"/>
        <v>1</v>
      </c>
      <c r="AF68" s="128">
        <f t="shared" si="21"/>
        <v>1</v>
      </c>
      <c r="AG68" s="128">
        <f t="shared" si="21"/>
        <v>1</v>
      </c>
      <c r="AH68" s="128">
        <f t="shared" si="21"/>
        <v>1</v>
      </c>
      <c r="AI68" s="128">
        <f t="shared" si="21"/>
        <v>1</v>
      </c>
      <c r="AJ68" s="128">
        <f t="shared" si="21"/>
        <v>1</v>
      </c>
      <c r="AK68" s="128">
        <f t="shared" si="21"/>
        <v>1</v>
      </c>
      <c r="AL68" s="128">
        <f t="shared" si="21"/>
        <v>1</v>
      </c>
      <c r="AM68" s="128">
        <f t="shared" si="21"/>
        <v>1</v>
      </c>
      <c r="AN68" s="128">
        <f t="shared" si="21"/>
        <v>1</v>
      </c>
      <c r="AO68" s="128">
        <f t="shared" ref="AO68:BT68" si="22">(1+$D$11)^(MAX(0,(YEAR(AO$6)-YEAR($E$28))*12+MONTH(AO$6)-MONTH($E$28))/12)</f>
        <v>1</v>
      </c>
      <c r="AP68" s="128">
        <f t="shared" si="22"/>
        <v>1</v>
      </c>
      <c r="AQ68" s="128">
        <f t="shared" si="22"/>
        <v>1</v>
      </c>
      <c r="AR68" s="128">
        <f t="shared" si="22"/>
        <v>1</v>
      </c>
      <c r="AS68" s="128">
        <f t="shared" si="22"/>
        <v>1</v>
      </c>
      <c r="AT68" s="128">
        <f t="shared" si="22"/>
        <v>1</v>
      </c>
      <c r="AU68" s="128">
        <f t="shared" si="22"/>
        <v>1</v>
      </c>
      <c r="AV68" s="128">
        <f t="shared" si="22"/>
        <v>1</v>
      </c>
      <c r="AW68" s="128">
        <f t="shared" si="22"/>
        <v>1</v>
      </c>
      <c r="AX68" s="128">
        <f t="shared" si="22"/>
        <v>1</v>
      </c>
      <c r="AY68" s="128">
        <f t="shared" si="22"/>
        <v>1</v>
      </c>
      <c r="AZ68" s="128">
        <f t="shared" si="22"/>
        <v>1</v>
      </c>
      <c r="BA68" s="128">
        <f t="shared" si="22"/>
        <v>1</v>
      </c>
      <c r="BB68" s="128">
        <f t="shared" si="22"/>
        <v>1</v>
      </c>
      <c r="BC68" s="128">
        <f t="shared" si="22"/>
        <v>1</v>
      </c>
      <c r="BD68" s="128">
        <f t="shared" si="22"/>
        <v>1</v>
      </c>
      <c r="BE68" s="128">
        <f t="shared" si="22"/>
        <v>1</v>
      </c>
      <c r="BF68" s="128">
        <f t="shared" si="22"/>
        <v>1</v>
      </c>
      <c r="BG68" s="128">
        <f t="shared" si="22"/>
        <v>1</v>
      </c>
      <c r="BH68" s="128">
        <f t="shared" si="22"/>
        <v>1</v>
      </c>
      <c r="BI68" s="128">
        <f t="shared" si="22"/>
        <v>1</v>
      </c>
      <c r="BJ68" s="128">
        <f t="shared" si="22"/>
        <v>1</v>
      </c>
      <c r="BK68" s="128">
        <f t="shared" si="22"/>
        <v>1</v>
      </c>
      <c r="BL68" s="128">
        <f t="shared" si="22"/>
        <v>1</v>
      </c>
      <c r="BM68" s="128">
        <f t="shared" si="22"/>
        <v>1</v>
      </c>
      <c r="BN68" s="128">
        <f t="shared" si="22"/>
        <v>1</v>
      </c>
      <c r="BO68" s="128">
        <f t="shared" si="22"/>
        <v>1</v>
      </c>
      <c r="BP68" s="128">
        <f t="shared" si="22"/>
        <v>1</v>
      </c>
      <c r="BQ68" s="128">
        <f t="shared" si="22"/>
        <v>1</v>
      </c>
      <c r="BR68" s="128">
        <f t="shared" si="22"/>
        <v>1</v>
      </c>
      <c r="BS68" s="128">
        <f t="shared" si="22"/>
        <v>1</v>
      </c>
      <c r="BT68" s="128">
        <f t="shared" si="22"/>
        <v>1</v>
      </c>
      <c r="BU68" s="128">
        <f t="shared" ref="BU68:CN68" si="23">(1+$D$11)^(MAX(0,(YEAR(BU$6)-YEAR($E$28))*12+MONTH(BU$6)-MONTH($E$28))/12)</f>
        <v>1</v>
      </c>
      <c r="BV68" s="128">
        <f t="shared" si="23"/>
        <v>1</v>
      </c>
      <c r="BW68" s="128">
        <f t="shared" si="23"/>
        <v>1</v>
      </c>
      <c r="BX68" s="128">
        <f t="shared" si="23"/>
        <v>1</v>
      </c>
      <c r="BY68" s="128">
        <f t="shared" si="23"/>
        <v>1</v>
      </c>
      <c r="BZ68" s="128">
        <f t="shared" si="23"/>
        <v>1</v>
      </c>
      <c r="CA68" s="128">
        <f t="shared" si="23"/>
        <v>1</v>
      </c>
      <c r="CB68" s="128">
        <f t="shared" si="23"/>
        <v>1</v>
      </c>
      <c r="CC68" s="128">
        <f t="shared" si="23"/>
        <v>1</v>
      </c>
      <c r="CD68" s="128">
        <f t="shared" si="23"/>
        <v>1</v>
      </c>
      <c r="CE68" s="128">
        <f t="shared" si="23"/>
        <v>1</v>
      </c>
      <c r="CF68" s="128">
        <f t="shared" si="23"/>
        <v>1</v>
      </c>
      <c r="CG68" s="128">
        <f t="shared" si="23"/>
        <v>1</v>
      </c>
      <c r="CH68" s="128">
        <f t="shared" si="23"/>
        <v>1</v>
      </c>
      <c r="CI68" s="128">
        <f t="shared" si="23"/>
        <v>1</v>
      </c>
      <c r="CJ68" s="128">
        <f t="shared" si="23"/>
        <v>1</v>
      </c>
      <c r="CK68" s="128">
        <f t="shared" si="23"/>
        <v>1</v>
      </c>
      <c r="CL68" s="128">
        <f t="shared" si="23"/>
        <v>1</v>
      </c>
      <c r="CM68" s="128">
        <f t="shared" si="23"/>
        <v>1</v>
      </c>
      <c r="CN68" s="128">
        <f t="shared" si="23"/>
        <v>1</v>
      </c>
    </row>
    <row r="69" spans="1:92" x14ac:dyDescent="0.2">
      <c r="A69" s="10"/>
      <c r="B69" s="10"/>
      <c r="C69" s="10" t="s">
        <v>746</v>
      </c>
      <c r="D69" s="10"/>
      <c r="E69" s="10"/>
      <c r="F69" s="10"/>
      <c r="G69" s="10"/>
      <c r="H69" s="12">
        <f>SUM(I69:CN69)</f>
        <v>142809.00000000006</v>
      </c>
      <c r="I69" s="12">
        <f t="shared" ref="I69:AN69" si="24">I65*$H$19*I68</f>
        <v>0</v>
      </c>
      <c r="J69" s="12">
        <f t="shared" si="24"/>
        <v>0</v>
      </c>
      <c r="K69" s="12">
        <f t="shared" si="24"/>
        <v>0</v>
      </c>
      <c r="L69" s="12">
        <f t="shared" si="24"/>
        <v>0</v>
      </c>
      <c r="M69" s="12">
        <f t="shared" si="24"/>
        <v>0</v>
      </c>
      <c r="N69" s="12">
        <f t="shared" si="24"/>
        <v>0</v>
      </c>
      <c r="O69" s="12">
        <f t="shared" si="24"/>
        <v>0</v>
      </c>
      <c r="P69" s="12">
        <f t="shared" si="24"/>
        <v>0</v>
      </c>
      <c r="Q69" s="12">
        <f t="shared" si="24"/>
        <v>0</v>
      </c>
      <c r="R69" s="12">
        <f t="shared" si="24"/>
        <v>0</v>
      </c>
      <c r="S69" s="12">
        <f t="shared" si="24"/>
        <v>0</v>
      </c>
      <c r="T69" s="12">
        <f t="shared" si="24"/>
        <v>0</v>
      </c>
      <c r="U69" s="12">
        <f t="shared" si="24"/>
        <v>0</v>
      </c>
      <c r="V69" s="12">
        <f t="shared" si="24"/>
        <v>0</v>
      </c>
      <c r="W69" s="12">
        <f t="shared" si="24"/>
        <v>9520.6</v>
      </c>
      <c r="X69" s="12">
        <f t="shared" si="24"/>
        <v>9520.6</v>
      </c>
      <c r="Y69" s="12">
        <f t="shared" si="24"/>
        <v>9520.6</v>
      </c>
      <c r="Z69" s="12">
        <f t="shared" si="24"/>
        <v>9520.6</v>
      </c>
      <c r="AA69" s="12">
        <f t="shared" si="24"/>
        <v>9520.6</v>
      </c>
      <c r="AB69" s="12">
        <f t="shared" si="24"/>
        <v>9520.6</v>
      </c>
      <c r="AC69" s="12">
        <f t="shared" si="24"/>
        <v>4016.5031249999997</v>
      </c>
      <c r="AD69" s="12">
        <f t="shared" si="24"/>
        <v>4016.5031249999997</v>
      </c>
      <c r="AE69" s="12">
        <f t="shared" si="24"/>
        <v>4016.5031249999997</v>
      </c>
      <c r="AF69" s="12">
        <f t="shared" si="24"/>
        <v>4016.5031249999997</v>
      </c>
      <c r="AG69" s="12">
        <f t="shared" si="24"/>
        <v>4016.5031249999997</v>
      </c>
      <c r="AH69" s="12">
        <f t="shared" si="24"/>
        <v>4016.5031249999997</v>
      </c>
      <c r="AI69" s="12">
        <f t="shared" si="24"/>
        <v>4016.5031249999997</v>
      </c>
      <c r="AJ69" s="12">
        <f t="shared" si="24"/>
        <v>4016.5031249999997</v>
      </c>
      <c r="AK69" s="12">
        <f t="shared" si="24"/>
        <v>4016.5031249999997</v>
      </c>
      <c r="AL69" s="12">
        <f t="shared" si="24"/>
        <v>4016.5031249999997</v>
      </c>
      <c r="AM69" s="12">
        <f t="shared" si="24"/>
        <v>4016.5031249999997</v>
      </c>
      <c r="AN69" s="12">
        <f t="shared" si="24"/>
        <v>4016.5031249999997</v>
      </c>
      <c r="AO69" s="12">
        <f t="shared" ref="AO69:BT69" si="25">AO65*$H$19*AO68</f>
        <v>4016.5031249999997</v>
      </c>
      <c r="AP69" s="12">
        <f t="shared" si="25"/>
        <v>4016.5031249999997</v>
      </c>
      <c r="AQ69" s="12">
        <f t="shared" si="25"/>
        <v>4016.5031249999997</v>
      </c>
      <c r="AR69" s="12">
        <f t="shared" si="25"/>
        <v>4016.5031249999997</v>
      </c>
      <c r="AS69" s="12">
        <f t="shared" si="25"/>
        <v>0</v>
      </c>
      <c r="AT69" s="12">
        <f t="shared" si="25"/>
        <v>3570.2249999999999</v>
      </c>
      <c r="AU69" s="12">
        <f t="shared" si="25"/>
        <v>3570.2249999999999</v>
      </c>
      <c r="AV69" s="12">
        <f t="shared" si="25"/>
        <v>3570.2249999999999</v>
      </c>
      <c r="AW69" s="12">
        <f t="shared" si="25"/>
        <v>3570.2249999999999</v>
      </c>
      <c r="AX69" s="12">
        <f t="shared" si="25"/>
        <v>3570.2249999999999</v>
      </c>
      <c r="AY69" s="12">
        <f t="shared" si="25"/>
        <v>3570.2249999999999</v>
      </c>
      <c r="AZ69" s="12">
        <f t="shared" si="25"/>
        <v>0</v>
      </c>
      <c r="BA69" s="12">
        <f t="shared" si="25"/>
        <v>0</v>
      </c>
      <c r="BB69" s="12">
        <f t="shared" si="25"/>
        <v>0</v>
      </c>
      <c r="BC69" s="12">
        <f t="shared" si="25"/>
        <v>0</v>
      </c>
      <c r="BD69" s="12">
        <f t="shared" si="25"/>
        <v>0</v>
      </c>
      <c r="BE69" s="12">
        <f t="shared" si="25"/>
        <v>0</v>
      </c>
      <c r="BF69" s="12">
        <f t="shared" si="25"/>
        <v>0</v>
      </c>
      <c r="BG69" s="12">
        <f t="shared" si="25"/>
        <v>0</v>
      </c>
      <c r="BH69" s="12">
        <f t="shared" si="25"/>
        <v>0</v>
      </c>
      <c r="BI69" s="12">
        <f t="shared" si="25"/>
        <v>0</v>
      </c>
      <c r="BJ69" s="12">
        <f t="shared" si="25"/>
        <v>0</v>
      </c>
      <c r="BK69" s="12">
        <f t="shared" si="25"/>
        <v>0</v>
      </c>
      <c r="BL69" s="12">
        <f t="shared" si="25"/>
        <v>0</v>
      </c>
      <c r="BM69" s="12">
        <f t="shared" si="25"/>
        <v>0</v>
      </c>
      <c r="BN69" s="12">
        <f t="shared" si="25"/>
        <v>0</v>
      </c>
      <c r="BO69" s="12">
        <f t="shared" si="25"/>
        <v>0</v>
      </c>
      <c r="BP69" s="12">
        <f t="shared" si="25"/>
        <v>0</v>
      </c>
      <c r="BQ69" s="12">
        <f t="shared" si="25"/>
        <v>0</v>
      </c>
      <c r="BR69" s="12">
        <f t="shared" si="25"/>
        <v>0</v>
      </c>
      <c r="BS69" s="12">
        <f t="shared" si="25"/>
        <v>0</v>
      </c>
      <c r="BT69" s="12">
        <f t="shared" si="25"/>
        <v>0</v>
      </c>
      <c r="BU69" s="12">
        <f t="shared" ref="BU69:CN69" si="26">BU65*$H$19*BU68</f>
        <v>0</v>
      </c>
      <c r="BV69" s="12">
        <f t="shared" si="26"/>
        <v>0</v>
      </c>
      <c r="BW69" s="12">
        <f t="shared" si="26"/>
        <v>0</v>
      </c>
      <c r="BX69" s="12">
        <f t="shared" si="26"/>
        <v>0</v>
      </c>
      <c r="BY69" s="12">
        <f t="shared" si="26"/>
        <v>0</v>
      </c>
      <c r="BZ69" s="12">
        <f t="shared" si="26"/>
        <v>0</v>
      </c>
      <c r="CA69" s="12">
        <f t="shared" si="26"/>
        <v>0</v>
      </c>
      <c r="CB69" s="12">
        <f t="shared" si="26"/>
        <v>0</v>
      </c>
      <c r="CC69" s="12">
        <f t="shared" si="26"/>
        <v>0</v>
      </c>
      <c r="CD69" s="12">
        <f t="shared" si="26"/>
        <v>0</v>
      </c>
      <c r="CE69" s="12">
        <f t="shared" si="26"/>
        <v>0</v>
      </c>
      <c r="CF69" s="12">
        <f t="shared" si="26"/>
        <v>0</v>
      </c>
      <c r="CG69" s="12">
        <f t="shared" si="26"/>
        <v>0</v>
      </c>
      <c r="CH69" s="12">
        <f t="shared" si="26"/>
        <v>0</v>
      </c>
      <c r="CI69" s="12">
        <f t="shared" si="26"/>
        <v>0</v>
      </c>
      <c r="CJ69" s="12">
        <f t="shared" si="26"/>
        <v>0</v>
      </c>
      <c r="CK69" s="12">
        <f t="shared" si="26"/>
        <v>0</v>
      </c>
      <c r="CL69" s="12">
        <f t="shared" si="26"/>
        <v>0</v>
      </c>
      <c r="CM69" s="12">
        <f t="shared" si="26"/>
        <v>0</v>
      </c>
      <c r="CN69" s="12">
        <f t="shared" si="26"/>
        <v>0</v>
      </c>
    </row>
    <row r="70" spans="1:92" x14ac:dyDescent="0.2">
      <c r="A70" s="10"/>
      <c r="B70" s="142" t="s">
        <v>747</v>
      </c>
      <c r="C70" s="201" t="s">
        <v>748</v>
      </c>
      <c r="D70" s="194"/>
      <c r="E70" s="194"/>
      <c r="F70" s="194"/>
      <c r="G70" s="194"/>
      <c r="H70" s="216"/>
      <c r="I70" s="216">
        <f t="shared" ref="I70:AN70" si="27">IF(I$6&lt;$E$25,I69*$D$36/((YEAR($E$25)-YEAR(I$6))*12+MONTH($E$25)-MONTH(I$6)),0)</f>
        <v>0</v>
      </c>
      <c r="J70" s="216">
        <f t="shared" si="27"/>
        <v>0</v>
      </c>
      <c r="K70" s="216">
        <f t="shared" si="27"/>
        <v>0</v>
      </c>
      <c r="L70" s="216">
        <f t="shared" si="27"/>
        <v>0</v>
      </c>
      <c r="M70" s="216">
        <f t="shared" si="27"/>
        <v>0</v>
      </c>
      <c r="N70" s="216">
        <f t="shared" si="27"/>
        <v>0</v>
      </c>
      <c r="O70" s="216">
        <f t="shared" si="27"/>
        <v>0</v>
      </c>
      <c r="P70" s="216">
        <f t="shared" si="27"/>
        <v>0</v>
      </c>
      <c r="Q70" s="216">
        <f t="shared" si="27"/>
        <v>0</v>
      </c>
      <c r="R70" s="216">
        <f t="shared" si="27"/>
        <v>0</v>
      </c>
      <c r="S70" s="216">
        <f t="shared" si="27"/>
        <v>0</v>
      </c>
      <c r="T70" s="216">
        <f t="shared" si="27"/>
        <v>0</v>
      </c>
      <c r="U70" s="216">
        <f t="shared" si="27"/>
        <v>0</v>
      </c>
      <c r="V70" s="216">
        <f t="shared" si="27"/>
        <v>0</v>
      </c>
      <c r="W70" s="216">
        <f t="shared" si="27"/>
        <v>216.37727272727273</v>
      </c>
      <c r="X70" s="216">
        <f t="shared" si="27"/>
        <v>226.68095238095239</v>
      </c>
      <c r="Y70" s="216">
        <f t="shared" si="27"/>
        <v>238.01500000000001</v>
      </c>
      <c r="Z70" s="216">
        <f t="shared" si="27"/>
        <v>250.54210526315791</v>
      </c>
      <c r="AA70" s="216">
        <f t="shared" si="27"/>
        <v>264.46111111111111</v>
      </c>
      <c r="AB70" s="216">
        <f t="shared" si="27"/>
        <v>280.01764705882351</v>
      </c>
      <c r="AC70" s="216">
        <f t="shared" si="27"/>
        <v>125.51572265624999</v>
      </c>
      <c r="AD70" s="216">
        <f t="shared" si="27"/>
        <v>133.88343749999999</v>
      </c>
      <c r="AE70" s="216">
        <f t="shared" si="27"/>
        <v>143.44654017857141</v>
      </c>
      <c r="AF70" s="216">
        <f t="shared" si="27"/>
        <v>154.48088942307692</v>
      </c>
      <c r="AG70" s="216">
        <f t="shared" si="27"/>
        <v>167.35429687499999</v>
      </c>
      <c r="AH70" s="216">
        <f t="shared" si="27"/>
        <v>182.56832386363635</v>
      </c>
      <c r="AI70" s="216">
        <f t="shared" si="27"/>
        <v>200.82515624999999</v>
      </c>
      <c r="AJ70" s="216">
        <f t="shared" si="27"/>
        <v>223.13906249999999</v>
      </c>
      <c r="AK70" s="216">
        <f t="shared" si="27"/>
        <v>251.03144531249998</v>
      </c>
      <c r="AL70" s="216">
        <f t="shared" si="27"/>
        <v>286.89308035714282</v>
      </c>
      <c r="AM70" s="216">
        <f t="shared" si="27"/>
        <v>334.70859374999998</v>
      </c>
      <c r="AN70" s="216">
        <f t="shared" si="27"/>
        <v>401.65031249999998</v>
      </c>
      <c r="AO70" s="216">
        <f t="shared" ref="AO70:BT70" si="28">IF(AO$6&lt;$E$25,AO69*$D$36/((YEAR($E$25)-YEAR(AO$6))*12+MONTH($E$25)-MONTH(AO$6)),0)</f>
        <v>502.06289062499997</v>
      </c>
      <c r="AP70" s="216">
        <f t="shared" si="28"/>
        <v>669.41718749999995</v>
      </c>
      <c r="AQ70" s="216">
        <f t="shared" si="28"/>
        <v>1004.1257812499999</v>
      </c>
      <c r="AR70" s="216">
        <f t="shared" si="28"/>
        <v>2008.2515624999999</v>
      </c>
      <c r="AS70" s="216">
        <f t="shared" si="28"/>
        <v>0</v>
      </c>
      <c r="AT70" s="216">
        <f t="shared" si="28"/>
        <v>0</v>
      </c>
      <c r="AU70" s="216">
        <f t="shared" si="28"/>
        <v>0</v>
      </c>
      <c r="AV70" s="216">
        <f t="shared" si="28"/>
        <v>0</v>
      </c>
      <c r="AW70" s="216">
        <f t="shared" si="28"/>
        <v>0</v>
      </c>
      <c r="AX70" s="216">
        <f t="shared" si="28"/>
        <v>0</v>
      </c>
      <c r="AY70" s="216">
        <f t="shared" si="28"/>
        <v>0</v>
      </c>
      <c r="AZ70" s="216">
        <f t="shared" si="28"/>
        <v>0</v>
      </c>
      <c r="BA70" s="216">
        <f t="shared" si="28"/>
        <v>0</v>
      </c>
      <c r="BB70" s="216">
        <f t="shared" si="28"/>
        <v>0</v>
      </c>
      <c r="BC70" s="216">
        <f t="shared" si="28"/>
        <v>0</v>
      </c>
      <c r="BD70" s="216">
        <f t="shared" si="28"/>
        <v>0</v>
      </c>
      <c r="BE70" s="216">
        <f t="shared" si="28"/>
        <v>0</v>
      </c>
      <c r="BF70" s="216">
        <f t="shared" si="28"/>
        <v>0</v>
      </c>
      <c r="BG70" s="216">
        <f t="shared" si="28"/>
        <v>0</v>
      </c>
      <c r="BH70" s="216">
        <f t="shared" si="28"/>
        <v>0</v>
      </c>
      <c r="BI70" s="216">
        <f t="shared" si="28"/>
        <v>0</v>
      </c>
      <c r="BJ70" s="216">
        <f t="shared" si="28"/>
        <v>0</v>
      </c>
      <c r="BK70" s="216">
        <f t="shared" si="28"/>
        <v>0</v>
      </c>
      <c r="BL70" s="216">
        <f t="shared" si="28"/>
        <v>0</v>
      </c>
      <c r="BM70" s="216">
        <f t="shared" si="28"/>
        <v>0</v>
      </c>
      <c r="BN70" s="216">
        <f t="shared" si="28"/>
        <v>0</v>
      </c>
      <c r="BO70" s="216">
        <f t="shared" si="28"/>
        <v>0</v>
      </c>
      <c r="BP70" s="216">
        <f t="shared" si="28"/>
        <v>0</v>
      </c>
      <c r="BQ70" s="216">
        <f t="shared" si="28"/>
        <v>0</v>
      </c>
      <c r="BR70" s="216">
        <f t="shared" si="28"/>
        <v>0</v>
      </c>
      <c r="BS70" s="216">
        <f t="shared" si="28"/>
        <v>0</v>
      </c>
      <c r="BT70" s="216">
        <f t="shared" si="28"/>
        <v>0</v>
      </c>
      <c r="BU70" s="216">
        <f t="shared" ref="BU70:CN70" si="29">IF(BU$6&lt;$E$25,BU69*$D$36/((YEAR($E$25)-YEAR(BU$6))*12+MONTH($E$25)-MONTH(BU$6)),0)</f>
        <v>0</v>
      </c>
      <c r="BV70" s="216">
        <f t="shared" si="29"/>
        <v>0</v>
      </c>
      <c r="BW70" s="216">
        <f t="shared" si="29"/>
        <v>0</v>
      </c>
      <c r="BX70" s="216">
        <f t="shared" si="29"/>
        <v>0</v>
      </c>
      <c r="BY70" s="216">
        <f t="shared" si="29"/>
        <v>0</v>
      </c>
      <c r="BZ70" s="216">
        <f t="shared" si="29"/>
        <v>0</v>
      </c>
      <c r="CA70" s="216">
        <f t="shared" si="29"/>
        <v>0</v>
      </c>
      <c r="CB70" s="216">
        <f t="shared" si="29"/>
        <v>0</v>
      </c>
      <c r="CC70" s="216">
        <f t="shared" si="29"/>
        <v>0</v>
      </c>
      <c r="CD70" s="216">
        <f t="shared" si="29"/>
        <v>0</v>
      </c>
      <c r="CE70" s="216">
        <f t="shared" si="29"/>
        <v>0</v>
      </c>
      <c r="CF70" s="216">
        <f t="shared" si="29"/>
        <v>0</v>
      </c>
      <c r="CG70" s="216">
        <f t="shared" si="29"/>
        <v>0</v>
      </c>
      <c r="CH70" s="216">
        <f t="shared" si="29"/>
        <v>0</v>
      </c>
      <c r="CI70" s="216">
        <f t="shared" si="29"/>
        <v>0</v>
      </c>
      <c r="CJ70" s="216">
        <f t="shared" si="29"/>
        <v>0</v>
      </c>
      <c r="CK70" s="216">
        <f t="shared" si="29"/>
        <v>0</v>
      </c>
      <c r="CL70" s="216">
        <f t="shared" si="29"/>
        <v>0</v>
      </c>
      <c r="CM70" s="216">
        <f t="shared" si="29"/>
        <v>0</v>
      </c>
      <c r="CN70" s="216">
        <f t="shared" si="29"/>
        <v>0</v>
      </c>
    </row>
    <row r="71" spans="1:92" x14ac:dyDescent="0.2">
      <c r="A71" s="10"/>
      <c r="B71" s="10"/>
      <c r="C71" s="10" t="s">
        <v>749</v>
      </c>
      <c r="D71" s="10"/>
      <c r="E71" s="10"/>
      <c r="F71" s="10"/>
      <c r="G71" s="10"/>
      <c r="H71" s="12">
        <f t="shared" ref="H71:H80" si="30">SUM(I71:CN71)</f>
        <v>57837.64499999996</v>
      </c>
      <c r="I71" s="12">
        <f t="shared" ref="I71:AN71" si="31">I69*$D$35+IF(I$6&gt;=$E$25,I69*($D$36+$D$37),0)</f>
        <v>0</v>
      </c>
      <c r="J71" s="12">
        <f t="shared" si="31"/>
        <v>0</v>
      </c>
      <c r="K71" s="12">
        <f t="shared" si="31"/>
        <v>0</v>
      </c>
      <c r="L71" s="12">
        <f t="shared" si="31"/>
        <v>0</v>
      </c>
      <c r="M71" s="12">
        <f t="shared" si="31"/>
        <v>0</v>
      </c>
      <c r="N71" s="12">
        <f t="shared" si="31"/>
        <v>0</v>
      </c>
      <c r="O71" s="12">
        <f t="shared" si="31"/>
        <v>0</v>
      </c>
      <c r="P71" s="12">
        <f t="shared" si="31"/>
        <v>0</v>
      </c>
      <c r="Q71" s="12">
        <f t="shared" si="31"/>
        <v>0</v>
      </c>
      <c r="R71" s="12">
        <f t="shared" si="31"/>
        <v>0</v>
      </c>
      <c r="S71" s="12">
        <f t="shared" si="31"/>
        <v>0</v>
      </c>
      <c r="T71" s="12">
        <f t="shared" si="31"/>
        <v>0</v>
      </c>
      <c r="U71" s="12">
        <f t="shared" si="31"/>
        <v>0</v>
      </c>
      <c r="V71" s="12">
        <f t="shared" si="31"/>
        <v>0</v>
      </c>
      <c r="W71" s="12">
        <f t="shared" si="31"/>
        <v>2856.18</v>
      </c>
      <c r="X71" s="12">
        <f t="shared" si="31"/>
        <v>2856.18</v>
      </c>
      <c r="Y71" s="12">
        <f t="shared" si="31"/>
        <v>2856.18</v>
      </c>
      <c r="Z71" s="12">
        <f t="shared" si="31"/>
        <v>2856.18</v>
      </c>
      <c r="AA71" s="12">
        <f t="shared" si="31"/>
        <v>2856.18</v>
      </c>
      <c r="AB71" s="12">
        <f t="shared" si="31"/>
        <v>2856.18</v>
      </c>
      <c r="AC71" s="12">
        <f t="shared" si="31"/>
        <v>1204.9509374999998</v>
      </c>
      <c r="AD71" s="12">
        <f t="shared" si="31"/>
        <v>1204.9509374999998</v>
      </c>
      <c r="AE71" s="12">
        <f t="shared" si="31"/>
        <v>1204.9509374999998</v>
      </c>
      <c r="AF71" s="12">
        <f t="shared" si="31"/>
        <v>1204.9509374999998</v>
      </c>
      <c r="AG71" s="12">
        <f t="shared" si="31"/>
        <v>1204.9509374999998</v>
      </c>
      <c r="AH71" s="12">
        <f t="shared" si="31"/>
        <v>1204.9509374999998</v>
      </c>
      <c r="AI71" s="12">
        <f t="shared" si="31"/>
        <v>1204.9509374999998</v>
      </c>
      <c r="AJ71" s="12">
        <f t="shared" si="31"/>
        <v>1204.9509374999998</v>
      </c>
      <c r="AK71" s="12">
        <f t="shared" si="31"/>
        <v>1204.9509374999998</v>
      </c>
      <c r="AL71" s="12">
        <f t="shared" si="31"/>
        <v>1204.9509374999998</v>
      </c>
      <c r="AM71" s="12">
        <f t="shared" si="31"/>
        <v>1204.9509374999998</v>
      </c>
      <c r="AN71" s="12">
        <f t="shared" si="31"/>
        <v>1204.9509374999998</v>
      </c>
      <c r="AO71" s="12">
        <f t="shared" ref="AO71:BT71" si="32">AO69*$D$35+IF(AO$6&gt;=$E$25,AO69*($D$36+$D$37),0)</f>
        <v>1204.9509374999998</v>
      </c>
      <c r="AP71" s="12">
        <f t="shared" si="32"/>
        <v>1204.9509374999998</v>
      </c>
      <c r="AQ71" s="12">
        <f t="shared" si="32"/>
        <v>1204.9509374999998</v>
      </c>
      <c r="AR71" s="12">
        <f t="shared" si="32"/>
        <v>1204.9509374999998</v>
      </c>
      <c r="AS71" s="12">
        <f t="shared" si="32"/>
        <v>0</v>
      </c>
      <c r="AT71" s="12">
        <f t="shared" si="32"/>
        <v>3570.2249999999995</v>
      </c>
      <c r="AU71" s="12">
        <f t="shared" si="32"/>
        <v>3570.2249999999995</v>
      </c>
      <c r="AV71" s="12">
        <f t="shared" si="32"/>
        <v>3570.2249999999995</v>
      </c>
      <c r="AW71" s="12">
        <f t="shared" si="32"/>
        <v>3570.2249999999995</v>
      </c>
      <c r="AX71" s="12">
        <f t="shared" si="32"/>
        <v>3570.2249999999995</v>
      </c>
      <c r="AY71" s="12">
        <f t="shared" si="32"/>
        <v>3570.2249999999995</v>
      </c>
      <c r="AZ71" s="12">
        <f t="shared" si="32"/>
        <v>0</v>
      </c>
      <c r="BA71" s="12">
        <f t="shared" si="32"/>
        <v>0</v>
      </c>
      <c r="BB71" s="12">
        <f t="shared" si="32"/>
        <v>0</v>
      </c>
      <c r="BC71" s="12">
        <f t="shared" si="32"/>
        <v>0</v>
      </c>
      <c r="BD71" s="12">
        <f t="shared" si="32"/>
        <v>0</v>
      </c>
      <c r="BE71" s="12">
        <f t="shared" si="32"/>
        <v>0</v>
      </c>
      <c r="BF71" s="12">
        <f t="shared" si="32"/>
        <v>0</v>
      </c>
      <c r="BG71" s="12">
        <f t="shared" si="32"/>
        <v>0</v>
      </c>
      <c r="BH71" s="12">
        <f t="shared" si="32"/>
        <v>0</v>
      </c>
      <c r="BI71" s="12">
        <f t="shared" si="32"/>
        <v>0</v>
      </c>
      <c r="BJ71" s="12">
        <f t="shared" si="32"/>
        <v>0</v>
      </c>
      <c r="BK71" s="12">
        <f t="shared" si="32"/>
        <v>0</v>
      </c>
      <c r="BL71" s="12">
        <f t="shared" si="32"/>
        <v>0</v>
      </c>
      <c r="BM71" s="12">
        <f t="shared" si="32"/>
        <v>0</v>
      </c>
      <c r="BN71" s="12">
        <f t="shared" si="32"/>
        <v>0</v>
      </c>
      <c r="BO71" s="12">
        <f t="shared" si="32"/>
        <v>0</v>
      </c>
      <c r="BP71" s="12">
        <f t="shared" si="32"/>
        <v>0</v>
      </c>
      <c r="BQ71" s="12">
        <f t="shared" si="32"/>
        <v>0</v>
      </c>
      <c r="BR71" s="12">
        <f t="shared" si="32"/>
        <v>0</v>
      </c>
      <c r="BS71" s="12">
        <f t="shared" si="32"/>
        <v>0</v>
      </c>
      <c r="BT71" s="12">
        <f t="shared" si="32"/>
        <v>0</v>
      </c>
      <c r="BU71" s="12">
        <f t="shared" ref="BU71:CN71" si="33">BU69*$D$35+IF(BU$6&gt;=$E$25,BU69*($D$36+$D$37),0)</f>
        <v>0</v>
      </c>
      <c r="BV71" s="12">
        <f t="shared" si="33"/>
        <v>0</v>
      </c>
      <c r="BW71" s="12">
        <f t="shared" si="33"/>
        <v>0</v>
      </c>
      <c r="BX71" s="12">
        <f t="shared" si="33"/>
        <v>0</v>
      </c>
      <c r="BY71" s="12">
        <f t="shared" si="33"/>
        <v>0</v>
      </c>
      <c r="BZ71" s="12">
        <f t="shared" si="33"/>
        <v>0</v>
      </c>
      <c r="CA71" s="12">
        <f t="shared" si="33"/>
        <v>0</v>
      </c>
      <c r="CB71" s="12">
        <f t="shared" si="33"/>
        <v>0</v>
      </c>
      <c r="CC71" s="12">
        <f t="shared" si="33"/>
        <v>0</v>
      </c>
      <c r="CD71" s="12">
        <f t="shared" si="33"/>
        <v>0</v>
      </c>
      <c r="CE71" s="12">
        <f t="shared" si="33"/>
        <v>0</v>
      </c>
      <c r="CF71" s="12">
        <f t="shared" si="33"/>
        <v>0</v>
      </c>
      <c r="CG71" s="12">
        <f t="shared" si="33"/>
        <v>0</v>
      </c>
      <c r="CH71" s="12">
        <f t="shared" si="33"/>
        <v>0</v>
      </c>
      <c r="CI71" s="12">
        <f t="shared" si="33"/>
        <v>0</v>
      </c>
      <c r="CJ71" s="12">
        <f t="shared" si="33"/>
        <v>0</v>
      </c>
      <c r="CK71" s="12">
        <f t="shared" si="33"/>
        <v>0</v>
      </c>
      <c r="CL71" s="12">
        <f t="shared" si="33"/>
        <v>0</v>
      </c>
      <c r="CM71" s="12">
        <f t="shared" si="33"/>
        <v>0</v>
      </c>
      <c r="CN71" s="12">
        <f t="shared" si="33"/>
        <v>0</v>
      </c>
    </row>
    <row r="72" spans="1:92" x14ac:dyDescent="0.2">
      <c r="A72" s="10"/>
      <c r="B72" s="10"/>
      <c r="C72" s="10" t="s">
        <v>750</v>
      </c>
      <c r="D72" s="10"/>
      <c r="E72" s="10"/>
      <c r="F72" s="10"/>
      <c r="G72" s="10"/>
      <c r="H72" s="12">
        <f t="shared" si="30"/>
        <v>60693.825000000004</v>
      </c>
      <c r="I72" s="12">
        <f>IF(I$6&lt;$E$25,SUM($I70:I70),0)</f>
        <v>0</v>
      </c>
      <c r="J72" s="12">
        <f>IF(J$6&lt;$E$25,SUM($I70:J70),0)</f>
        <v>0</v>
      </c>
      <c r="K72" s="12">
        <f>IF(K$6&lt;$E$25,SUM($I70:K70),0)</f>
        <v>0</v>
      </c>
      <c r="L72" s="12">
        <f>IF(L$6&lt;$E$25,SUM($I70:L70),0)</f>
        <v>0</v>
      </c>
      <c r="M72" s="12">
        <f>IF(M$6&lt;$E$25,SUM($I70:M70),0)</f>
        <v>0</v>
      </c>
      <c r="N72" s="12">
        <f>IF(N$6&lt;$E$25,SUM($I70:N70),0)</f>
        <v>0</v>
      </c>
      <c r="O72" s="12">
        <f>IF(O$6&lt;$E$25,SUM($I70:O70),0)</f>
        <v>0</v>
      </c>
      <c r="P72" s="12">
        <f>IF(P$6&lt;$E$25,SUM($I70:P70),0)</f>
        <v>0</v>
      </c>
      <c r="Q72" s="12">
        <f>IF(Q$6&lt;$E$25,SUM($I70:Q70),0)</f>
        <v>0</v>
      </c>
      <c r="R72" s="12">
        <f>IF(R$6&lt;$E$25,SUM($I70:R70),0)</f>
        <v>0</v>
      </c>
      <c r="S72" s="12">
        <f>IF(S$6&lt;$E$25,SUM($I70:S70),0)</f>
        <v>0</v>
      </c>
      <c r="T72" s="12">
        <f>IF(T$6&lt;$E$25,SUM($I70:T70),0)</f>
        <v>0</v>
      </c>
      <c r="U72" s="12">
        <f>IF(U$6&lt;$E$25,SUM($I70:U70),0)</f>
        <v>0</v>
      </c>
      <c r="V72" s="12">
        <f>IF(V$6&lt;$E$25,SUM($I70:V70),0)</f>
        <v>0</v>
      </c>
      <c r="W72" s="12">
        <f>IF(W$6&lt;$E$25,SUM($I70:W70),0)</f>
        <v>216.37727272727273</v>
      </c>
      <c r="X72" s="12">
        <f>IF(X$6&lt;$E$25,SUM($I70:X70),0)</f>
        <v>443.05822510822509</v>
      </c>
      <c r="Y72" s="12">
        <f>IF(Y$6&lt;$E$25,SUM($I70:Y70),0)</f>
        <v>681.07322510822507</v>
      </c>
      <c r="Z72" s="12">
        <f>IF(Z$6&lt;$E$25,SUM($I70:Z70),0)</f>
        <v>931.61533037138292</v>
      </c>
      <c r="AA72" s="12">
        <f>IF(AA$6&lt;$E$25,SUM($I70:AA70),0)</f>
        <v>1196.0764414824939</v>
      </c>
      <c r="AB72" s="12">
        <f>IF(AB$6&lt;$E$25,SUM($I70:AB70),0)</f>
        <v>1476.0940885413174</v>
      </c>
      <c r="AC72" s="12">
        <f>IF(AC$6&lt;$E$25,SUM($I70:AC70),0)</f>
        <v>1601.6098111975675</v>
      </c>
      <c r="AD72" s="12">
        <f>IF(AD$6&lt;$E$25,SUM($I70:AD70),0)</f>
        <v>1735.4932486975674</v>
      </c>
      <c r="AE72" s="12">
        <f>IF(AE$6&lt;$E$25,SUM($I70:AE70),0)</f>
        <v>1878.9397888761389</v>
      </c>
      <c r="AF72" s="12">
        <f>IF(AF$6&lt;$E$25,SUM($I70:AF70),0)</f>
        <v>2033.4206782992158</v>
      </c>
      <c r="AG72" s="12">
        <f>IF(AG$6&lt;$E$25,SUM($I70:AG70),0)</f>
        <v>2200.7749751742158</v>
      </c>
      <c r="AH72" s="12">
        <f>IF(AH$6&lt;$E$25,SUM($I70:AH70),0)</f>
        <v>2383.3432990378524</v>
      </c>
      <c r="AI72" s="12">
        <f>IF(AI$6&lt;$E$25,SUM($I70:AI70),0)</f>
        <v>2584.1684552878523</v>
      </c>
      <c r="AJ72" s="12">
        <f>IF(AJ$6&lt;$E$25,SUM($I70:AJ70),0)</f>
        <v>2807.3075177878522</v>
      </c>
      <c r="AK72" s="12">
        <f>IF(AK$6&lt;$E$25,SUM($I70:AK70),0)</f>
        <v>3058.3389631003524</v>
      </c>
      <c r="AL72" s="12">
        <f>IF(AL$6&lt;$E$25,SUM($I70:AL70),0)</f>
        <v>3345.2320434574954</v>
      </c>
      <c r="AM72" s="12">
        <f>IF(AM$6&lt;$E$25,SUM($I70:AM70),0)</f>
        <v>3679.9406372074955</v>
      </c>
      <c r="AN72" s="12">
        <f>IF(AN$6&lt;$E$25,SUM($I70:AN70),0)</f>
        <v>4081.5909497074954</v>
      </c>
      <c r="AO72" s="12">
        <f>IF(AO$6&lt;$E$25,SUM($I70:AO70),0)</f>
        <v>4583.6538403324957</v>
      </c>
      <c r="AP72" s="12">
        <f>IF(AP$6&lt;$E$25,SUM($I70:AP70),0)</f>
        <v>5253.0710278324959</v>
      </c>
      <c r="AQ72" s="12">
        <f>IF(AQ$6&lt;$E$25,SUM($I70:AQ70),0)</f>
        <v>6257.1968090824957</v>
      </c>
      <c r="AR72" s="12">
        <f>IF(AR$6&lt;$E$25,SUM($I70:AR70),0)</f>
        <v>8265.4483715824954</v>
      </c>
      <c r="AS72" s="12">
        <f>IF(AS$6&lt;$E$25,SUM($I70:AS70),0)</f>
        <v>0</v>
      </c>
      <c r="AT72" s="12">
        <f>IF(AT$6&lt;$E$25,SUM($I70:AT70),0)</f>
        <v>0</v>
      </c>
      <c r="AU72" s="12">
        <f>IF(AU$6&lt;$E$25,SUM($I70:AU70),0)</f>
        <v>0</v>
      </c>
      <c r="AV72" s="12">
        <f>IF(AV$6&lt;$E$25,SUM($I70:AV70),0)</f>
        <v>0</v>
      </c>
      <c r="AW72" s="12">
        <f>IF(AW$6&lt;$E$25,SUM($I70:AW70),0)</f>
        <v>0</v>
      </c>
      <c r="AX72" s="12">
        <f>IF(AX$6&lt;$E$25,SUM($I70:AX70),0)</f>
        <v>0</v>
      </c>
      <c r="AY72" s="12">
        <f>IF(AY$6&lt;$E$25,SUM($I70:AY70),0)</f>
        <v>0</v>
      </c>
      <c r="AZ72" s="12">
        <f>IF(AZ$6&lt;$E$25,SUM($I70:AZ70),0)</f>
        <v>0</v>
      </c>
      <c r="BA72" s="12">
        <f>IF(BA$6&lt;$E$25,SUM($I70:BA70),0)</f>
        <v>0</v>
      </c>
      <c r="BB72" s="12">
        <f>IF(BB$6&lt;$E$25,SUM($I70:BB70),0)</f>
        <v>0</v>
      </c>
      <c r="BC72" s="12">
        <f>IF(BC$6&lt;$E$25,SUM($I70:BC70),0)</f>
        <v>0</v>
      </c>
      <c r="BD72" s="12">
        <f>IF(BD$6&lt;$E$25,SUM($I70:BD70),0)</f>
        <v>0</v>
      </c>
      <c r="BE72" s="12">
        <f>IF(BE$6&lt;$E$25,SUM($I70:BE70),0)</f>
        <v>0</v>
      </c>
      <c r="BF72" s="12">
        <f>IF(BF$6&lt;$E$25,SUM($I70:BF70),0)</f>
        <v>0</v>
      </c>
      <c r="BG72" s="12">
        <f>IF(BG$6&lt;$E$25,SUM($I70:BG70),0)</f>
        <v>0</v>
      </c>
      <c r="BH72" s="12">
        <f>IF(BH$6&lt;$E$25,SUM($I70:BH70),0)</f>
        <v>0</v>
      </c>
      <c r="BI72" s="12">
        <f>IF(BI$6&lt;$E$25,SUM($I70:BI70),0)</f>
        <v>0</v>
      </c>
      <c r="BJ72" s="12">
        <f>IF(BJ$6&lt;$E$25,SUM($I70:BJ70),0)</f>
        <v>0</v>
      </c>
      <c r="BK72" s="12">
        <f>IF(BK$6&lt;$E$25,SUM($I70:BK70),0)</f>
        <v>0</v>
      </c>
      <c r="BL72" s="12">
        <f>IF(BL$6&lt;$E$25,SUM($I70:BL70),0)</f>
        <v>0</v>
      </c>
      <c r="BM72" s="12">
        <f>IF(BM$6&lt;$E$25,SUM($I70:BM70),0)</f>
        <v>0</v>
      </c>
      <c r="BN72" s="12">
        <f>IF(BN$6&lt;$E$25,SUM($I70:BN70),0)</f>
        <v>0</v>
      </c>
      <c r="BO72" s="12">
        <f>IF(BO$6&lt;$E$25,SUM($I70:BO70),0)</f>
        <v>0</v>
      </c>
      <c r="BP72" s="12">
        <f>IF(BP$6&lt;$E$25,SUM($I70:BP70),0)</f>
        <v>0</v>
      </c>
      <c r="BQ72" s="12">
        <f>IF(BQ$6&lt;$E$25,SUM($I70:BQ70),0)</f>
        <v>0</v>
      </c>
      <c r="BR72" s="12">
        <f>IF(BR$6&lt;$E$25,SUM($I70:BR70),0)</f>
        <v>0</v>
      </c>
      <c r="BS72" s="12">
        <f>IF(BS$6&lt;$E$25,SUM($I70:BS70),0)</f>
        <v>0</v>
      </c>
      <c r="BT72" s="12">
        <f>IF(BT$6&lt;$E$25,SUM($I70:BT70),0)</f>
        <v>0</v>
      </c>
      <c r="BU72" s="12">
        <f>IF(BU$6&lt;$E$25,SUM($I70:BU70),0)</f>
        <v>0</v>
      </c>
      <c r="BV72" s="12">
        <f>IF(BV$6&lt;$E$25,SUM($I70:BV70),0)</f>
        <v>0</v>
      </c>
      <c r="BW72" s="12">
        <f>IF(BW$6&lt;$E$25,SUM($I70:BW70),0)</f>
        <v>0</v>
      </c>
      <c r="BX72" s="12">
        <f>IF(BX$6&lt;$E$25,SUM($I70:BX70),0)</f>
        <v>0</v>
      </c>
      <c r="BY72" s="12">
        <f>IF(BY$6&lt;$E$25,SUM($I70:BY70),0)</f>
        <v>0</v>
      </c>
      <c r="BZ72" s="12">
        <f>IF(BZ$6&lt;$E$25,SUM($I70:BZ70),0)</f>
        <v>0</v>
      </c>
      <c r="CA72" s="12">
        <f>IF(CA$6&lt;$E$25,SUM($I70:CA70),0)</f>
        <v>0</v>
      </c>
      <c r="CB72" s="12">
        <f>IF(CB$6&lt;$E$25,SUM($I70:CB70),0)</f>
        <v>0</v>
      </c>
      <c r="CC72" s="12">
        <f>IF(CC$6&lt;$E$25,SUM($I70:CC70),0)</f>
        <v>0</v>
      </c>
      <c r="CD72" s="12">
        <f>IF(CD$6&lt;$E$25,SUM($I70:CD70),0)</f>
        <v>0</v>
      </c>
      <c r="CE72" s="12">
        <f>IF(CE$6&lt;$E$25,SUM($I70:CE70),0)</f>
        <v>0</v>
      </c>
      <c r="CF72" s="12">
        <f>IF(CF$6&lt;$E$25,SUM($I70:CF70),0)</f>
        <v>0</v>
      </c>
      <c r="CG72" s="12">
        <f>IF(CG$6&lt;$E$25,SUM($I70:CG70),0)</f>
        <v>0</v>
      </c>
      <c r="CH72" s="12">
        <f>IF(CH$6&lt;$E$25,SUM($I70:CH70),0)</f>
        <v>0</v>
      </c>
      <c r="CI72" s="12">
        <f>IF(CI$6&lt;$E$25,SUM($I70:CI70),0)</f>
        <v>0</v>
      </c>
      <c r="CJ72" s="12">
        <f>IF(CJ$6&lt;$E$25,SUM($I70:CJ70),0)</f>
        <v>0</v>
      </c>
      <c r="CK72" s="12">
        <f>IF(CK$6&lt;$E$25,SUM($I70:CK70),0)</f>
        <v>0</v>
      </c>
      <c r="CL72" s="12">
        <f>IF(CL$6&lt;$E$25,SUM($I70:CL70),0)</f>
        <v>0</v>
      </c>
      <c r="CM72" s="12">
        <f>IF(CM$6&lt;$E$25,SUM($I70:CM70),0)</f>
        <v>0</v>
      </c>
      <c r="CN72" s="12">
        <f>IF(CN$6&lt;$E$25,SUM($I70:CN70),0)</f>
        <v>0</v>
      </c>
    </row>
    <row r="73" spans="1:92" x14ac:dyDescent="0.2">
      <c r="A73" s="10"/>
      <c r="B73" s="10"/>
      <c r="C73" s="10" t="s">
        <v>709</v>
      </c>
      <c r="D73" s="10"/>
      <c r="E73" s="10"/>
      <c r="F73" s="10"/>
      <c r="G73" s="10"/>
      <c r="H73" s="12">
        <f t="shared" si="30"/>
        <v>24277.53000000001</v>
      </c>
      <c r="I73" s="12">
        <f t="shared" ref="I73:AN73" si="34">IF(I$6=$E$25,SUMIF($I$6:$CN$6,"&lt;"&amp;$E$25,$I$69:$CN$69)*$D$37,0)</f>
        <v>0</v>
      </c>
      <c r="J73" s="12">
        <f t="shared" si="34"/>
        <v>0</v>
      </c>
      <c r="K73" s="12">
        <f t="shared" si="34"/>
        <v>0</v>
      </c>
      <c r="L73" s="12">
        <f t="shared" si="34"/>
        <v>0</v>
      </c>
      <c r="M73" s="12">
        <f t="shared" si="34"/>
        <v>0</v>
      </c>
      <c r="N73" s="12">
        <f t="shared" si="34"/>
        <v>0</v>
      </c>
      <c r="O73" s="12">
        <f t="shared" si="34"/>
        <v>0</v>
      </c>
      <c r="P73" s="12">
        <f t="shared" si="34"/>
        <v>0</v>
      </c>
      <c r="Q73" s="12">
        <f t="shared" si="34"/>
        <v>0</v>
      </c>
      <c r="R73" s="12">
        <f t="shared" si="34"/>
        <v>0</v>
      </c>
      <c r="S73" s="12">
        <f t="shared" si="34"/>
        <v>0</v>
      </c>
      <c r="T73" s="12">
        <f t="shared" si="34"/>
        <v>0</v>
      </c>
      <c r="U73" s="12">
        <f t="shared" si="34"/>
        <v>0</v>
      </c>
      <c r="V73" s="12">
        <f t="shared" si="34"/>
        <v>0</v>
      </c>
      <c r="W73" s="12">
        <f t="shared" si="34"/>
        <v>0</v>
      </c>
      <c r="X73" s="12">
        <f t="shared" si="34"/>
        <v>0</v>
      </c>
      <c r="Y73" s="12">
        <f t="shared" si="34"/>
        <v>0</v>
      </c>
      <c r="Z73" s="12">
        <f t="shared" si="34"/>
        <v>0</v>
      </c>
      <c r="AA73" s="12">
        <f t="shared" si="34"/>
        <v>0</v>
      </c>
      <c r="AB73" s="12">
        <f t="shared" si="34"/>
        <v>0</v>
      </c>
      <c r="AC73" s="12">
        <f t="shared" si="34"/>
        <v>0</v>
      </c>
      <c r="AD73" s="12">
        <f t="shared" si="34"/>
        <v>0</v>
      </c>
      <c r="AE73" s="12">
        <f t="shared" si="34"/>
        <v>0</v>
      </c>
      <c r="AF73" s="12">
        <f t="shared" si="34"/>
        <v>0</v>
      </c>
      <c r="AG73" s="12">
        <f t="shared" si="34"/>
        <v>0</v>
      </c>
      <c r="AH73" s="12">
        <f t="shared" si="34"/>
        <v>0</v>
      </c>
      <c r="AI73" s="12">
        <f t="shared" si="34"/>
        <v>0</v>
      </c>
      <c r="AJ73" s="12">
        <f t="shared" si="34"/>
        <v>0</v>
      </c>
      <c r="AK73" s="12">
        <f t="shared" si="34"/>
        <v>0</v>
      </c>
      <c r="AL73" s="12">
        <f t="shared" si="34"/>
        <v>0</v>
      </c>
      <c r="AM73" s="12">
        <f t="shared" si="34"/>
        <v>0</v>
      </c>
      <c r="AN73" s="12">
        <f t="shared" si="34"/>
        <v>0</v>
      </c>
      <c r="AO73" s="12">
        <f t="shared" ref="AO73:BT73" si="35">IF(AO$6=$E$25,SUMIF($I$6:$CN$6,"&lt;"&amp;$E$25,$I$69:$CN$69)*$D$37,0)</f>
        <v>0</v>
      </c>
      <c r="AP73" s="12">
        <f t="shared" si="35"/>
        <v>0</v>
      </c>
      <c r="AQ73" s="12">
        <f t="shared" si="35"/>
        <v>0</v>
      </c>
      <c r="AR73" s="12">
        <f t="shared" si="35"/>
        <v>0</v>
      </c>
      <c r="AS73" s="12">
        <f t="shared" si="35"/>
        <v>24277.53000000001</v>
      </c>
      <c r="AT73" s="12">
        <f t="shared" si="35"/>
        <v>0</v>
      </c>
      <c r="AU73" s="12">
        <f t="shared" si="35"/>
        <v>0</v>
      </c>
      <c r="AV73" s="12">
        <f t="shared" si="35"/>
        <v>0</v>
      </c>
      <c r="AW73" s="12">
        <f t="shared" si="35"/>
        <v>0</v>
      </c>
      <c r="AX73" s="12">
        <f t="shared" si="35"/>
        <v>0</v>
      </c>
      <c r="AY73" s="12">
        <f t="shared" si="35"/>
        <v>0</v>
      </c>
      <c r="AZ73" s="12">
        <f t="shared" si="35"/>
        <v>0</v>
      </c>
      <c r="BA73" s="12">
        <f t="shared" si="35"/>
        <v>0</v>
      </c>
      <c r="BB73" s="12">
        <f t="shared" si="35"/>
        <v>0</v>
      </c>
      <c r="BC73" s="12">
        <f t="shared" si="35"/>
        <v>0</v>
      </c>
      <c r="BD73" s="12">
        <f t="shared" si="35"/>
        <v>0</v>
      </c>
      <c r="BE73" s="12">
        <f t="shared" si="35"/>
        <v>0</v>
      </c>
      <c r="BF73" s="12">
        <f t="shared" si="35"/>
        <v>0</v>
      </c>
      <c r="BG73" s="12">
        <f t="shared" si="35"/>
        <v>0</v>
      </c>
      <c r="BH73" s="12">
        <f t="shared" si="35"/>
        <v>0</v>
      </c>
      <c r="BI73" s="12">
        <f t="shared" si="35"/>
        <v>0</v>
      </c>
      <c r="BJ73" s="12">
        <f t="shared" si="35"/>
        <v>0</v>
      </c>
      <c r="BK73" s="12">
        <f t="shared" si="35"/>
        <v>0</v>
      </c>
      <c r="BL73" s="12">
        <f t="shared" si="35"/>
        <v>0</v>
      </c>
      <c r="BM73" s="12">
        <f t="shared" si="35"/>
        <v>0</v>
      </c>
      <c r="BN73" s="12">
        <f t="shared" si="35"/>
        <v>0</v>
      </c>
      <c r="BO73" s="12">
        <f t="shared" si="35"/>
        <v>0</v>
      </c>
      <c r="BP73" s="12">
        <f t="shared" si="35"/>
        <v>0</v>
      </c>
      <c r="BQ73" s="12">
        <f t="shared" si="35"/>
        <v>0</v>
      </c>
      <c r="BR73" s="12">
        <f t="shared" si="35"/>
        <v>0</v>
      </c>
      <c r="BS73" s="12">
        <f t="shared" si="35"/>
        <v>0</v>
      </c>
      <c r="BT73" s="12">
        <f t="shared" si="35"/>
        <v>0</v>
      </c>
      <c r="BU73" s="12">
        <f t="shared" ref="BU73:CN73" si="36">IF(BU$6=$E$25,SUMIF($I$6:$CN$6,"&lt;"&amp;$E$25,$I$69:$CN$69)*$D$37,0)</f>
        <v>0</v>
      </c>
      <c r="BV73" s="12">
        <f t="shared" si="36"/>
        <v>0</v>
      </c>
      <c r="BW73" s="12">
        <f t="shared" si="36"/>
        <v>0</v>
      </c>
      <c r="BX73" s="12">
        <f t="shared" si="36"/>
        <v>0</v>
      </c>
      <c r="BY73" s="12">
        <f t="shared" si="36"/>
        <v>0</v>
      </c>
      <c r="BZ73" s="12">
        <f t="shared" si="36"/>
        <v>0</v>
      </c>
      <c r="CA73" s="12">
        <f t="shared" si="36"/>
        <v>0</v>
      </c>
      <c r="CB73" s="12">
        <f t="shared" si="36"/>
        <v>0</v>
      </c>
      <c r="CC73" s="12">
        <f t="shared" si="36"/>
        <v>0</v>
      </c>
      <c r="CD73" s="12">
        <f t="shared" si="36"/>
        <v>0</v>
      </c>
      <c r="CE73" s="12">
        <f t="shared" si="36"/>
        <v>0</v>
      </c>
      <c r="CF73" s="12">
        <f t="shared" si="36"/>
        <v>0</v>
      </c>
      <c r="CG73" s="12">
        <f t="shared" si="36"/>
        <v>0</v>
      </c>
      <c r="CH73" s="12">
        <f t="shared" si="36"/>
        <v>0</v>
      </c>
      <c r="CI73" s="12">
        <f t="shared" si="36"/>
        <v>0</v>
      </c>
      <c r="CJ73" s="12">
        <f t="shared" si="36"/>
        <v>0</v>
      </c>
      <c r="CK73" s="12">
        <f t="shared" si="36"/>
        <v>0</v>
      </c>
      <c r="CL73" s="12">
        <f t="shared" si="36"/>
        <v>0</v>
      </c>
      <c r="CM73" s="12">
        <f t="shared" si="36"/>
        <v>0</v>
      </c>
      <c r="CN73" s="12">
        <f t="shared" si="36"/>
        <v>0</v>
      </c>
    </row>
    <row r="74" spans="1:92" x14ac:dyDescent="0.2">
      <c r="A74" s="10"/>
      <c r="B74" s="10"/>
      <c r="C74" s="10" t="s">
        <v>751</v>
      </c>
      <c r="D74" s="10"/>
      <c r="E74" s="10"/>
      <c r="F74" s="10"/>
      <c r="G74" s="10"/>
      <c r="H74" s="12">
        <f t="shared" si="30"/>
        <v>0</v>
      </c>
      <c r="I74" s="12">
        <f t="shared" ref="I74:AN74" si="37">IF(I$6=$E$32,SUMIF($I$6:$CN$6,"&lt;"&amp;$E$32,$I$69:$CN$69)*$D$38,0)</f>
        <v>0</v>
      </c>
      <c r="J74" s="12">
        <f t="shared" si="37"/>
        <v>0</v>
      </c>
      <c r="K74" s="12">
        <f t="shared" si="37"/>
        <v>0</v>
      </c>
      <c r="L74" s="12">
        <f t="shared" si="37"/>
        <v>0</v>
      </c>
      <c r="M74" s="12">
        <f t="shared" si="37"/>
        <v>0</v>
      </c>
      <c r="N74" s="12">
        <f t="shared" si="37"/>
        <v>0</v>
      </c>
      <c r="O74" s="12">
        <f t="shared" si="37"/>
        <v>0</v>
      </c>
      <c r="P74" s="12">
        <f t="shared" si="37"/>
        <v>0</v>
      </c>
      <c r="Q74" s="12">
        <f t="shared" si="37"/>
        <v>0</v>
      </c>
      <c r="R74" s="12">
        <f t="shared" si="37"/>
        <v>0</v>
      </c>
      <c r="S74" s="12">
        <f t="shared" si="37"/>
        <v>0</v>
      </c>
      <c r="T74" s="12">
        <f t="shared" si="37"/>
        <v>0</v>
      </c>
      <c r="U74" s="12">
        <f t="shared" si="37"/>
        <v>0</v>
      </c>
      <c r="V74" s="12">
        <f t="shared" si="37"/>
        <v>0</v>
      </c>
      <c r="W74" s="12">
        <f t="shared" si="37"/>
        <v>0</v>
      </c>
      <c r="X74" s="12">
        <f t="shared" si="37"/>
        <v>0</v>
      </c>
      <c r="Y74" s="12">
        <f t="shared" si="37"/>
        <v>0</v>
      </c>
      <c r="Z74" s="12">
        <f t="shared" si="37"/>
        <v>0</v>
      </c>
      <c r="AA74" s="12">
        <f t="shared" si="37"/>
        <v>0</v>
      </c>
      <c r="AB74" s="12">
        <f t="shared" si="37"/>
        <v>0</v>
      </c>
      <c r="AC74" s="12">
        <f t="shared" si="37"/>
        <v>0</v>
      </c>
      <c r="AD74" s="12">
        <f t="shared" si="37"/>
        <v>0</v>
      </c>
      <c r="AE74" s="12">
        <f t="shared" si="37"/>
        <v>0</v>
      </c>
      <c r="AF74" s="12">
        <f t="shared" si="37"/>
        <v>0</v>
      </c>
      <c r="AG74" s="12">
        <f t="shared" si="37"/>
        <v>0</v>
      </c>
      <c r="AH74" s="12">
        <f t="shared" si="37"/>
        <v>0</v>
      </c>
      <c r="AI74" s="12">
        <f t="shared" si="37"/>
        <v>0</v>
      </c>
      <c r="AJ74" s="12">
        <f t="shared" si="37"/>
        <v>0</v>
      </c>
      <c r="AK74" s="12">
        <f t="shared" si="37"/>
        <v>0</v>
      </c>
      <c r="AL74" s="12">
        <f t="shared" si="37"/>
        <v>0</v>
      </c>
      <c r="AM74" s="12">
        <f t="shared" si="37"/>
        <v>0</v>
      </c>
      <c r="AN74" s="12">
        <f t="shared" si="37"/>
        <v>0</v>
      </c>
      <c r="AO74" s="12">
        <f t="shared" ref="AO74:BT74" si="38">IF(AO$6=$E$32,SUMIF($I$6:$CN$6,"&lt;"&amp;$E$32,$I$69:$CN$69)*$D$38,0)</f>
        <v>0</v>
      </c>
      <c r="AP74" s="12">
        <f t="shared" si="38"/>
        <v>0</v>
      </c>
      <c r="AQ74" s="12">
        <f t="shared" si="38"/>
        <v>0</v>
      </c>
      <c r="AR74" s="12">
        <f t="shared" si="38"/>
        <v>0</v>
      </c>
      <c r="AS74" s="12">
        <f t="shared" si="38"/>
        <v>0</v>
      </c>
      <c r="AT74" s="12">
        <f t="shared" si="38"/>
        <v>0</v>
      </c>
      <c r="AU74" s="12">
        <f t="shared" si="38"/>
        <v>0</v>
      </c>
      <c r="AV74" s="12">
        <f t="shared" si="38"/>
        <v>0</v>
      </c>
      <c r="AW74" s="12">
        <f t="shared" si="38"/>
        <v>0</v>
      </c>
      <c r="AX74" s="12">
        <f t="shared" si="38"/>
        <v>0</v>
      </c>
      <c r="AY74" s="12">
        <f t="shared" si="38"/>
        <v>0</v>
      </c>
      <c r="AZ74" s="12">
        <f t="shared" si="38"/>
        <v>0</v>
      </c>
      <c r="BA74" s="12">
        <f t="shared" si="38"/>
        <v>0</v>
      </c>
      <c r="BB74" s="12">
        <f t="shared" si="38"/>
        <v>0</v>
      </c>
      <c r="BC74" s="12">
        <f t="shared" si="38"/>
        <v>0</v>
      </c>
      <c r="BD74" s="12">
        <f t="shared" si="38"/>
        <v>0</v>
      </c>
      <c r="BE74" s="12">
        <f t="shared" si="38"/>
        <v>0</v>
      </c>
      <c r="BF74" s="12">
        <f t="shared" si="38"/>
        <v>0</v>
      </c>
      <c r="BG74" s="12">
        <f t="shared" si="38"/>
        <v>0</v>
      </c>
      <c r="BH74" s="12">
        <f t="shared" si="38"/>
        <v>0</v>
      </c>
      <c r="BI74" s="12">
        <f t="shared" si="38"/>
        <v>0</v>
      </c>
      <c r="BJ74" s="12">
        <f t="shared" si="38"/>
        <v>0</v>
      </c>
      <c r="BK74" s="12">
        <f t="shared" si="38"/>
        <v>0</v>
      </c>
      <c r="BL74" s="12">
        <f t="shared" si="38"/>
        <v>0</v>
      </c>
      <c r="BM74" s="12">
        <f t="shared" si="38"/>
        <v>0</v>
      </c>
      <c r="BN74" s="12">
        <f t="shared" si="38"/>
        <v>0</v>
      </c>
      <c r="BO74" s="12">
        <f t="shared" si="38"/>
        <v>0</v>
      </c>
      <c r="BP74" s="12">
        <f t="shared" si="38"/>
        <v>0</v>
      </c>
      <c r="BQ74" s="12">
        <f t="shared" si="38"/>
        <v>0</v>
      </c>
      <c r="BR74" s="12">
        <f t="shared" si="38"/>
        <v>0</v>
      </c>
      <c r="BS74" s="12">
        <f t="shared" si="38"/>
        <v>0</v>
      </c>
      <c r="BT74" s="12">
        <f t="shared" si="38"/>
        <v>0</v>
      </c>
      <c r="BU74" s="12">
        <f t="shared" ref="BU74:CN74" si="39">IF(BU$6=$E$32,SUMIF($I$6:$CN$6,"&lt;"&amp;$E$32,$I$69:$CN$69)*$D$38,0)</f>
        <v>0</v>
      </c>
      <c r="BV74" s="12">
        <f t="shared" si="39"/>
        <v>0</v>
      </c>
      <c r="BW74" s="12">
        <f t="shared" si="39"/>
        <v>0</v>
      </c>
      <c r="BX74" s="12">
        <f t="shared" si="39"/>
        <v>0</v>
      </c>
      <c r="BY74" s="12">
        <f t="shared" si="39"/>
        <v>0</v>
      </c>
      <c r="BZ74" s="12">
        <f t="shared" si="39"/>
        <v>0</v>
      </c>
      <c r="CA74" s="12">
        <f t="shared" si="39"/>
        <v>0</v>
      </c>
      <c r="CB74" s="12">
        <f t="shared" si="39"/>
        <v>0</v>
      </c>
      <c r="CC74" s="12">
        <f t="shared" si="39"/>
        <v>0</v>
      </c>
      <c r="CD74" s="12">
        <f t="shared" si="39"/>
        <v>0</v>
      </c>
      <c r="CE74" s="12">
        <f t="shared" si="39"/>
        <v>0</v>
      </c>
      <c r="CF74" s="12">
        <f t="shared" si="39"/>
        <v>0</v>
      </c>
      <c r="CG74" s="12">
        <f t="shared" si="39"/>
        <v>0</v>
      </c>
      <c r="CH74" s="12">
        <f t="shared" si="39"/>
        <v>0</v>
      </c>
      <c r="CI74" s="12">
        <f t="shared" si="39"/>
        <v>0</v>
      </c>
      <c r="CJ74" s="12">
        <f t="shared" si="39"/>
        <v>0</v>
      </c>
      <c r="CK74" s="12">
        <f t="shared" si="39"/>
        <v>0</v>
      </c>
      <c r="CL74" s="12">
        <f t="shared" si="39"/>
        <v>0</v>
      </c>
      <c r="CM74" s="12">
        <f t="shared" si="39"/>
        <v>0</v>
      </c>
      <c r="CN74" s="12">
        <f t="shared" si="39"/>
        <v>0</v>
      </c>
    </row>
    <row r="75" spans="1:92" x14ac:dyDescent="0.2">
      <c r="A75" s="10"/>
      <c r="B75" s="49" t="s">
        <v>752</v>
      </c>
      <c r="C75" s="49"/>
      <c r="D75" s="49"/>
      <c r="E75" s="49"/>
      <c r="F75" s="49"/>
      <c r="G75" s="49"/>
      <c r="H75" s="50">
        <f t="shared" si="30"/>
        <v>142809.00000000003</v>
      </c>
      <c r="I75" s="50">
        <f t="shared" ref="I75:AN75" si="40">SUM(I71:I74)</f>
        <v>0</v>
      </c>
      <c r="J75" s="50">
        <f t="shared" si="40"/>
        <v>0</v>
      </c>
      <c r="K75" s="50">
        <f t="shared" si="40"/>
        <v>0</v>
      </c>
      <c r="L75" s="50">
        <f t="shared" si="40"/>
        <v>0</v>
      </c>
      <c r="M75" s="50">
        <f t="shared" si="40"/>
        <v>0</v>
      </c>
      <c r="N75" s="50">
        <f t="shared" si="40"/>
        <v>0</v>
      </c>
      <c r="O75" s="50">
        <f t="shared" si="40"/>
        <v>0</v>
      </c>
      <c r="P75" s="50">
        <f t="shared" si="40"/>
        <v>0</v>
      </c>
      <c r="Q75" s="50">
        <f t="shared" si="40"/>
        <v>0</v>
      </c>
      <c r="R75" s="50">
        <f t="shared" si="40"/>
        <v>0</v>
      </c>
      <c r="S75" s="50">
        <f t="shared" si="40"/>
        <v>0</v>
      </c>
      <c r="T75" s="50">
        <f t="shared" si="40"/>
        <v>0</v>
      </c>
      <c r="U75" s="50">
        <f t="shared" si="40"/>
        <v>0</v>
      </c>
      <c r="V75" s="50">
        <f t="shared" si="40"/>
        <v>0</v>
      </c>
      <c r="W75" s="50">
        <f t="shared" si="40"/>
        <v>3072.5572727272724</v>
      </c>
      <c r="X75" s="50">
        <f t="shared" si="40"/>
        <v>3299.2382251082249</v>
      </c>
      <c r="Y75" s="50">
        <f t="shared" si="40"/>
        <v>3537.2532251082248</v>
      </c>
      <c r="Z75" s="50">
        <f t="shared" si="40"/>
        <v>3787.795330371383</v>
      </c>
      <c r="AA75" s="50">
        <f t="shared" si="40"/>
        <v>4052.2564414824938</v>
      </c>
      <c r="AB75" s="50">
        <f t="shared" si="40"/>
        <v>4332.2740885413168</v>
      </c>
      <c r="AC75" s="50">
        <f t="shared" si="40"/>
        <v>2806.5607486975673</v>
      </c>
      <c r="AD75" s="50">
        <f t="shared" si="40"/>
        <v>2940.4441861975674</v>
      </c>
      <c r="AE75" s="50">
        <f t="shared" si="40"/>
        <v>3083.8907263761384</v>
      </c>
      <c r="AF75" s="50">
        <f t="shared" si="40"/>
        <v>3238.3716157992158</v>
      </c>
      <c r="AG75" s="50">
        <f t="shared" si="40"/>
        <v>3405.7259126742156</v>
      </c>
      <c r="AH75" s="50">
        <f t="shared" si="40"/>
        <v>3588.2942365378522</v>
      </c>
      <c r="AI75" s="50">
        <f t="shared" si="40"/>
        <v>3789.1193927878521</v>
      </c>
      <c r="AJ75" s="50">
        <f t="shared" si="40"/>
        <v>4012.258455287852</v>
      </c>
      <c r="AK75" s="50">
        <f t="shared" si="40"/>
        <v>4263.2899006003518</v>
      </c>
      <c r="AL75" s="50">
        <f t="shared" si="40"/>
        <v>4550.1829809574956</v>
      </c>
      <c r="AM75" s="50">
        <f t="shared" si="40"/>
        <v>4884.8915747074952</v>
      </c>
      <c r="AN75" s="50">
        <f t="shared" si="40"/>
        <v>5286.5418872074952</v>
      </c>
      <c r="AO75" s="50">
        <f t="shared" ref="AO75:BT75" si="41">SUM(AO71:AO74)</f>
        <v>5788.6047778324955</v>
      </c>
      <c r="AP75" s="50">
        <f t="shared" si="41"/>
        <v>6458.0219653324957</v>
      </c>
      <c r="AQ75" s="50">
        <f t="shared" si="41"/>
        <v>7462.1477465824955</v>
      </c>
      <c r="AR75" s="50">
        <f t="shared" si="41"/>
        <v>9470.3993090824952</v>
      </c>
      <c r="AS75" s="50">
        <f t="shared" si="41"/>
        <v>24277.53000000001</v>
      </c>
      <c r="AT75" s="50">
        <f t="shared" si="41"/>
        <v>3570.2249999999995</v>
      </c>
      <c r="AU75" s="50">
        <f t="shared" si="41"/>
        <v>3570.2249999999995</v>
      </c>
      <c r="AV75" s="50">
        <f t="shared" si="41"/>
        <v>3570.2249999999995</v>
      </c>
      <c r="AW75" s="50">
        <f t="shared" si="41"/>
        <v>3570.2249999999995</v>
      </c>
      <c r="AX75" s="50">
        <f t="shared" si="41"/>
        <v>3570.2249999999995</v>
      </c>
      <c r="AY75" s="50">
        <f t="shared" si="41"/>
        <v>3570.2249999999995</v>
      </c>
      <c r="AZ75" s="50">
        <f t="shared" si="41"/>
        <v>0</v>
      </c>
      <c r="BA75" s="50">
        <f t="shared" si="41"/>
        <v>0</v>
      </c>
      <c r="BB75" s="50">
        <f t="shared" si="41"/>
        <v>0</v>
      </c>
      <c r="BC75" s="50">
        <f t="shared" si="41"/>
        <v>0</v>
      </c>
      <c r="BD75" s="50">
        <f t="shared" si="41"/>
        <v>0</v>
      </c>
      <c r="BE75" s="50">
        <f t="shared" si="41"/>
        <v>0</v>
      </c>
      <c r="BF75" s="50">
        <f t="shared" si="41"/>
        <v>0</v>
      </c>
      <c r="BG75" s="50">
        <f t="shared" si="41"/>
        <v>0</v>
      </c>
      <c r="BH75" s="50">
        <f t="shared" si="41"/>
        <v>0</v>
      </c>
      <c r="BI75" s="50">
        <f t="shared" si="41"/>
        <v>0</v>
      </c>
      <c r="BJ75" s="50">
        <f t="shared" si="41"/>
        <v>0</v>
      </c>
      <c r="BK75" s="50">
        <f t="shared" si="41"/>
        <v>0</v>
      </c>
      <c r="BL75" s="50">
        <f t="shared" si="41"/>
        <v>0</v>
      </c>
      <c r="BM75" s="50">
        <f t="shared" si="41"/>
        <v>0</v>
      </c>
      <c r="BN75" s="50">
        <f t="shared" si="41"/>
        <v>0</v>
      </c>
      <c r="BO75" s="50">
        <f t="shared" si="41"/>
        <v>0</v>
      </c>
      <c r="BP75" s="50">
        <f t="shared" si="41"/>
        <v>0</v>
      </c>
      <c r="BQ75" s="50">
        <f t="shared" si="41"/>
        <v>0</v>
      </c>
      <c r="BR75" s="50">
        <f t="shared" si="41"/>
        <v>0</v>
      </c>
      <c r="BS75" s="50">
        <f t="shared" si="41"/>
        <v>0</v>
      </c>
      <c r="BT75" s="50">
        <f t="shared" si="41"/>
        <v>0</v>
      </c>
      <c r="BU75" s="50">
        <f t="shared" ref="BU75:CN75" si="42">SUM(BU71:BU74)</f>
        <v>0</v>
      </c>
      <c r="BV75" s="50">
        <f t="shared" si="42"/>
        <v>0</v>
      </c>
      <c r="BW75" s="50">
        <f t="shared" si="42"/>
        <v>0</v>
      </c>
      <c r="BX75" s="50">
        <f t="shared" si="42"/>
        <v>0</v>
      </c>
      <c r="BY75" s="50">
        <f t="shared" si="42"/>
        <v>0</v>
      </c>
      <c r="BZ75" s="50">
        <f t="shared" si="42"/>
        <v>0</v>
      </c>
      <c r="CA75" s="50">
        <f t="shared" si="42"/>
        <v>0</v>
      </c>
      <c r="CB75" s="50">
        <f t="shared" si="42"/>
        <v>0</v>
      </c>
      <c r="CC75" s="50">
        <f t="shared" si="42"/>
        <v>0</v>
      </c>
      <c r="CD75" s="50">
        <f t="shared" si="42"/>
        <v>0</v>
      </c>
      <c r="CE75" s="50">
        <f t="shared" si="42"/>
        <v>0</v>
      </c>
      <c r="CF75" s="50">
        <f t="shared" si="42"/>
        <v>0</v>
      </c>
      <c r="CG75" s="50">
        <f t="shared" si="42"/>
        <v>0</v>
      </c>
      <c r="CH75" s="50">
        <f t="shared" si="42"/>
        <v>0</v>
      </c>
      <c r="CI75" s="50">
        <f t="shared" si="42"/>
        <v>0</v>
      </c>
      <c r="CJ75" s="50">
        <f t="shared" si="42"/>
        <v>0</v>
      </c>
      <c r="CK75" s="50">
        <f t="shared" si="42"/>
        <v>0</v>
      </c>
      <c r="CL75" s="50">
        <f t="shared" si="42"/>
        <v>0</v>
      </c>
      <c r="CM75" s="50">
        <f t="shared" si="42"/>
        <v>0</v>
      </c>
      <c r="CN75" s="50">
        <f t="shared" si="42"/>
        <v>0</v>
      </c>
    </row>
    <row r="76" spans="1:92" x14ac:dyDescent="0.2">
      <c r="A76" s="10"/>
      <c r="B76" s="10"/>
      <c r="C76" s="10" t="s">
        <v>753</v>
      </c>
      <c r="D76" s="10"/>
      <c r="E76" s="10"/>
      <c r="F76" s="10"/>
      <c r="G76" s="10"/>
      <c r="H76" s="12">
        <f t="shared" si="30"/>
        <v>-5712.3600000000015</v>
      </c>
      <c r="I76" s="12">
        <f t="shared" ref="I76:AN76" si="43">-I69*$D$52</f>
        <v>0</v>
      </c>
      <c r="J76" s="12">
        <f t="shared" si="43"/>
        <v>0</v>
      </c>
      <c r="K76" s="12">
        <f t="shared" si="43"/>
        <v>0</v>
      </c>
      <c r="L76" s="12">
        <f t="shared" si="43"/>
        <v>0</v>
      </c>
      <c r="M76" s="12">
        <f t="shared" si="43"/>
        <v>0</v>
      </c>
      <c r="N76" s="12">
        <f t="shared" si="43"/>
        <v>0</v>
      </c>
      <c r="O76" s="12">
        <f t="shared" si="43"/>
        <v>0</v>
      </c>
      <c r="P76" s="12">
        <f t="shared" si="43"/>
        <v>0</v>
      </c>
      <c r="Q76" s="12">
        <f t="shared" si="43"/>
        <v>0</v>
      </c>
      <c r="R76" s="12">
        <f t="shared" si="43"/>
        <v>0</v>
      </c>
      <c r="S76" s="12">
        <f t="shared" si="43"/>
        <v>0</v>
      </c>
      <c r="T76" s="12">
        <f t="shared" si="43"/>
        <v>0</v>
      </c>
      <c r="U76" s="12">
        <f t="shared" si="43"/>
        <v>0</v>
      </c>
      <c r="V76" s="12">
        <f t="shared" si="43"/>
        <v>0</v>
      </c>
      <c r="W76" s="12">
        <f t="shared" si="43"/>
        <v>-380.82400000000001</v>
      </c>
      <c r="X76" s="12">
        <f t="shared" si="43"/>
        <v>-380.82400000000001</v>
      </c>
      <c r="Y76" s="12">
        <f t="shared" si="43"/>
        <v>-380.82400000000001</v>
      </c>
      <c r="Z76" s="12">
        <f t="shared" si="43"/>
        <v>-380.82400000000001</v>
      </c>
      <c r="AA76" s="12">
        <f t="shared" si="43"/>
        <v>-380.82400000000001</v>
      </c>
      <c r="AB76" s="12">
        <f t="shared" si="43"/>
        <v>-380.82400000000001</v>
      </c>
      <c r="AC76" s="12">
        <f t="shared" si="43"/>
        <v>-160.66012499999999</v>
      </c>
      <c r="AD76" s="12">
        <f t="shared" si="43"/>
        <v>-160.66012499999999</v>
      </c>
      <c r="AE76" s="12">
        <f t="shared" si="43"/>
        <v>-160.66012499999999</v>
      </c>
      <c r="AF76" s="12">
        <f t="shared" si="43"/>
        <v>-160.66012499999999</v>
      </c>
      <c r="AG76" s="12">
        <f t="shared" si="43"/>
        <v>-160.66012499999999</v>
      </c>
      <c r="AH76" s="12">
        <f t="shared" si="43"/>
        <v>-160.66012499999999</v>
      </c>
      <c r="AI76" s="12">
        <f t="shared" si="43"/>
        <v>-160.66012499999999</v>
      </c>
      <c r="AJ76" s="12">
        <f t="shared" si="43"/>
        <v>-160.66012499999999</v>
      </c>
      <c r="AK76" s="12">
        <f t="shared" si="43"/>
        <v>-160.66012499999999</v>
      </c>
      <c r="AL76" s="12">
        <f t="shared" si="43"/>
        <v>-160.66012499999999</v>
      </c>
      <c r="AM76" s="12">
        <f t="shared" si="43"/>
        <v>-160.66012499999999</v>
      </c>
      <c r="AN76" s="12">
        <f t="shared" si="43"/>
        <v>-160.66012499999999</v>
      </c>
      <c r="AO76" s="12">
        <f t="shared" ref="AO76:BT76" si="44">-AO69*$D$52</f>
        <v>-160.66012499999999</v>
      </c>
      <c r="AP76" s="12">
        <f t="shared" si="44"/>
        <v>-160.66012499999999</v>
      </c>
      <c r="AQ76" s="12">
        <f t="shared" si="44"/>
        <v>-160.66012499999999</v>
      </c>
      <c r="AR76" s="12">
        <f t="shared" si="44"/>
        <v>-160.66012499999999</v>
      </c>
      <c r="AS76" s="12">
        <f t="shared" si="44"/>
        <v>0</v>
      </c>
      <c r="AT76" s="12">
        <f t="shared" si="44"/>
        <v>-142.809</v>
      </c>
      <c r="AU76" s="12">
        <f t="shared" si="44"/>
        <v>-142.809</v>
      </c>
      <c r="AV76" s="12">
        <f t="shared" si="44"/>
        <v>-142.809</v>
      </c>
      <c r="AW76" s="12">
        <f t="shared" si="44"/>
        <v>-142.809</v>
      </c>
      <c r="AX76" s="12">
        <f t="shared" si="44"/>
        <v>-142.809</v>
      </c>
      <c r="AY76" s="12">
        <f t="shared" si="44"/>
        <v>-142.809</v>
      </c>
      <c r="AZ76" s="12">
        <f t="shared" si="44"/>
        <v>0</v>
      </c>
      <c r="BA76" s="12">
        <f t="shared" si="44"/>
        <v>0</v>
      </c>
      <c r="BB76" s="12">
        <f t="shared" si="44"/>
        <v>0</v>
      </c>
      <c r="BC76" s="12">
        <f t="shared" si="44"/>
        <v>0</v>
      </c>
      <c r="BD76" s="12">
        <f t="shared" si="44"/>
        <v>0</v>
      </c>
      <c r="BE76" s="12">
        <f t="shared" si="44"/>
        <v>0</v>
      </c>
      <c r="BF76" s="12">
        <f t="shared" si="44"/>
        <v>0</v>
      </c>
      <c r="BG76" s="12">
        <f t="shared" si="44"/>
        <v>0</v>
      </c>
      <c r="BH76" s="12">
        <f t="shared" si="44"/>
        <v>0</v>
      </c>
      <c r="BI76" s="12">
        <f t="shared" si="44"/>
        <v>0</v>
      </c>
      <c r="BJ76" s="12">
        <f t="shared" si="44"/>
        <v>0</v>
      </c>
      <c r="BK76" s="12">
        <f t="shared" si="44"/>
        <v>0</v>
      </c>
      <c r="BL76" s="12">
        <f t="shared" si="44"/>
        <v>0</v>
      </c>
      <c r="BM76" s="12">
        <f t="shared" si="44"/>
        <v>0</v>
      </c>
      <c r="BN76" s="12">
        <f t="shared" si="44"/>
        <v>0</v>
      </c>
      <c r="BO76" s="12">
        <f t="shared" si="44"/>
        <v>0</v>
      </c>
      <c r="BP76" s="12">
        <f t="shared" si="44"/>
        <v>0</v>
      </c>
      <c r="BQ76" s="12">
        <f t="shared" si="44"/>
        <v>0</v>
      </c>
      <c r="BR76" s="12">
        <f t="shared" si="44"/>
        <v>0</v>
      </c>
      <c r="BS76" s="12">
        <f t="shared" si="44"/>
        <v>0</v>
      </c>
      <c r="BT76" s="12">
        <f t="shared" si="44"/>
        <v>0</v>
      </c>
      <c r="BU76" s="12">
        <f t="shared" ref="BU76:CN76" si="45">-BU69*$D$52</f>
        <v>0</v>
      </c>
      <c r="BV76" s="12">
        <f t="shared" si="45"/>
        <v>0</v>
      </c>
      <c r="BW76" s="12">
        <f t="shared" si="45"/>
        <v>0</v>
      </c>
      <c r="BX76" s="12">
        <f t="shared" si="45"/>
        <v>0</v>
      </c>
      <c r="BY76" s="12">
        <f t="shared" si="45"/>
        <v>0</v>
      </c>
      <c r="BZ76" s="12">
        <f t="shared" si="45"/>
        <v>0</v>
      </c>
      <c r="CA76" s="12">
        <f t="shared" si="45"/>
        <v>0</v>
      </c>
      <c r="CB76" s="12">
        <f t="shared" si="45"/>
        <v>0</v>
      </c>
      <c r="CC76" s="12">
        <f t="shared" si="45"/>
        <v>0</v>
      </c>
      <c r="CD76" s="12">
        <f t="shared" si="45"/>
        <v>0</v>
      </c>
      <c r="CE76" s="12">
        <f t="shared" si="45"/>
        <v>0</v>
      </c>
      <c r="CF76" s="12">
        <f t="shared" si="45"/>
        <v>0</v>
      </c>
      <c r="CG76" s="12">
        <f t="shared" si="45"/>
        <v>0</v>
      </c>
      <c r="CH76" s="12">
        <f t="shared" si="45"/>
        <v>0</v>
      </c>
      <c r="CI76" s="12">
        <f t="shared" si="45"/>
        <v>0</v>
      </c>
      <c r="CJ76" s="12">
        <f t="shared" si="45"/>
        <v>0</v>
      </c>
      <c r="CK76" s="12">
        <f t="shared" si="45"/>
        <v>0</v>
      </c>
      <c r="CL76" s="12">
        <f t="shared" si="45"/>
        <v>0</v>
      </c>
      <c r="CM76" s="12">
        <f t="shared" si="45"/>
        <v>0</v>
      </c>
      <c r="CN76" s="12">
        <f t="shared" si="45"/>
        <v>0</v>
      </c>
    </row>
    <row r="77" spans="1:92" x14ac:dyDescent="0.2">
      <c r="A77" s="10"/>
      <c r="B77" s="10"/>
      <c r="C77" s="10" t="s">
        <v>797</v>
      </c>
      <c r="D77" s="10"/>
      <c r="E77" s="10"/>
      <c r="F77" s="10"/>
      <c r="G77" s="10"/>
      <c r="H77" s="12">
        <f t="shared" si="30"/>
        <v>-5483.8655999999992</v>
      </c>
      <c r="I77" s="12">
        <f t="shared" ref="I77:AN77" si="46">-(I75+I76)*$D$53</f>
        <v>0</v>
      </c>
      <c r="J77" s="12">
        <f t="shared" si="46"/>
        <v>0</v>
      </c>
      <c r="K77" s="12">
        <f t="shared" si="46"/>
        <v>0</v>
      </c>
      <c r="L77" s="12">
        <f t="shared" si="46"/>
        <v>0</v>
      </c>
      <c r="M77" s="12">
        <f t="shared" si="46"/>
        <v>0</v>
      </c>
      <c r="N77" s="12">
        <f t="shared" si="46"/>
        <v>0</v>
      </c>
      <c r="O77" s="12">
        <f t="shared" si="46"/>
        <v>0</v>
      </c>
      <c r="P77" s="12">
        <f t="shared" si="46"/>
        <v>0</v>
      </c>
      <c r="Q77" s="12">
        <f t="shared" si="46"/>
        <v>0</v>
      </c>
      <c r="R77" s="12">
        <f t="shared" si="46"/>
        <v>0</v>
      </c>
      <c r="S77" s="12">
        <f t="shared" si="46"/>
        <v>0</v>
      </c>
      <c r="T77" s="12">
        <f t="shared" si="46"/>
        <v>0</v>
      </c>
      <c r="U77" s="12">
        <f t="shared" si="46"/>
        <v>0</v>
      </c>
      <c r="V77" s="12">
        <f t="shared" si="46"/>
        <v>0</v>
      </c>
      <c r="W77" s="12">
        <f t="shared" si="46"/>
        <v>-107.6693309090909</v>
      </c>
      <c r="X77" s="12">
        <f t="shared" si="46"/>
        <v>-116.736569004329</v>
      </c>
      <c r="Y77" s="12">
        <f t="shared" si="46"/>
        <v>-126.25716900432899</v>
      </c>
      <c r="Z77" s="12">
        <f t="shared" si="46"/>
        <v>-136.27885321485533</v>
      </c>
      <c r="AA77" s="12">
        <f t="shared" si="46"/>
        <v>-146.85729765929975</v>
      </c>
      <c r="AB77" s="12">
        <f t="shared" si="46"/>
        <v>-158.05800354165268</v>
      </c>
      <c r="AC77" s="12">
        <f t="shared" si="46"/>
        <v>-105.8360249479027</v>
      </c>
      <c r="AD77" s="12">
        <f t="shared" si="46"/>
        <v>-111.1913624479027</v>
      </c>
      <c r="AE77" s="12">
        <f t="shared" si="46"/>
        <v>-116.92922405504555</v>
      </c>
      <c r="AF77" s="12">
        <f t="shared" si="46"/>
        <v>-123.10845963196864</v>
      </c>
      <c r="AG77" s="12">
        <f t="shared" si="46"/>
        <v>-129.80263150696862</v>
      </c>
      <c r="AH77" s="12">
        <f t="shared" si="46"/>
        <v>-137.10536446151409</v>
      </c>
      <c r="AI77" s="12">
        <f t="shared" si="46"/>
        <v>-145.13837071151409</v>
      </c>
      <c r="AJ77" s="12">
        <f t="shared" si="46"/>
        <v>-154.0639332115141</v>
      </c>
      <c r="AK77" s="12">
        <f t="shared" si="46"/>
        <v>-164.10519102401406</v>
      </c>
      <c r="AL77" s="12">
        <f t="shared" si="46"/>
        <v>-175.58091423829981</v>
      </c>
      <c r="AM77" s="12">
        <f t="shared" si="46"/>
        <v>-188.9692579882998</v>
      </c>
      <c r="AN77" s="12">
        <f t="shared" si="46"/>
        <v>-205.0352704882998</v>
      </c>
      <c r="AO77" s="12">
        <f t="shared" ref="AO77:BT77" si="47">-(AO75+AO76)*$D$53</f>
        <v>-225.11778611329981</v>
      </c>
      <c r="AP77" s="12">
        <f t="shared" si="47"/>
        <v>-251.89447361329982</v>
      </c>
      <c r="AQ77" s="12">
        <f t="shared" si="47"/>
        <v>-292.05950486329982</v>
      </c>
      <c r="AR77" s="12">
        <f t="shared" si="47"/>
        <v>-372.38956736329982</v>
      </c>
      <c r="AS77" s="12">
        <f t="shared" si="47"/>
        <v>-971.1012000000004</v>
      </c>
      <c r="AT77" s="12">
        <f t="shared" si="47"/>
        <v>-137.09663999999998</v>
      </c>
      <c r="AU77" s="12">
        <f t="shared" si="47"/>
        <v>-137.09663999999998</v>
      </c>
      <c r="AV77" s="12">
        <f t="shared" si="47"/>
        <v>-137.09663999999998</v>
      </c>
      <c r="AW77" s="12">
        <f t="shared" si="47"/>
        <v>-137.09663999999998</v>
      </c>
      <c r="AX77" s="12">
        <f t="shared" si="47"/>
        <v>-137.09663999999998</v>
      </c>
      <c r="AY77" s="12">
        <f t="shared" si="47"/>
        <v>-137.09663999999998</v>
      </c>
      <c r="AZ77" s="12">
        <f t="shared" si="47"/>
        <v>0</v>
      </c>
      <c r="BA77" s="12">
        <f t="shared" si="47"/>
        <v>0</v>
      </c>
      <c r="BB77" s="12">
        <f t="shared" si="47"/>
        <v>0</v>
      </c>
      <c r="BC77" s="12">
        <f t="shared" si="47"/>
        <v>0</v>
      </c>
      <c r="BD77" s="12">
        <f t="shared" si="47"/>
        <v>0</v>
      </c>
      <c r="BE77" s="12">
        <f t="shared" si="47"/>
        <v>0</v>
      </c>
      <c r="BF77" s="12">
        <f t="shared" si="47"/>
        <v>0</v>
      </c>
      <c r="BG77" s="12">
        <f t="shared" si="47"/>
        <v>0</v>
      </c>
      <c r="BH77" s="12">
        <f t="shared" si="47"/>
        <v>0</v>
      </c>
      <c r="BI77" s="12">
        <f t="shared" si="47"/>
        <v>0</v>
      </c>
      <c r="BJ77" s="12">
        <f t="shared" si="47"/>
        <v>0</v>
      </c>
      <c r="BK77" s="12">
        <f t="shared" si="47"/>
        <v>0</v>
      </c>
      <c r="BL77" s="12">
        <f t="shared" si="47"/>
        <v>0</v>
      </c>
      <c r="BM77" s="12">
        <f t="shared" si="47"/>
        <v>0</v>
      </c>
      <c r="BN77" s="12">
        <f t="shared" si="47"/>
        <v>0</v>
      </c>
      <c r="BO77" s="12">
        <f t="shared" si="47"/>
        <v>0</v>
      </c>
      <c r="BP77" s="12">
        <f t="shared" si="47"/>
        <v>0</v>
      </c>
      <c r="BQ77" s="12">
        <f t="shared" si="47"/>
        <v>0</v>
      </c>
      <c r="BR77" s="12">
        <f t="shared" si="47"/>
        <v>0</v>
      </c>
      <c r="BS77" s="12">
        <f t="shared" si="47"/>
        <v>0</v>
      </c>
      <c r="BT77" s="12">
        <f t="shared" si="47"/>
        <v>0</v>
      </c>
      <c r="BU77" s="12">
        <f t="shared" ref="BU77:CN77" si="48">-(BU75+BU76)*$D$53</f>
        <v>0</v>
      </c>
      <c r="BV77" s="12">
        <f t="shared" si="48"/>
        <v>0</v>
      </c>
      <c r="BW77" s="12">
        <f t="shared" si="48"/>
        <v>0</v>
      </c>
      <c r="BX77" s="12">
        <f t="shared" si="48"/>
        <v>0</v>
      </c>
      <c r="BY77" s="12">
        <f t="shared" si="48"/>
        <v>0</v>
      </c>
      <c r="BZ77" s="12">
        <f t="shared" si="48"/>
        <v>0</v>
      </c>
      <c r="CA77" s="12">
        <f t="shared" si="48"/>
        <v>0</v>
      </c>
      <c r="CB77" s="12">
        <f t="shared" si="48"/>
        <v>0</v>
      </c>
      <c r="CC77" s="12">
        <f t="shared" si="48"/>
        <v>0</v>
      </c>
      <c r="CD77" s="12">
        <f t="shared" si="48"/>
        <v>0</v>
      </c>
      <c r="CE77" s="12">
        <f t="shared" si="48"/>
        <v>0</v>
      </c>
      <c r="CF77" s="12">
        <f t="shared" si="48"/>
        <v>0</v>
      </c>
      <c r="CG77" s="12">
        <f t="shared" si="48"/>
        <v>0</v>
      </c>
      <c r="CH77" s="12">
        <f t="shared" si="48"/>
        <v>0</v>
      </c>
      <c r="CI77" s="12">
        <f t="shared" si="48"/>
        <v>0</v>
      </c>
      <c r="CJ77" s="12">
        <f t="shared" si="48"/>
        <v>0</v>
      </c>
      <c r="CK77" s="12">
        <f t="shared" si="48"/>
        <v>0</v>
      </c>
      <c r="CL77" s="12">
        <f t="shared" si="48"/>
        <v>0</v>
      </c>
      <c r="CM77" s="12">
        <f t="shared" si="48"/>
        <v>0</v>
      </c>
      <c r="CN77" s="12">
        <f t="shared" si="48"/>
        <v>0</v>
      </c>
    </row>
    <row r="78" spans="1:92" x14ac:dyDescent="0.2">
      <c r="A78" s="10"/>
      <c r="B78" s="10"/>
      <c r="C78" s="10" t="s">
        <v>754</v>
      </c>
      <c r="D78" s="10"/>
      <c r="E78" s="10"/>
      <c r="F78" s="10"/>
      <c r="G78" s="10"/>
      <c r="H78" s="12">
        <f t="shared" si="30"/>
        <v>-5712.3600000000015</v>
      </c>
      <c r="I78" s="12">
        <f t="shared" ref="I78:AN78" si="49">-I75*$D$54</f>
        <v>0</v>
      </c>
      <c r="J78" s="12">
        <f t="shared" si="49"/>
        <v>0</v>
      </c>
      <c r="K78" s="12">
        <f t="shared" si="49"/>
        <v>0</v>
      </c>
      <c r="L78" s="12">
        <f t="shared" si="49"/>
        <v>0</v>
      </c>
      <c r="M78" s="12">
        <f t="shared" si="49"/>
        <v>0</v>
      </c>
      <c r="N78" s="12">
        <f t="shared" si="49"/>
        <v>0</v>
      </c>
      <c r="O78" s="12">
        <f t="shared" si="49"/>
        <v>0</v>
      </c>
      <c r="P78" s="12">
        <f t="shared" si="49"/>
        <v>0</v>
      </c>
      <c r="Q78" s="12">
        <f t="shared" si="49"/>
        <v>0</v>
      </c>
      <c r="R78" s="12">
        <f t="shared" si="49"/>
        <v>0</v>
      </c>
      <c r="S78" s="12">
        <f t="shared" si="49"/>
        <v>0</v>
      </c>
      <c r="T78" s="12">
        <f t="shared" si="49"/>
        <v>0</v>
      </c>
      <c r="U78" s="12">
        <f t="shared" si="49"/>
        <v>0</v>
      </c>
      <c r="V78" s="12">
        <f t="shared" si="49"/>
        <v>0</v>
      </c>
      <c r="W78" s="12">
        <f t="shared" si="49"/>
        <v>-122.90229090909089</v>
      </c>
      <c r="X78" s="12">
        <f t="shared" si="49"/>
        <v>-131.96952900432899</v>
      </c>
      <c r="Y78" s="12">
        <f t="shared" si="49"/>
        <v>-141.49012900432899</v>
      </c>
      <c r="Z78" s="12">
        <f t="shared" si="49"/>
        <v>-151.51181321485532</v>
      </c>
      <c r="AA78" s="12">
        <f t="shared" si="49"/>
        <v>-162.09025765929977</v>
      </c>
      <c r="AB78" s="12">
        <f t="shared" si="49"/>
        <v>-173.29096354165267</v>
      </c>
      <c r="AC78" s="12">
        <f t="shared" si="49"/>
        <v>-112.26242994790269</v>
      </c>
      <c r="AD78" s="12">
        <f t="shared" si="49"/>
        <v>-117.61776744790269</v>
      </c>
      <c r="AE78" s="12">
        <f t="shared" si="49"/>
        <v>-123.35562905504554</v>
      </c>
      <c r="AF78" s="12">
        <f t="shared" si="49"/>
        <v>-129.53486463196865</v>
      </c>
      <c r="AG78" s="12">
        <f t="shared" si="49"/>
        <v>-136.22903650696861</v>
      </c>
      <c r="AH78" s="12">
        <f t="shared" si="49"/>
        <v>-143.5317694615141</v>
      </c>
      <c r="AI78" s="12">
        <f t="shared" si="49"/>
        <v>-151.5647757115141</v>
      </c>
      <c r="AJ78" s="12">
        <f t="shared" si="49"/>
        <v>-160.49033821151409</v>
      </c>
      <c r="AK78" s="12">
        <f t="shared" si="49"/>
        <v>-170.53159602401408</v>
      </c>
      <c r="AL78" s="12">
        <f t="shared" si="49"/>
        <v>-182.00731923829983</v>
      </c>
      <c r="AM78" s="12">
        <f t="shared" si="49"/>
        <v>-195.39566298829982</v>
      </c>
      <c r="AN78" s="12">
        <f t="shared" si="49"/>
        <v>-211.46167548829982</v>
      </c>
      <c r="AO78" s="12">
        <f t="shared" ref="AO78:BT78" si="50">-AO75*$D$54</f>
        <v>-231.54419111329983</v>
      </c>
      <c r="AP78" s="12">
        <f t="shared" si="50"/>
        <v>-258.32087861329984</v>
      </c>
      <c r="AQ78" s="12">
        <f t="shared" si="50"/>
        <v>-298.48590986329981</v>
      </c>
      <c r="AR78" s="12">
        <f t="shared" si="50"/>
        <v>-378.81597236329981</v>
      </c>
      <c r="AS78" s="12">
        <f t="shared" si="50"/>
        <v>-971.1012000000004</v>
      </c>
      <c r="AT78" s="12">
        <f t="shared" si="50"/>
        <v>-142.80899999999997</v>
      </c>
      <c r="AU78" s="12">
        <f t="shared" si="50"/>
        <v>-142.80899999999997</v>
      </c>
      <c r="AV78" s="12">
        <f t="shared" si="50"/>
        <v>-142.80899999999997</v>
      </c>
      <c r="AW78" s="12">
        <f t="shared" si="50"/>
        <v>-142.80899999999997</v>
      </c>
      <c r="AX78" s="12">
        <f t="shared" si="50"/>
        <v>-142.80899999999997</v>
      </c>
      <c r="AY78" s="12">
        <f t="shared" si="50"/>
        <v>-142.80899999999997</v>
      </c>
      <c r="AZ78" s="12">
        <f t="shared" si="50"/>
        <v>0</v>
      </c>
      <c r="BA78" s="12">
        <f t="shared" si="50"/>
        <v>0</v>
      </c>
      <c r="BB78" s="12">
        <f t="shared" si="50"/>
        <v>0</v>
      </c>
      <c r="BC78" s="12">
        <f t="shared" si="50"/>
        <v>0</v>
      </c>
      <c r="BD78" s="12">
        <f t="shared" si="50"/>
        <v>0</v>
      </c>
      <c r="BE78" s="12">
        <f t="shared" si="50"/>
        <v>0</v>
      </c>
      <c r="BF78" s="12">
        <f t="shared" si="50"/>
        <v>0</v>
      </c>
      <c r="BG78" s="12">
        <f t="shared" si="50"/>
        <v>0</v>
      </c>
      <c r="BH78" s="12">
        <f t="shared" si="50"/>
        <v>0</v>
      </c>
      <c r="BI78" s="12">
        <f t="shared" si="50"/>
        <v>0</v>
      </c>
      <c r="BJ78" s="12">
        <f t="shared" si="50"/>
        <v>0</v>
      </c>
      <c r="BK78" s="12">
        <f t="shared" si="50"/>
        <v>0</v>
      </c>
      <c r="BL78" s="12">
        <f t="shared" si="50"/>
        <v>0</v>
      </c>
      <c r="BM78" s="12">
        <f t="shared" si="50"/>
        <v>0</v>
      </c>
      <c r="BN78" s="12">
        <f t="shared" si="50"/>
        <v>0</v>
      </c>
      <c r="BO78" s="12">
        <f t="shared" si="50"/>
        <v>0</v>
      </c>
      <c r="BP78" s="12">
        <f t="shared" si="50"/>
        <v>0</v>
      </c>
      <c r="BQ78" s="12">
        <f t="shared" si="50"/>
        <v>0</v>
      </c>
      <c r="BR78" s="12">
        <f t="shared" si="50"/>
        <v>0</v>
      </c>
      <c r="BS78" s="12">
        <f t="shared" si="50"/>
        <v>0</v>
      </c>
      <c r="BT78" s="12">
        <f t="shared" si="50"/>
        <v>0</v>
      </c>
      <c r="BU78" s="12">
        <f t="shared" ref="BU78:CN78" si="51">-BU75*$D$54</f>
        <v>0</v>
      </c>
      <c r="BV78" s="12">
        <f t="shared" si="51"/>
        <v>0</v>
      </c>
      <c r="BW78" s="12">
        <f t="shared" si="51"/>
        <v>0</v>
      </c>
      <c r="BX78" s="12">
        <f t="shared" si="51"/>
        <v>0</v>
      </c>
      <c r="BY78" s="12">
        <f t="shared" si="51"/>
        <v>0</v>
      </c>
      <c r="BZ78" s="12">
        <f t="shared" si="51"/>
        <v>0</v>
      </c>
      <c r="CA78" s="12">
        <f t="shared" si="51"/>
        <v>0</v>
      </c>
      <c r="CB78" s="12">
        <f t="shared" si="51"/>
        <v>0</v>
      </c>
      <c r="CC78" s="12">
        <f t="shared" si="51"/>
        <v>0</v>
      </c>
      <c r="CD78" s="12">
        <f t="shared" si="51"/>
        <v>0</v>
      </c>
      <c r="CE78" s="12">
        <f t="shared" si="51"/>
        <v>0</v>
      </c>
      <c r="CF78" s="12">
        <f t="shared" si="51"/>
        <v>0</v>
      </c>
      <c r="CG78" s="12">
        <f t="shared" si="51"/>
        <v>0</v>
      </c>
      <c r="CH78" s="12">
        <f t="shared" si="51"/>
        <v>0</v>
      </c>
      <c r="CI78" s="12">
        <f t="shared" si="51"/>
        <v>0</v>
      </c>
      <c r="CJ78" s="12">
        <f t="shared" si="51"/>
        <v>0</v>
      </c>
      <c r="CK78" s="12">
        <f t="shared" si="51"/>
        <v>0</v>
      </c>
      <c r="CL78" s="12">
        <f t="shared" si="51"/>
        <v>0</v>
      </c>
      <c r="CM78" s="12">
        <f t="shared" si="51"/>
        <v>0</v>
      </c>
      <c r="CN78" s="12">
        <f t="shared" si="51"/>
        <v>0</v>
      </c>
    </row>
    <row r="79" spans="1:92" x14ac:dyDescent="0.2">
      <c r="A79" s="10"/>
      <c r="B79" s="10"/>
      <c r="C79" s="10" t="s">
        <v>755</v>
      </c>
      <c r="D79" s="10"/>
      <c r="E79" s="10"/>
      <c r="F79" s="10"/>
      <c r="G79" s="10"/>
      <c r="H79" s="12">
        <f t="shared" si="30"/>
        <v>0</v>
      </c>
      <c r="I79" s="12">
        <f t="shared" ref="I79:AN79" si="52">-I74*$D$55</f>
        <v>0</v>
      </c>
      <c r="J79" s="12">
        <f t="shared" si="52"/>
        <v>0</v>
      </c>
      <c r="K79" s="12">
        <f t="shared" si="52"/>
        <v>0</v>
      </c>
      <c r="L79" s="12">
        <f t="shared" si="52"/>
        <v>0</v>
      </c>
      <c r="M79" s="12">
        <f t="shared" si="52"/>
        <v>0</v>
      </c>
      <c r="N79" s="12">
        <f t="shared" si="52"/>
        <v>0</v>
      </c>
      <c r="O79" s="12">
        <f t="shared" si="52"/>
        <v>0</v>
      </c>
      <c r="P79" s="12">
        <f t="shared" si="52"/>
        <v>0</v>
      </c>
      <c r="Q79" s="12">
        <f t="shared" si="52"/>
        <v>0</v>
      </c>
      <c r="R79" s="12">
        <f t="shared" si="52"/>
        <v>0</v>
      </c>
      <c r="S79" s="12">
        <f t="shared" si="52"/>
        <v>0</v>
      </c>
      <c r="T79" s="12">
        <f t="shared" si="52"/>
        <v>0</v>
      </c>
      <c r="U79" s="12">
        <f t="shared" si="52"/>
        <v>0</v>
      </c>
      <c r="V79" s="12">
        <f t="shared" si="52"/>
        <v>0</v>
      </c>
      <c r="W79" s="12">
        <f t="shared" si="52"/>
        <v>0</v>
      </c>
      <c r="X79" s="12">
        <f t="shared" si="52"/>
        <v>0</v>
      </c>
      <c r="Y79" s="12">
        <f t="shared" si="52"/>
        <v>0</v>
      </c>
      <c r="Z79" s="12">
        <f t="shared" si="52"/>
        <v>0</v>
      </c>
      <c r="AA79" s="12">
        <f t="shared" si="52"/>
        <v>0</v>
      </c>
      <c r="AB79" s="12">
        <f t="shared" si="52"/>
        <v>0</v>
      </c>
      <c r="AC79" s="12">
        <f t="shared" si="52"/>
        <v>0</v>
      </c>
      <c r="AD79" s="12">
        <f t="shared" si="52"/>
        <v>0</v>
      </c>
      <c r="AE79" s="12">
        <f t="shared" si="52"/>
        <v>0</v>
      </c>
      <c r="AF79" s="12">
        <f t="shared" si="52"/>
        <v>0</v>
      </c>
      <c r="AG79" s="12">
        <f t="shared" si="52"/>
        <v>0</v>
      </c>
      <c r="AH79" s="12">
        <f t="shared" si="52"/>
        <v>0</v>
      </c>
      <c r="AI79" s="12">
        <f t="shared" si="52"/>
        <v>0</v>
      </c>
      <c r="AJ79" s="12">
        <f t="shared" si="52"/>
        <v>0</v>
      </c>
      <c r="AK79" s="12">
        <f t="shared" si="52"/>
        <v>0</v>
      </c>
      <c r="AL79" s="12">
        <f t="shared" si="52"/>
        <v>0</v>
      </c>
      <c r="AM79" s="12">
        <f t="shared" si="52"/>
        <v>0</v>
      </c>
      <c r="AN79" s="12">
        <f t="shared" si="52"/>
        <v>0</v>
      </c>
      <c r="AO79" s="12">
        <f t="shared" ref="AO79:BT79" si="53">-AO74*$D$55</f>
        <v>0</v>
      </c>
      <c r="AP79" s="12">
        <f t="shared" si="53"/>
        <v>0</v>
      </c>
      <c r="AQ79" s="12">
        <f t="shared" si="53"/>
        <v>0</v>
      </c>
      <c r="AR79" s="12">
        <f t="shared" si="53"/>
        <v>0</v>
      </c>
      <c r="AS79" s="12">
        <f t="shared" si="53"/>
        <v>0</v>
      </c>
      <c r="AT79" s="12">
        <f t="shared" si="53"/>
        <v>0</v>
      </c>
      <c r="AU79" s="12">
        <f t="shared" si="53"/>
        <v>0</v>
      </c>
      <c r="AV79" s="12">
        <f t="shared" si="53"/>
        <v>0</v>
      </c>
      <c r="AW79" s="12">
        <f t="shared" si="53"/>
        <v>0</v>
      </c>
      <c r="AX79" s="12">
        <f t="shared" si="53"/>
        <v>0</v>
      </c>
      <c r="AY79" s="12">
        <f t="shared" si="53"/>
        <v>0</v>
      </c>
      <c r="AZ79" s="12">
        <f t="shared" si="53"/>
        <v>0</v>
      </c>
      <c r="BA79" s="12">
        <f t="shared" si="53"/>
        <v>0</v>
      </c>
      <c r="BB79" s="12">
        <f t="shared" si="53"/>
        <v>0</v>
      </c>
      <c r="BC79" s="12">
        <f t="shared" si="53"/>
        <v>0</v>
      </c>
      <c r="BD79" s="12">
        <f t="shared" si="53"/>
        <v>0</v>
      </c>
      <c r="BE79" s="12">
        <f t="shared" si="53"/>
        <v>0</v>
      </c>
      <c r="BF79" s="12">
        <f t="shared" si="53"/>
        <v>0</v>
      </c>
      <c r="BG79" s="12">
        <f t="shared" si="53"/>
        <v>0</v>
      </c>
      <c r="BH79" s="12">
        <f t="shared" si="53"/>
        <v>0</v>
      </c>
      <c r="BI79" s="12">
        <f t="shared" si="53"/>
        <v>0</v>
      </c>
      <c r="BJ79" s="12">
        <f t="shared" si="53"/>
        <v>0</v>
      </c>
      <c r="BK79" s="12">
        <f t="shared" si="53"/>
        <v>0</v>
      </c>
      <c r="BL79" s="12">
        <f t="shared" si="53"/>
        <v>0</v>
      </c>
      <c r="BM79" s="12">
        <f t="shared" si="53"/>
        <v>0</v>
      </c>
      <c r="BN79" s="12">
        <f t="shared" si="53"/>
        <v>0</v>
      </c>
      <c r="BO79" s="12">
        <f t="shared" si="53"/>
        <v>0</v>
      </c>
      <c r="BP79" s="12">
        <f t="shared" si="53"/>
        <v>0</v>
      </c>
      <c r="BQ79" s="12">
        <f t="shared" si="53"/>
        <v>0</v>
      </c>
      <c r="BR79" s="12">
        <f t="shared" si="53"/>
        <v>0</v>
      </c>
      <c r="BS79" s="12">
        <f t="shared" si="53"/>
        <v>0</v>
      </c>
      <c r="BT79" s="12">
        <f t="shared" si="53"/>
        <v>0</v>
      </c>
      <c r="BU79" s="12">
        <f t="shared" ref="BU79:CN79" si="54">-BU74*$D$55</f>
        <v>0</v>
      </c>
      <c r="BV79" s="12">
        <f t="shared" si="54"/>
        <v>0</v>
      </c>
      <c r="BW79" s="12">
        <f t="shared" si="54"/>
        <v>0</v>
      </c>
      <c r="BX79" s="12">
        <f t="shared" si="54"/>
        <v>0</v>
      </c>
      <c r="BY79" s="12">
        <f t="shared" si="54"/>
        <v>0</v>
      </c>
      <c r="BZ79" s="12">
        <f t="shared" si="54"/>
        <v>0</v>
      </c>
      <c r="CA79" s="12">
        <f t="shared" si="54"/>
        <v>0</v>
      </c>
      <c r="CB79" s="12">
        <f t="shared" si="54"/>
        <v>0</v>
      </c>
      <c r="CC79" s="12">
        <f t="shared" si="54"/>
        <v>0</v>
      </c>
      <c r="CD79" s="12">
        <f t="shared" si="54"/>
        <v>0</v>
      </c>
      <c r="CE79" s="12">
        <f t="shared" si="54"/>
        <v>0</v>
      </c>
      <c r="CF79" s="12">
        <f t="shared" si="54"/>
        <v>0</v>
      </c>
      <c r="CG79" s="12">
        <f t="shared" si="54"/>
        <v>0</v>
      </c>
      <c r="CH79" s="12">
        <f t="shared" si="54"/>
        <v>0</v>
      </c>
      <c r="CI79" s="12">
        <f t="shared" si="54"/>
        <v>0</v>
      </c>
      <c r="CJ79" s="12">
        <f t="shared" si="54"/>
        <v>0</v>
      </c>
      <c r="CK79" s="12">
        <f t="shared" si="54"/>
        <v>0</v>
      </c>
      <c r="CL79" s="12">
        <f t="shared" si="54"/>
        <v>0</v>
      </c>
      <c r="CM79" s="12">
        <f t="shared" si="54"/>
        <v>0</v>
      </c>
      <c r="CN79" s="12">
        <f t="shared" si="54"/>
        <v>0</v>
      </c>
    </row>
    <row r="80" spans="1:92" x14ac:dyDescent="0.2">
      <c r="A80" s="10"/>
      <c r="B80" s="49" t="s">
        <v>7</v>
      </c>
      <c r="C80" s="49"/>
      <c r="D80" s="49"/>
      <c r="E80" s="49"/>
      <c r="F80" s="49"/>
      <c r="G80" s="49"/>
      <c r="H80" s="50">
        <f t="shared" si="30"/>
        <v>125900.41439999999</v>
      </c>
      <c r="I80" s="50">
        <f t="shared" ref="I80:AN80" si="55">I75+SUM(I76:I79)</f>
        <v>0</v>
      </c>
      <c r="J80" s="50">
        <f t="shared" si="55"/>
        <v>0</v>
      </c>
      <c r="K80" s="50">
        <f t="shared" si="55"/>
        <v>0</v>
      </c>
      <c r="L80" s="50">
        <f t="shared" si="55"/>
        <v>0</v>
      </c>
      <c r="M80" s="50">
        <f t="shared" si="55"/>
        <v>0</v>
      </c>
      <c r="N80" s="50">
        <f t="shared" si="55"/>
        <v>0</v>
      </c>
      <c r="O80" s="50">
        <f t="shared" si="55"/>
        <v>0</v>
      </c>
      <c r="P80" s="50">
        <f t="shared" si="55"/>
        <v>0</v>
      </c>
      <c r="Q80" s="50">
        <f t="shared" si="55"/>
        <v>0</v>
      </c>
      <c r="R80" s="50">
        <f t="shared" si="55"/>
        <v>0</v>
      </c>
      <c r="S80" s="50">
        <f t="shared" si="55"/>
        <v>0</v>
      </c>
      <c r="T80" s="50">
        <f t="shared" si="55"/>
        <v>0</v>
      </c>
      <c r="U80" s="50">
        <f t="shared" si="55"/>
        <v>0</v>
      </c>
      <c r="V80" s="50">
        <f t="shared" si="55"/>
        <v>0</v>
      </c>
      <c r="W80" s="50">
        <f t="shared" si="55"/>
        <v>2461.1616509090909</v>
      </c>
      <c r="X80" s="50">
        <f t="shared" si="55"/>
        <v>2669.7081270995668</v>
      </c>
      <c r="Y80" s="50">
        <f t="shared" si="55"/>
        <v>2888.6819270995666</v>
      </c>
      <c r="Z80" s="50">
        <f t="shared" si="55"/>
        <v>3119.1806639416723</v>
      </c>
      <c r="AA80" s="50">
        <f t="shared" si="55"/>
        <v>3362.4848861638943</v>
      </c>
      <c r="AB80" s="50">
        <f t="shared" si="55"/>
        <v>3620.1011214580112</v>
      </c>
      <c r="AC80" s="50">
        <f t="shared" si="55"/>
        <v>2427.802168801762</v>
      </c>
      <c r="AD80" s="50">
        <f t="shared" si="55"/>
        <v>2550.9749313017619</v>
      </c>
      <c r="AE80" s="50">
        <f t="shared" si="55"/>
        <v>2682.9457482660473</v>
      </c>
      <c r="AF80" s="50">
        <f t="shared" si="55"/>
        <v>2825.0681665352786</v>
      </c>
      <c r="AG80" s="50">
        <f t="shared" si="55"/>
        <v>2979.0341196602785</v>
      </c>
      <c r="AH80" s="50">
        <f t="shared" si="55"/>
        <v>3146.9969776148241</v>
      </c>
      <c r="AI80" s="50">
        <f t="shared" si="55"/>
        <v>3331.7561213648241</v>
      </c>
      <c r="AJ80" s="50">
        <f t="shared" si="55"/>
        <v>3537.0440588648239</v>
      </c>
      <c r="AK80" s="50">
        <f t="shared" si="55"/>
        <v>3767.9929885523234</v>
      </c>
      <c r="AL80" s="50">
        <f t="shared" si="55"/>
        <v>4031.934622480896</v>
      </c>
      <c r="AM80" s="50">
        <f t="shared" si="55"/>
        <v>4339.8665287308959</v>
      </c>
      <c r="AN80" s="50">
        <f t="shared" si="55"/>
        <v>4709.384816230895</v>
      </c>
      <c r="AO80" s="50">
        <f t="shared" ref="AO80:BT80" si="56">AO75+SUM(AO76:AO79)</f>
        <v>5171.2826756058957</v>
      </c>
      <c r="AP80" s="50">
        <f t="shared" si="56"/>
        <v>5787.1464881058964</v>
      </c>
      <c r="AQ80" s="50">
        <f t="shared" si="56"/>
        <v>6710.9422068558961</v>
      </c>
      <c r="AR80" s="50">
        <f t="shared" si="56"/>
        <v>8558.5336443558954</v>
      </c>
      <c r="AS80" s="50">
        <f t="shared" si="56"/>
        <v>22335.327600000008</v>
      </c>
      <c r="AT80" s="50">
        <f t="shared" si="56"/>
        <v>3147.5103599999993</v>
      </c>
      <c r="AU80" s="50">
        <f t="shared" si="56"/>
        <v>3147.5103599999993</v>
      </c>
      <c r="AV80" s="50">
        <f t="shared" si="56"/>
        <v>3147.5103599999993</v>
      </c>
      <c r="AW80" s="50">
        <f t="shared" si="56"/>
        <v>3147.5103599999993</v>
      </c>
      <c r="AX80" s="50">
        <f t="shared" si="56"/>
        <v>3147.5103599999993</v>
      </c>
      <c r="AY80" s="50">
        <f t="shared" si="56"/>
        <v>3147.5103599999993</v>
      </c>
      <c r="AZ80" s="50">
        <f t="shared" si="56"/>
        <v>0</v>
      </c>
      <c r="BA80" s="50">
        <f t="shared" si="56"/>
        <v>0</v>
      </c>
      <c r="BB80" s="50">
        <f t="shared" si="56"/>
        <v>0</v>
      </c>
      <c r="BC80" s="50">
        <f t="shared" si="56"/>
        <v>0</v>
      </c>
      <c r="BD80" s="50">
        <f t="shared" si="56"/>
        <v>0</v>
      </c>
      <c r="BE80" s="50">
        <f t="shared" si="56"/>
        <v>0</v>
      </c>
      <c r="BF80" s="50">
        <f t="shared" si="56"/>
        <v>0</v>
      </c>
      <c r="BG80" s="50">
        <f t="shared" si="56"/>
        <v>0</v>
      </c>
      <c r="BH80" s="50">
        <f t="shared" si="56"/>
        <v>0</v>
      </c>
      <c r="BI80" s="50">
        <f t="shared" si="56"/>
        <v>0</v>
      </c>
      <c r="BJ80" s="50">
        <f t="shared" si="56"/>
        <v>0</v>
      </c>
      <c r="BK80" s="50">
        <f t="shared" si="56"/>
        <v>0</v>
      </c>
      <c r="BL80" s="50">
        <f t="shared" si="56"/>
        <v>0</v>
      </c>
      <c r="BM80" s="50">
        <f t="shared" si="56"/>
        <v>0</v>
      </c>
      <c r="BN80" s="50">
        <f t="shared" si="56"/>
        <v>0</v>
      </c>
      <c r="BO80" s="50">
        <f t="shared" si="56"/>
        <v>0</v>
      </c>
      <c r="BP80" s="50">
        <f t="shared" si="56"/>
        <v>0</v>
      </c>
      <c r="BQ80" s="50">
        <f t="shared" si="56"/>
        <v>0</v>
      </c>
      <c r="BR80" s="50">
        <f t="shared" si="56"/>
        <v>0</v>
      </c>
      <c r="BS80" s="50">
        <f t="shared" si="56"/>
        <v>0</v>
      </c>
      <c r="BT80" s="50">
        <f t="shared" si="56"/>
        <v>0</v>
      </c>
      <c r="BU80" s="50">
        <f t="shared" ref="BU80:CN80" si="57">BU75+SUM(BU76:BU79)</f>
        <v>0</v>
      </c>
      <c r="BV80" s="50">
        <f t="shared" si="57"/>
        <v>0</v>
      </c>
      <c r="BW80" s="50">
        <f t="shared" si="57"/>
        <v>0</v>
      </c>
      <c r="BX80" s="50">
        <f t="shared" si="57"/>
        <v>0</v>
      </c>
      <c r="BY80" s="50">
        <f t="shared" si="57"/>
        <v>0</v>
      </c>
      <c r="BZ80" s="50">
        <f t="shared" si="57"/>
        <v>0</v>
      </c>
      <c r="CA80" s="50">
        <f t="shared" si="57"/>
        <v>0</v>
      </c>
      <c r="CB80" s="50">
        <f t="shared" si="57"/>
        <v>0</v>
      </c>
      <c r="CC80" s="50">
        <f t="shared" si="57"/>
        <v>0</v>
      </c>
      <c r="CD80" s="50">
        <f t="shared" si="57"/>
        <v>0</v>
      </c>
      <c r="CE80" s="50">
        <f t="shared" si="57"/>
        <v>0</v>
      </c>
      <c r="CF80" s="50">
        <f t="shared" si="57"/>
        <v>0</v>
      </c>
      <c r="CG80" s="50">
        <f t="shared" si="57"/>
        <v>0</v>
      </c>
      <c r="CH80" s="50">
        <f t="shared" si="57"/>
        <v>0</v>
      </c>
      <c r="CI80" s="50">
        <f t="shared" si="57"/>
        <v>0</v>
      </c>
      <c r="CJ80" s="50">
        <f t="shared" si="57"/>
        <v>0</v>
      </c>
      <c r="CK80" s="50">
        <f t="shared" si="57"/>
        <v>0</v>
      </c>
      <c r="CL80" s="50">
        <f t="shared" si="57"/>
        <v>0</v>
      </c>
      <c r="CM80" s="50">
        <f t="shared" si="57"/>
        <v>0</v>
      </c>
      <c r="CN80" s="50">
        <f t="shared" si="57"/>
        <v>0</v>
      </c>
    </row>
    <row r="81" spans="1:92" x14ac:dyDescent="0.2">
      <c r="A81" s="10"/>
      <c r="B81" s="142" t="s">
        <v>2</v>
      </c>
      <c r="C81" s="201" t="s">
        <v>756</v>
      </c>
      <c r="D81" s="194"/>
      <c r="E81" s="194"/>
      <c r="F81" s="194"/>
      <c r="G81" s="194"/>
      <c r="H81" s="216"/>
      <c r="I81" s="217">
        <f t="shared" ref="I81:AN81" si="58">(YEAR(I$6)-YEAR($E$22))*12+MONTH(I$6)-MONTH($E$22)+1</f>
        <v>-11</v>
      </c>
      <c r="J81" s="217">
        <f t="shared" si="58"/>
        <v>-10</v>
      </c>
      <c r="K81" s="217">
        <f t="shared" si="58"/>
        <v>-9</v>
      </c>
      <c r="L81" s="217">
        <f t="shared" si="58"/>
        <v>-8</v>
      </c>
      <c r="M81" s="217">
        <f t="shared" si="58"/>
        <v>-7</v>
      </c>
      <c r="N81" s="217">
        <f t="shared" si="58"/>
        <v>-6</v>
      </c>
      <c r="O81" s="217">
        <f t="shared" si="58"/>
        <v>-5</v>
      </c>
      <c r="P81" s="217">
        <f t="shared" si="58"/>
        <v>-4</v>
      </c>
      <c r="Q81" s="217">
        <f t="shared" si="58"/>
        <v>-3</v>
      </c>
      <c r="R81" s="217">
        <f t="shared" si="58"/>
        <v>-2</v>
      </c>
      <c r="S81" s="217">
        <f t="shared" si="58"/>
        <v>-1</v>
      </c>
      <c r="T81" s="217">
        <f t="shared" si="58"/>
        <v>0</v>
      </c>
      <c r="U81" s="217">
        <f t="shared" si="58"/>
        <v>1</v>
      </c>
      <c r="V81" s="217">
        <f t="shared" si="58"/>
        <v>2</v>
      </c>
      <c r="W81" s="217">
        <f t="shared" si="58"/>
        <v>3</v>
      </c>
      <c r="X81" s="217">
        <f t="shared" si="58"/>
        <v>4</v>
      </c>
      <c r="Y81" s="217">
        <f t="shared" si="58"/>
        <v>5</v>
      </c>
      <c r="Z81" s="217">
        <f t="shared" si="58"/>
        <v>6</v>
      </c>
      <c r="AA81" s="217">
        <f t="shared" si="58"/>
        <v>7</v>
      </c>
      <c r="AB81" s="217">
        <f t="shared" si="58"/>
        <v>8</v>
      </c>
      <c r="AC81" s="217">
        <f t="shared" si="58"/>
        <v>9</v>
      </c>
      <c r="AD81" s="217">
        <f t="shared" si="58"/>
        <v>10</v>
      </c>
      <c r="AE81" s="217">
        <f t="shared" si="58"/>
        <v>11</v>
      </c>
      <c r="AF81" s="217">
        <f t="shared" si="58"/>
        <v>12</v>
      </c>
      <c r="AG81" s="217">
        <f t="shared" si="58"/>
        <v>13</v>
      </c>
      <c r="AH81" s="217">
        <f t="shared" si="58"/>
        <v>14</v>
      </c>
      <c r="AI81" s="217">
        <f t="shared" si="58"/>
        <v>15</v>
      </c>
      <c r="AJ81" s="217">
        <f t="shared" si="58"/>
        <v>16</v>
      </c>
      <c r="AK81" s="217">
        <f t="shared" si="58"/>
        <v>17</v>
      </c>
      <c r="AL81" s="217">
        <f t="shared" si="58"/>
        <v>18</v>
      </c>
      <c r="AM81" s="217">
        <f t="shared" si="58"/>
        <v>19</v>
      </c>
      <c r="AN81" s="217">
        <f t="shared" si="58"/>
        <v>20</v>
      </c>
      <c r="AO81" s="217">
        <f t="shared" ref="AO81:BT81" si="59">(YEAR(AO$6)-YEAR($E$22))*12+MONTH(AO$6)-MONTH($E$22)+1</f>
        <v>21</v>
      </c>
      <c r="AP81" s="217">
        <f t="shared" si="59"/>
        <v>22</v>
      </c>
      <c r="AQ81" s="217">
        <f t="shared" si="59"/>
        <v>23</v>
      </c>
      <c r="AR81" s="217">
        <f t="shared" si="59"/>
        <v>24</v>
      </c>
      <c r="AS81" s="217">
        <f t="shared" si="59"/>
        <v>25</v>
      </c>
      <c r="AT81" s="217">
        <f t="shared" si="59"/>
        <v>26</v>
      </c>
      <c r="AU81" s="217">
        <f t="shared" si="59"/>
        <v>27</v>
      </c>
      <c r="AV81" s="217">
        <f t="shared" si="59"/>
        <v>28</v>
      </c>
      <c r="AW81" s="217">
        <f t="shared" si="59"/>
        <v>29</v>
      </c>
      <c r="AX81" s="217">
        <f t="shared" si="59"/>
        <v>30</v>
      </c>
      <c r="AY81" s="217">
        <f t="shared" si="59"/>
        <v>31</v>
      </c>
      <c r="AZ81" s="217">
        <f t="shared" si="59"/>
        <v>32</v>
      </c>
      <c r="BA81" s="217">
        <f t="shared" si="59"/>
        <v>33</v>
      </c>
      <c r="BB81" s="217">
        <f t="shared" si="59"/>
        <v>34</v>
      </c>
      <c r="BC81" s="217">
        <f t="shared" si="59"/>
        <v>35</v>
      </c>
      <c r="BD81" s="217">
        <f t="shared" si="59"/>
        <v>36</v>
      </c>
      <c r="BE81" s="217">
        <f t="shared" si="59"/>
        <v>37</v>
      </c>
      <c r="BF81" s="217">
        <f t="shared" si="59"/>
        <v>38</v>
      </c>
      <c r="BG81" s="217">
        <f t="shared" si="59"/>
        <v>39</v>
      </c>
      <c r="BH81" s="217">
        <f t="shared" si="59"/>
        <v>40</v>
      </c>
      <c r="BI81" s="217">
        <f t="shared" si="59"/>
        <v>41</v>
      </c>
      <c r="BJ81" s="217">
        <f t="shared" si="59"/>
        <v>42</v>
      </c>
      <c r="BK81" s="217">
        <f t="shared" si="59"/>
        <v>43</v>
      </c>
      <c r="BL81" s="217">
        <f t="shared" si="59"/>
        <v>44</v>
      </c>
      <c r="BM81" s="217">
        <f t="shared" si="59"/>
        <v>45</v>
      </c>
      <c r="BN81" s="217">
        <f t="shared" si="59"/>
        <v>46</v>
      </c>
      <c r="BO81" s="217">
        <f t="shared" si="59"/>
        <v>47</v>
      </c>
      <c r="BP81" s="217">
        <f t="shared" si="59"/>
        <v>48</v>
      </c>
      <c r="BQ81" s="217">
        <f t="shared" si="59"/>
        <v>49</v>
      </c>
      <c r="BR81" s="217">
        <f t="shared" si="59"/>
        <v>50</v>
      </c>
      <c r="BS81" s="217">
        <f t="shared" si="59"/>
        <v>51</v>
      </c>
      <c r="BT81" s="217">
        <f t="shared" si="59"/>
        <v>52</v>
      </c>
      <c r="BU81" s="217">
        <f t="shared" ref="BU81:CN81" si="60">(YEAR(BU$6)-YEAR($E$22))*12+MONTH(BU$6)-MONTH($E$22)+1</f>
        <v>53</v>
      </c>
      <c r="BV81" s="217">
        <f t="shared" si="60"/>
        <v>54</v>
      </c>
      <c r="BW81" s="217">
        <f t="shared" si="60"/>
        <v>55</v>
      </c>
      <c r="BX81" s="217">
        <f t="shared" si="60"/>
        <v>56</v>
      </c>
      <c r="BY81" s="217">
        <f t="shared" si="60"/>
        <v>57</v>
      </c>
      <c r="BZ81" s="217">
        <f t="shared" si="60"/>
        <v>58</v>
      </c>
      <c r="CA81" s="217">
        <f t="shared" si="60"/>
        <v>59</v>
      </c>
      <c r="CB81" s="217">
        <f t="shared" si="60"/>
        <v>60</v>
      </c>
      <c r="CC81" s="217">
        <f t="shared" si="60"/>
        <v>61</v>
      </c>
      <c r="CD81" s="217">
        <f t="shared" si="60"/>
        <v>62</v>
      </c>
      <c r="CE81" s="217">
        <f t="shared" si="60"/>
        <v>63</v>
      </c>
      <c r="CF81" s="217">
        <f t="shared" si="60"/>
        <v>64</v>
      </c>
      <c r="CG81" s="217">
        <f t="shared" si="60"/>
        <v>65</v>
      </c>
      <c r="CH81" s="217">
        <f t="shared" si="60"/>
        <v>66</v>
      </c>
      <c r="CI81" s="217">
        <f t="shared" si="60"/>
        <v>67</v>
      </c>
      <c r="CJ81" s="217">
        <f t="shared" si="60"/>
        <v>68</v>
      </c>
      <c r="CK81" s="217">
        <f t="shared" si="60"/>
        <v>69</v>
      </c>
      <c r="CL81" s="217">
        <f t="shared" si="60"/>
        <v>70</v>
      </c>
      <c r="CM81" s="217">
        <f t="shared" si="60"/>
        <v>71</v>
      </c>
      <c r="CN81" s="217">
        <f t="shared" si="60"/>
        <v>72</v>
      </c>
    </row>
    <row r="82" spans="1:92" x14ac:dyDescent="0.2">
      <c r="A82" s="10"/>
      <c r="B82" s="10"/>
      <c r="C82" s="10" t="s">
        <v>757</v>
      </c>
      <c r="D82" s="10"/>
      <c r="E82" s="10"/>
      <c r="F82" s="10"/>
      <c r="G82" s="10"/>
      <c r="H82" s="18">
        <f t="shared" ref="H82:H96" si="61">SUM(I82:CN82)</f>
        <v>0.99999999999999989</v>
      </c>
      <c r="I82" s="51">
        <f t="shared" ref="I82:AN82" si="62">IF(AND(I81&gt;=1,I81&lt;=$F$22),IF($D$24=1,SIN(PI()*(I81-0.5)/$F$22)*SIN(PI()/(2*$F$22)),1/$F$22),0)</f>
        <v>0</v>
      </c>
      <c r="J82" s="51">
        <f t="shared" si="62"/>
        <v>0</v>
      </c>
      <c r="K82" s="51">
        <f t="shared" si="62"/>
        <v>0</v>
      </c>
      <c r="L82" s="51">
        <f t="shared" si="62"/>
        <v>0</v>
      </c>
      <c r="M82" s="51">
        <f t="shared" si="62"/>
        <v>0</v>
      </c>
      <c r="N82" s="51">
        <f t="shared" si="62"/>
        <v>0</v>
      </c>
      <c r="O82" s="51">
        <f t="shared" si="62"/>
        <v>0</v>
      </c>
      <c r="P82" s="51">
        <f t="shared" si="62"/>
        <v>0</v>
      </c>
      <c r="Q82" s="51">
        <f t="shared" si="62"/>
        <v>0</v>
      </c>
      <c r="R82" s="51">
        <f t="shared" si="62"/>
        <v>0</v>
      </c>
      <c r="S82" s="51">
        <f t="shared" si="62"/>
        <v>0</v>
      </c>
      <c r="T82" s="51">
        <f t="shared" si="62"/>
        <v>0</v>
      </c>
      <c r="U82" s="51">
        <f t="shared" si="62"/>
        <v>4.2775693130947942E-3</v>
      </c>
      <c r="V82" s="51">
        <f t="shared" si="62"/>
        <v>1.2759517542371059E-2</v>
      </c>
      <c r="W82" s="51">
        <f t="shared" si="62"/>
        <v>2.1023146888890763E-2</v>
      </c>
      <c r="X82" s="51">
        <f t="shared" si="62"/>
        <v>2.892706436342405E-2</v>
      </c>
      <c r="Y82" s="51">
        <f t="shared" si="62"/>
        <v>3.6336031746601737E-2</v>
      </c>
      <c r="Z82" s="51">
        <f t="shared" si="62"/>
        <v>4.3123279552343817E-2</v>
      </c>
      <c r="AA82" s="51">
        <f t="shared" si="62"/>
        <v>4.9172676088913438E-2</v>
      </c>
      <c r="AB82" s="51">
        <f t="shared" si="62"/>
        <v>5.4380714504360307E-2</v>
      </c>
      <c r="AC82" s="51">
        <f t="shared" si="62"/>
        <v>5.8658283817455116E-2</v>
      </c>
      <c r="AD82" s="51">
        <f t="shared" si="62"/>
        <v>6.1932193631284493E-2</v>
      </c>
      <c r="AE82" s="51">
        <f t="shared" si="62"/>
        <v>6.4146426441234583E-2</v>
      </c>
      <c r="AF82" s="51">
        <f t="shared" si="62"/>
        <v>6.5263096110025787E-2</v>
      </c>
      <c r="AG82" s="51">
        <f t="shared" si="62"/>
        <v>6.5263096110025787E-2</v>
      </c>
      <c r="AH82" s="51">
        <f t="shared" si="62"/>
        <v>6.4146426441234583E-2</v>
      </c>
      <c r="AI82" s="51">
        <f t="shared" si="62"/>
        <v>6.19321936312845E-2</v>
      </c>
      <c r="AJ82" s="51">
        <f t="shared" si="62"/>
        <v>5.8658283817455116E-2</v>
      </c>
      <c r="AK82" s="51">
        <f t="shared" si="62"/>
        <v>5.4380714504360307E-2</v>
      </c>
      <c r="AL82" s="51">
        <f t="shared" si="62"/>
        <v>4.9172676088913438E-2</v>
      </c>
      <c r="AM82" s="51">
        <f t="shared" si="62"/>
        <v>4.3123279552343824E-2</v>
      </c>
      <c r="AN82" s="51">
        <f t="shared" si="62"/>
        <v>3.6336031746601757E-2</v>
      </c>
      <c r="AO82" s="51">
        <f t="shared" ref="AO82:BT82" si="63">IF(AND(AO81&gt;=1,AO81&lt;=$F$22),IF($D$24=1,SIN(PI()*(AO81-0.5)/$F$22)*SIN(PI()/(2*$F$22)),1/$F$22),0)</f>
        <v>2.8927064363424078E-2</v>
      </c>
      <c r="AP82" s="51">
        <f t="shared" si="63"/>
        <v>2.1023146888890776E-2</v>
      </c>
      <c r="AQ82" s="51">
        <f t="shared" si="63"/>
        <v>1.2759517542371054E-2</v>
      </c>
      <c r="AR82" s="51">
        <f t="shared" si="63"/>
        <v>4.2775693130947976E-3</v>
      </c>
      <c r="AS82" s="51">
        <f t="shared" si="63"/>
        <v>0</v>
      </c>
      <c r="AT82" s="51">
        <f t="shared" si="63"/>
        <v>0</v>
      </c>
      <c r="AU82" s="51">
        <f t="shared" si="63"/>
        <v>0</v>
      </c>
      <c r="AV82" s="51">
        <f t="shared" si="63"/>
        <v>0</v>
      </c>
      <c r="AW82" s="51">
        <f t="shared" si="63"/>
        <v>0</v>
      </c>
      <c r="AX82" s="51">
        <f t="shared" si="63"/>
        <v>0</v>
      </c>
      <c r="AY82" s="51">
        <f t="shared" si="63"/>
        <v>0</v>
      </c>
      <c r="AZ82" s="51">
        <f t="shared" si="63"/>
        <v>0</v>
      </c>
      <c r="BA82" s="51">
        <f t="shared" si="63"/>
        <v>0</v>
      </c>
      <c r="BB82" s="51">
        <f t="shared" si="63"/>
        <v>0</v>
      </c>
      <c r="BC82" s="51">
        <f t="shared" si="63"/>
        <v>0</v>
      </c>
      <c r="BD82" s="51">
        <f t="shared" si="63"/>
        <v>0</v>
      </c>
      <c r="BE82" s="51">
        <f t="shared" si="63"/>
        <v>0</v>
      </c>
      <c r="BF82" s="51">
        <f t="shared" si="63"/>
        <v>0</v>
      </c>
      <c r="BG82" s="51">
        <f t="shared" si="63"/>
        <v>0</v>
      </c>
      <c r="BH82" s="51">
        <f t="shared" si="63"/>
        <v>0</v>
      </c>
      <c r="BI82" s="51">
        <f t="shared" si="63"/>
        <v>0</v>
      </c>
      <c r="BJ82" s="51">
        <f t="shared" si="63"/>
        <v>0</v>
      </c>
      <c r="BK82" s="51">
        <f t="shared" si="63"/>
        <v>0</v>
      </c>
      <c r="BL82" s="51">
        <f t="shared" si="63"/>
        <v>0</v>
      </c>
      <c r="BM82" s="51">
        <f t="shared" si="63"/>
        <v>0</v>
      </c>
      <c r="BN82" s="51">
        <f t="shared" si="63"/>
        <v>0</v>
      </c>
      <c r="BO82" s="51">
        <f t="shared" si="63"/>
        <v>0</v>
      </c>
      <c r="BP82" s="51">
        <f t="shared" si="63"/>
        <v>0</v>
      </c>
      <c r="BQ82" s="51">
        <f t="shared" si="63"/>
        <v>0</v>
      </c>
      <c r="BR82" s="51">
        <f t="shared" si="63"/>
        <v>0</v>
      </c>
      <c r="BS82" s="51">
        <f t="shared" si="63"/>
        <v>0</v>
      </c>
      <c r="BT82" s="51">
        <f t="shared" si="63"/>
        <v>0</v>
      </c>
      <c r="BU82" s="51">
        <f t="shared" ref="BU82:CN82" si="64">IF(AND(BU81&gt;=1,BU81&lt;=$F$22),IF($D$24=1,SIN(PI()*(BU81-0.5)/$F$22)*SIN(PI()/(2*$F$22)),1/$F$22),0)</f>
        <v>0</v>
      </c>
      <c r="BV82" s="51">
        <f t="shared" si="64"/>
        <v>0</v>
      </c>
      <c r="BW82" s="51">
        <f t="shared" si="64"/>
        <v>0</v>
      </c>
      <c r="BX82" s="51">
        <f t="shared" si="64"/>
        <v>0</v>
      </c>
      <c r="BY82" s="51">
        <f t="shared" si="64"/>
        <v>0</v>
      </c>
      <c r="BZ82" s="51">
        <f t="shared" si="64"/>
        <v>0</v>
      </c>
      <c r="CA82" s="51">
        <f t="shared" si="64"/>
        <v>0</v>
      </c>
      <c r="CB82" s="51">
        <f t="shared" si="64"/>
        <v>0</v>
      </c>
      <c r="CC82" s="51">
        <f t="shared" si="64"/>
        <v>0</v>
      </c>
      <c r="CD82" s="51">
        <f t="shared" si="64"/>
        <v>0</v>
      </c>
      <c r="CE82" s="51">
        <f t="shared" si="64"/>
        <v>0</v>
      </c>
      <c r="CF82" s="51">
        <f t="shared" si="64"/>
        <v>0</v>
      </c>
      <c r="CG82" s="51">
        <f t="shared" si="64"/>
        <v>0</v>
      </c>
      <c r="CH82" s="51">
        <f t="shared" si="64"/>
        <v>0</v>
      </c>
      <c r="CI82" s="51">
        <f t="shared" si="64"/>
        <v>0</v>
      </c>
      <c r="CJ82" s="51">
        <f t="shared" si="64"/>
        <v>0</v>
      </c>
      <c r="CK82" s="51">
        <f t="shared" si="64"/>
        <v>0</v>
      </c>
      <c r="CL82" s="51">
        <f t="shared" si="64"/>
        <v>0</v>
      </c>
      <c r="CM82" s="51">
        <f t="shared" si="64"/>
        <v>0</v>
      </c>
      <c r="CN82" s="51">
        <f t="shared" si="64"/>
        <v>0</v>
      </c>
    </row>
    <row r="83" spans="1:92" x14ac:dyDescent="0.2">
      <c r="A83" s="10"/>
      <c r="B83" s="10"/>
      <c r="C83" s="10" t="s">
        <v>758</v>
      </c>
      <c r="D83" s="10"/>
      <c r="E83" s="10"/>
      <c r="F83" s="10"/>
      <c r="G83" s="10"/>
      <c r="H83" s="12">
        <f t="shared" si="61"/>
        <v>-74996.999999999985</v>
      </c>
      <c r="I83" s="12">
        <f t="shared" ref="I83:AN83" si="65">-I82*$H$22</f>
        <v>0</v>
      </c>
      <c r="J83" s="12">
        <f t="shared" si="65"/>
        <v>0</v>
      </c>
      <c r="K83" s="12">
        <f t="shared" si="65"/>
        <v>0</v>
      </c>
      <c r="L83" s="12">
        <f t="shared" si="65"/>
        <v>0</v>
      </c>
      <c r="M83" s="12">
        <f t="shared" si="65"/>
        <v>0</v>
      </c>
      <c r="N83" s="12">
        <f t="shared" si="65"/>
        <v>0</v>
      </c>
      <c r="O83" s="12">
        <f t="shared" si="65"/>
        <v>0</v>
      </c>
      <c r="P83" s="12">
        <f t="shared" si="65"/>
        <v>0</v>
      </c>
      <c r="Q83" s="12">
        <f t="shared" si="65"/>
        <v>0</v>
      </c>
      <c r="R83" s="12">
        <f t="shared" si="65"/>
        <v>0</v>
      </c>
      <c r="S83" s="12">
        <f t="shared" si="65"/>
        <v>0</v>
      </c>
      <c r="T83" s="12">
        <f t="shared" si="65"/>
        <v>0</v>
      </c>
      <c r="U83" s="12">
        <f t="shared" si="65"/>
        <v>-320.80486577417025</v>
      </c>
      <c r="V83" s="12">
        <f t="shared" si="65"/>
        <v>-956.92553712520237</v>
      </c>
      <c r="W83" s="12">
        <f t="shared" si="65"/>
        <v>-1576.6729472261404</v>
      </c>
      <c r="X83" s="12">
        <f t="shared" si="65"/>
        <v>-2169.4430460637136</v>
      </c>
      <c r="Y83" s="12">
        <f t="shared" si="65"/>
        <v>-2725.0933728998903</v>
      </c>
      <c r="Z83" s="12">
        <f t="shared" si="65"/>
        <v>-3234.1165965871292</v>
      </c>
      <c r="AA83" s="12">
        <f t="shared" si="65"/>
        <v>-3687.8031886402409</v>
      </c>
      <c r="AB83" s="12">
        <f t="shared" si="65"/>
        <v>-4078.3904456835098</v>
      </c>
      <c r="AC83" s="12">
        <f t="shared" si="65"/>
        <v>-4399.1953114576818</v>
      </c>
      <c r="AD83" s="12">
        <f t="shared" si="65"/>
        <v>-4644.7287257654434</v>
      </c>
      <c r="AE83" s="12">
        <f t="shared" si="65"/>
        <v>-4810.78954381327</v>
      </c>
      <c r="AF83" s="12">
        <f t="shared" si="65"/>
        <v>-4894.5364189636039</v>
      </c>
      <c r="AG83" s="12">
        <f t="shared" si="65"/>
        <v>-4894.5364189636039</v>
      </c>
      <c r="AH83" s="12">
        <f t="shared" si="65"/>
        <v>-4810.78954381327</v>
      </c>
      <c r="AI83" s="12">
        <f t="shared" si="65"/>
        <v>-4644.7287257654434</v>
      </c>
      <c r="AJ83" s="12">
        <f t="shared" si="65"/>
        <v>-4399.1953114576818</v>
      </c>
      <c r="AK83" s="12">
        <f t="shared" si="65"/>
        <v>-4078.3904456835098</v>
      </c>
      <c r="AL83" s="12">
        <f t="shared" si="65"/>
        <v>-3687.8031886402409</v>
      </c>
      <c r="AM83" s="12">
        <f t="shared" si="65"/>
        <v>-3234.1165965871296</v>
      </c>
      <c r="AN83" s="12">
        <f t="shared" si="65"/>
        <v>-2725.0933728998921</v>
      </c>
      <c r="AO83" s="12">
        <f t="shared" ref="AO83:BT83" si="66">-AO82*$H$22</f>
        <v>-2169.4430460637154</v>
      </c>
      <c r="AP83" s="12">
        <f t="shared" si="66"/>
        <v>-1576.6729472261416</v>
      </c>
      <c r="AQ83" s="12">
        <f t="shared" si="66"/>
        <v>-956.92553712520191</v>
      </c>
      <c r="AR83" s="12">
        <f t="shared" si="66"/>
        <v>-320.80486577417054</v>
      </c>
      <c r="AS83" s="12">
        <f t="shared" si="66"/>
        <v>0</v>
      </c>
      <c r="AT83" s="12">
        <f t="shared" si="66"/>
        <v>0</v>
      </c>
      <c r="AU83" s="12">
        <f t="shared" si="66"/>
        <v>0</v>
      </c>
      <c r="AV83" s="12">
        <f t="shared" si="66"/>
        <v>0</v>
      </c>
      <c r="AW83" s="12">
        <f t="shared" si="66"/>
        <v>0</v>
      </c>
      <c r="AX83" s="12">
        <f t="shared" si="66"/>
        <v>0</v>
      </c>
      <c r="AY83" s="12">
        <f t="shared" si="66"/>
        <v>0</v>
      </c>
      <c r="AZ83" s="12">
        <f t="shared" si="66"/>
        <v>0</v>
      </c>
      <c r="BA83" s="12">
        <f t="shared" si="66"/>
        <v>0</v>
      </c>
      <c r="BB83" s="12">
        <f t="shared" si="66"/>
        <v>0</v>
      </c>
      <c r="BC83" s="12">
        <f t="shared" si="66"/>
        <v>0</v>
      </c>
      <c r="BD83" s="12">
        <f t="shared" si="66"/>
        <v>0</v>
      </c>
      <c r="BE83" s="12">
        <f t="shared" si="66"/>
        <v>0</v>
      </c>
      <c r="BF83" s="12">
        <f t="shared" si="66"/>
        <v>0</v>
      </c>
      <c r="BG83" s="12">
        <f t="shared" si="66"/>
        <v>0</v>
      </c>
      <c r="BH83" s="12">
        <f t="shared" si="66"/>
        <v>0</v>
      </c>
      <c r="BI83" s="12">
        <f t="shared" si="66"/>
        <v>0</v>
      </c>
      <c r="BJ83" s="12">
        <f t="shared" si="66"/>
        <v>0</v>
      </c>
      <c r="BK83" s="12">
        <f t="shared" si="66"/>
        <v>0</v>
      </c>
      <c r="BL83" s="12">
        <f t="shared" si="66"/>
        <v>0</v>
      </c>
      <c r="BM83" s="12">
        <f t="shared" si="66"/>
        <v>0</v>
      </c>
      <c r="BN83" s="12">
        <f t="shared" si="66"/>
        <v>0</v>
      </c>
      <c r="BO83" s="12">
        <f t="shared" si="66"/>
        <v>0</v>
      </c>
      <c r="BP83" s="12">
        <f t="shared" si="66"/>
        <v>0</v>
      </c>
      <c r="BQ83" s="12">
        <f t="shared" si="66"/>
        <v>0</v>
      </c>
      <c r="BR83" s="12">
        <f t="shared" si="66"/>
        <v>0</v>
      </c>
      <c r="BS83" s="12">
        <f t="shared" si="66"/>
        <v>0</v>
      </c>
      <c r="BT83" s="12">
        <f t="shared" si="66"/>
        <v>0</v>
      </c>
      <c r="BU83" s="12">
        <f t="shared" ref="BU83:CN83" si="67">-BU82*$H$22</f>
        <v>0</v>
      </c>
      <c r="BV83" s="12">
        <f t="shared" si="67"/>
        <v>0</v>
      </c>
      <c r="BW83" s="12">
        <f t="shared" si="67"/>
        <v>0</v>
      </c>
      <c r="BX83" s="12">
        <f t="shared" si="67"/>
        <v>0</v>
      </c>
      <c r="BY83" s="12">
        <f t="shared" si="67"/>
        <v>0</v>
      </c>
      <c r="BZ83" s="12">
        <f t="shared" si="67"/>
        <v>0</v>
      </c>
      <c r="CA83" s="12">
        <f t="shared" si="67"/>
        <v>0</v>
      </c>
      <c r="CB83" s="12">
        <f t="shared" si="67"/>
        <v>0</v>
      </c>
      <c r="CC83" s="12">
        <f t="shared" si="67"/>
        <v>0</v>
      </c>
      <c r="CD83" s="12">
        <f t="shared" si="67"/>
        <v>0</v>
      </c>
      <c r="CE83" s="12">
        <f t="shared" si="67"/>
        <v>0</v>
      </c>
      <c r="CF83" s="12">
        <f t="shared" si="67"/>
        <v>0</v>
      </c>
      <c r="CG83" s="12">
        <f t="shared" si="67"/>
        <v>0</v>
      </c>
      <c r="CH83" s="12">
        <f t="shared" si="67"/>
        <v>0</v>
      </c>
      <c r="CI83" s="12">
        <f t="shared" si="67"/>
        <v>0</v>
      </c>
      <c r="CJ83" s="12">
        <f t="shared" si="67"/>
        <v>0</v>
      </c>
      <c r="CK83" s="12">
        <f t="shared" si="67"/>
        <v>0</v>
      </c>
      <c r="CL83" s="12">
        <f t="shared" si="67"/>
        <v>0</v>
      </c>
      <c r="CM83" s="12">
        <f t="shared" si="67"/>
        <v>0</v>
      </c>
      <c r="CN83" s="12">
        <f t="shared" si="67"/>
        <v>0</v>
      </c>
    </row>
    <row r="84" spans="1:92" x14ac:dyDescent="0.2">
      <c r="A84" s="10"/>
      <c r="B84" s="10"/>
      <c r="C84" s="10" t="s">
        <v>759</v>
      </c>
      <c r="D84" s="10"/>
      <c r="E84" s="10"/>
      <c r="F84" s="10"/>
      <c r="G84" s="10"/>
      <c r="H84" s="12">
        <f t="shared" si="61"/>
        <v>-5559.9999999999991</v>
      </c>
      <c r="I84" s="12">
        <f t="shared" ref="I84:AN84" si="68">-I82*$H$23</f>
        <v>0</v>
      </c>
      <c r="J84" s="12">
        <f t="shared" si="68"/>
        <v>0</v>
      </c>
      <c r="K84" s="12">
        <f t="shared" si="68"/>
        <v>0</v>
      </c>
      <c r="L84" s="12">
        <f t="shared" si="68"/>
        <v>0</v>
      </c>
      <c r="M84" s="12">
        <f t="shared" si="68"/>
        <v>0</v>
      </c>
      <c r="N84" s="12">
        <f t="shared" si="68"/>
        <v>0</v>
      </c>
      <c r="O84" s="12">
        <f t="shared" si="68"/>
        <v>0</v>
      </c>
      <c r="P84" s="12">
        <f t="shared" si="68"/>
        <v>0</v>
      </c>
      <c r="Q84" s="12">
        <f t="shared" si="68"/>
        <v>0</v>
      </c>
      <c r="R84" s="12">
        <f t="shared" si="68"/>
        <v>0</v>
      </c>
      <c r="S84" s="12">
        <f t="shared" si="68"/>
        <v>0</v>
      </c>
      <c r="T84" s="12">
        <f t="shared" si="68"/>
        <v>0</v>
      </c>
      <c r="U84" s="12">
        <f t="shared" si="68"/>
        <v>-23.783285380807055</v>
      </c>
      <c r="V84" s="12">
        <f t="shared" si="68"/>
        <v>-70.942917535583092</v>
      </c>
      <c r="W84" s="12">
        <f t="shared" si="68"/>
        <v>-116.88869670223264</v>
      </c>
      <c r="X84" s="12">
        <f t="shared" si="68"/>
        <v>-160.83447786063772</v>
      </c>
      <c r="Y84" s="12">
        <f t="shared" si="68"/>
        <v>-202.02833651110566</v>
      </c>
      <c r="Z84" s="12">
        <f t="shared" si="68"/>
        <v>-239.76543431103161</v>
      </c>
      <c r="AA84" s="12">
        <f t="shared" si="68"/>
        <v>-273.40007905435874</v>
      </c>
      <c r="AB84" s="12">
        <f t="shared" si="68"/>
        <v>-302.35677264424334</v>
      </c>
      <c r="AC84" s="12">
        <f t="shared" si="68"/>
        <v>-326.14005802505045</v>
      </c>
      <c r="AD84" s="12">
        <f t="shared" si="68"/>
        <v>-344.34299658994178</v>
      </c>
      <c r="AE84" s="12">
        <f t="shared" si="68"/>
        <v>-356.6541310132643</v>
      </c>
      <c r="AF84" s="12">
        <f t="shared" si="68"/>
        <v>-362.86281437174335</v>
      </c>
      <c r="AG84" s="12">
        <f t="shared" si="68"/>
        <v>-362.86281437174335</v>
      </c>
      <c r="AH84" s="12">
        <f t="shared" si="68"/>
        <v>-356.6541310132643</v>
      </c>
      <c r="AI84" s="12">
        <f t="shared" si="68"/>
        <v>-344.34299658994183</v>
      </c>
      <c r="AJ84" s="12">
        <f t="shared" si="68"/>
        <v>-326.14005802505045</v>
      </c>
      <c r="AK84" s="12">
        <f t="shared" si="68"/>
        <v>-302.35677264424334</v>
      </c>
      <c r="AL84" s="12">
        <f t="shared" si="68"/>
        <v>-273.40007905435874</v>
      </c>
      <c r="AM84" s="12">
        <f t="shared" si="68"/>
        <v>-239.76543431103167</v>
      </c>
      <c r="AN84" s="12">
        <f t="shared" si="68"/>
        <v>-202.02833651110578</v>
      </c>
      <c r="AO84" s="12">
        <f t="shared" ref="AO84:BT84" si="69">-AO82*$H$23</f>
        <v>-160.83447786063786</v>
      </c>
      <c r="AP84" s="12">
        <f t="shared" si="69"/>
        <v>-116.88869670223272</v>
      </c>
      <c r="AQ84" s="12">
        <f t="shared" si="69"/>
        <v>-70.942917535583064</v>
      </c>
      <c r="AR84" s="12">
        <f t="shared" si="69"/>
        <v>-23.783285380807076</v>
      </c>
      <c r="AS84" s="12">
        <f t="shared" si="69"/>
        <v>0</v>
      </c>
      <c r="AT84" s="12">
        <f t="shared" si="69"/>
        <v>0</v>
      </c>
      <c r="AU84" s="12">
        <f t="shared" si="69"/>
        <v>0</v>
      </c>
      <c r="AV84" s="12">
        <f t="shared" si="69"/>
        <v>0</v>
      </c>
      <c r="AW84" s="12">
        <f t="shared" si="69"/>
        <v>0</v>
      </c>
      <c r="AX84" s="12">
        <f t="shared" si="69"/>
        <v>0</v>
      </c>
      <c r="AY84" s="12">
        <f t="shared" si="69"/>
        <v>0</v>
      </c>
      <c r="AZ84" s="12">
        <f t="shared" si="69"/>
        <v>0</v>
      </c>
      <c r="BA84" s="12">
        <f t="shared" si="69"/>
        <v>0</v>
      </c>
      <c r="BB84" s="12">
        <f t="shared" si="69"/>
        <v>0</v>
      </c>
      <c r="BC84" s="12">
        <f t="shared" si="69"/>
        <v>0</v>
      </c>
      <c r="BD84" s="12">
        <f t="shared" si="69"/>
        <v>0</v>
      </c>
      <c r="BE84" s="12">
        <f t="shared" si="69"/>
        <v>0</v>
      </c>
      <c r="BF84" s="12">
        <f t="shared" si="69"/>
        <v>0</v>
      </c>
      <c r="BG84" s="12">
        <f t="shared" si="69"/>
        <v>0</v>
      </c>
      <c r="BH84" s="12">
        <f t="shared" si="69"/>
        <v>0</v>
      </c>
      <c r="BI84" s="12">
        <f t="shared" si="69"/>
        <v>0</v>
      </c>
      <c r="BJ84" s="12">
        <f t="shared" si="69"/>
        <v>0</v>
      </c>
      <c r="BK84" s="12">
        <f t="shared" si="69"/>
        <v>0</v>
      </c>
      <c r="BL84" s="12">
        <f t="shared" si="69"/>
        <v>0</v>
      </c>
      <c r="BM84" s="12">
        <f t="shared" si="69"/>
        <v>0</v>
      </c>
      <c r="BN84" s="12">
        <f t="shared" si="69"/>
        <v>0</v>
      </c>
      <c r="BO84" s="12">
        <f t="shared" si="69"/>
        <v>0</v>
      </c>
      <c r="BP84" s="12">
        <f t="shared" si="69"/>
        <v>0</v>
      </c>
      <c r="BQ84" s="12">
        <f t="shared" si="69"/>
        <v>0</v>
      </c>
      <c r="BR84" s="12">
        <f t="shared" si="69"/>
        <v>0</v>
      </c>
      <c r="BS84" s="12">
        <f t="shared" si="69"/>
        <v>0</v>
      </c>
      <c r="BT84" s="12">
        <f t="shared" si="69"/>
        <v>0</v>
      </c>
      <c r="BU84" s="12">
        <f t="shared" ref="BU84:CN84" si="70">-BU82*$H$23</f>
        <v>0</v>
      </c>
      <c r="BV84" s="12">
        <f t="shared" si="70"/>
        <v>0</v>
      </c>
      <c r="BW84" s="12">
        <f t="shared" si="70"/>
        <v>0</v>
      </c>
      <c r="BX84" s="12">
        <f t="shared" si="70"/>
        <v>0</v>
      </c>
      <c r="BY84" s="12">
        <f t="shared" si="70"/>
        <v>0</v>
      </c>
      <c r="BZ84" s="12">
        <f t="shared" si="70"/>
        <v>0</v>
      </c>
      <c r="CA84" s="12">
        <f t="shared" si="70"/>
        <v>0</v>
      </c>
      <c r="CB84" s="12">
        <f t="shared" si="70"/>
        <v>0</v>
      </c>
      <c r="CC84" s="12">
        <f t="shared" si="70"/>
        <v>0</v>
      </c>
      <c r="CD84" s="12">
        <f t="shared" si="70"/>
        <v>0</v>
      </c>
      <c r="CE84" s="12">
        <f t="shared" si="70"/>
        <v>0</v>
      </c>
      <c r="CF84" s="12">
        <f t="shared" si="70"/>
        <v>0</v>
      </c>
      <c r="CG84" s="12">
        <f t="shared" si="70"/>
        <v>0</v>
      </c>
      <c r="CH84" s="12">
        <f t="shared" si="70"/>
        <v>0</v>
      </c>
      <c r="CI84" s="12">
        <f t="shared" si="70"/>
        <v>0</v>
      </c>
      <c r="CJ84" s="12">
        <f t="shared" si="70"/>
        <v>0</v>
      </c>
      <c r="CK84" s="12">
        <f t="shared" si="70"/>
        <v>0</v>
      </c>
      <c r="CL84" s="12">
        <f t="shared" si="70"/>
        <v>0</v>
      </c>
      <c r="CM84" s="12">
        <f t="shared" si="70"/>
        <v>0</v>
      </c>
      <c r="CN84" s="12">
        <f t="shared" si="70"/>
        <v>0</v>
      </c>
    </row>
    <row r="85" spans="1:92" x14ac:dyDescent="0.2">
      <c r="A85" s="10"/>
      <c r="B85" s="10"/>
      <c r="C85" s="10" t="str">
        <f t="shared" ref="C85:C94" si="71">C42</f>
        <v>Terreno — pagamento em dinheiro (R$ mil)</v>
      </c>
      <c r="D85" s="10"/>
      <c r="E85" s="10"/>
      <c r="F85" s="10"/>
      <c r="G85" s="10"/>
      <c r="H85" s="12">
        <f t="shared" si="61"/>
        <v>0</v>
      </c>
      <c r="I85" s="12">
        <f t="shared" ref="I85:AN85" si="72">-IF(AND(I$6&gt;=$E42,I$6&lt;EDATE($E42,$F42)),$H42/$F42,0)</f>
        <v>0</v>
      </c>
      <c r="J85" s="12">
        <f t="shared" si="72"/>
        <v>0</v>
      </c>
      <c r="K85" s="12">
        <f t="shared" si="72"/>
        <v>0</v>
      </c>
      <c r="L85" s="12">
        <f t="shared" si="72"/>
        <v>0</v>
      </c>
      <c r="M85" s="12">
        <f t="shared" si="72"/>
        <v>0</v>
      </c>
      <c r="N85" s="12">
        <f t="shared" si="72"/>
        <v>0</v>
      </c>
      <c r="O85" s="12">
        <f t="shared" si="72"/>
        <v>0</v>
      </c>
      <c r="P85" s="12">
        <f t="shared" si="72"/>
        <v>0</v>
      </c>
      <c r="Q85" s="12">
        <f t="shared" si="72"/>
        <v>0</v>
      </c>
      <c r="R85" s="12">
        <f t="shared" si="72"/>
        <v>0</v>
      </c>
      <c r="S85" s="12">
        <f t="shared" si="72"/>
        <v>0</v>
      </c>
      <c r="T85" s="12">
        <f t="shared" si="72"/>
        <v>0</v>
      </c>
      <c r="U85" s="12">
        <f t="shared" si="72"/>
        <v>0</v>
      </c>
      <c r="V85" s="12">
        <f t="shared" si="72"/>
        <v>0</v>
      </c>
      <c r="W85" s="12">
        <f t="shared" si="72"/>
        <v>0</v>
      </c>
      <c r="X85" s="12">
        <f t="shared" si="72"/>
        <v>0</v>
      </c>
      <c r="Y85" s="12">
        <f t="shared" si="72"/>
        <v>0</v>
      </c>
      <c r="Z85" s="12">
        <f t="shared" si="72"/>
        <v>0</v>
      </c>
      <c r="AA85" s="12">
        <f t="shared" si="72"/>
        <v>0</v>
      </c>
      <c r="AB85" s="12">
        <f t="shared" si="72"/>
        <v>0</v>
      </c>
      <c r="AC85" s="12">
        <f t="shared" si="72"/>
        <v>0</v>
      </c>
      <c r="AD85" s="12">
        <f t="shared" si="72"/>
        <v>0</v>
      </c>
      <c r="AE85" s="12">
        <f t="shared" si="72"/>
        <v>0</v>
      </c>
      <c r="AF85" s="12">
        <f t="shared" si="72"/>
        <v>0</v>
      </c>
      <c r="AG85" s="12">
        <f t="shared" si="72"/>
        <v>0</v>
      </c>
      <c r="AH85" s="12">
        <f t="shared" si="72"/>
        <v>0</v>
      </c>
      <c r="AI85" s="12">
        <f t="shared" si="72"/>
        <v>0</v>
      </c>
      <c r="AJ85" s="12">
        <f t="shared" si="72"/>
        <v>0</v>
      </c>
      <c r="AK85" s="12">
        <f t="shared" si="72"/>
        <v>0</v>
      </c>
      <c r="AL85" s="12">
        <f t="shared" si="72"/>
        <v>0</v>
      </c>
      <c r="AM85" s="12">
        <f t="shared" si="72"/>
        <v>0</v>
      </c>
      <c r="AN85" s="12">
        <f t="shared" si="72"/>
        <v>0</v>
      </c>
      <c r="AO85" s="12">
        <f t="shared" ref="AO85:BT85" si="73">-IF(AND(AO$6&gt;=$E42,AO$6&lt;EDATE($E42,$F42)),$H42/$F42,0)</f>
        <v>0</v>
      </c>
      <c r="AP85" s="12">
        <f t="shared" si="73"/>
        <v>0</v>
      </c>
      <c r="AQ85" s="12">
        <f t="shared" si="73"/>
        <v>0</v>
      </c>
      <c r="AR85" s="12">
        <f t="shared" si="73"/>
        <v>0</v>
      </c>
      <c r="AS85" s="12">
        <f t="shared" si="73"/>
        <v>0</v>
      </c>
      <c r="AT85" s="12">
        <f t="shared" si="73"/>
        <v>0</v>
      </c>
      <c r="AU85" s="12">
        <f t="shared" si="73"/>
        <v>0</v>
      </c>
      <c r="AV85" s="12">
        <f t="shared" si="73"/>
        <v>0</v>
      </c>
      <c r="AW85" s="12">
        <f t="shared" si="73"/>
        <v>0</v>
      </c>
      <c r="AX85" s="12">
        <f t="shared" si="73"/>
        <v>0</v>
      </c>
      <c r="AY85" s="12">
        <f t="shared" si="73"/>
        <v>0</v>
      </c>
      <c r="AZ85" s="12">
        <f t="shared" si="73"/>
        <v>0</v>
      </c>
      <c r="BA85" s="12">
        <f t="shared" si="73"/>
        <v>0</v>
      </c>
      <c r="BB85" s="12">
        <f t="shared" si="73"/>
        <v>0</v>
      </c>
      <c r="BC85" s="12">
        <f t="shared" si="73"/>
        <v>0</v>
      </c>
      <c r="BD85" s="12">
        <f t="shared" si="73"/>
        <v>0</v>
      </c>
      <c r="BE85" s="12">
        <f t="shared" si="73"/>
        <v>0</v>
      </c>
      <c r="BF85" s="12">
        <f t="shared" si="73"/>
        <v>0</v>
      </c>
      <c r="BG85" s="12">
        <f t="shared" si="73"/>
        <v>0</v>
      </c>
      <c r="BH85" s="12">
        <f t="shared" si="73"/>
        <v>0</v>
      </c>
      <c r="BI85" s="12">
        <f t="shared" si="73"/>
        <v>0</v>
      </c>
      <c r="BJ85" s="12">
        <f t="shared" si="73"/>
        <v>0</v>
      </c>
      <c r="BK85" s="12">
        <f t="shared" si="73"/>
        <v>0</v>
      </c>
      <c r="BL85" s="12">
        <f t="shared" si="73"/>
        <v>0</v>
      </c>
      <c r="BM85" s="12">
        <f t="shared" si="73"/>
        <v>0</v>
      </c>
      <c r="BN85" s="12">
        <f t="shared" si="73"/>
        <v>0</v>
      </c>
      <c r="BO85" s="12">
        <f t="shared" si="73"/>
        <v>0</v>
      </c>
      <c r="BP85" s="12">
        <f t="shared" si="73"/>
        <v>0</v>
      </c>
      <c r="BQ85" s="12">
        <f t="shared" si="73"/>
        <v>0</v>
      </c>
      <c r="BR85" s="12">
        <f t="shared" si="73"/>
        <v>0</v>
      </c>
      <c r="BS85" s="12">
        <f t="shared" si="73"/>
        <v>0</v>
      </c>
      <c r="BT85" s="12">
        <f t="shared" si="73"/>
        <v>0</v>
      </c>
      <c r="BU85" s="12">
        <f t="shared" ref="BU85:CN85" si="74">-IF(AND(BU$6&gt;=$E42,BU$6&lt;EDATE($E42,$F42)),$H42/$F42,0)</f>
        <v>0</v>
      </c>
      <c r="BV85" s="12">
        <f t="shared" si="74"/>
        <v>0</v>
      </c>
      <c r="BW85" s="12">
        <f t="shared" si="74"/>
        <v>0</v>
      </c>
      <c r="BX85" s="12">
        <f t="shared" si="74"/>
        <v>0</v>
      </c>
      <c r="BY85" s="12">
        <f t="shared" si="74"/>
        <v>0</v>
      </c>
      <c r="BZ85" s="12">
        <f t="shared" si="74"/>
        <v>0</v>
      </c>
      <c r="CA85" s="12">
        <f t="shared" si="74"/>
        <v>0</v>
      </c>
      <c r="CB85" s="12">
        <f t="shared" si="74"/>
        <v>0</v>
      </c>
      <c r="CC85" s="12">
        <f t="shared" si="74"/>
        <v>0</v>
      </c>
      <c r="CD85" s="12">
        <f t="shared" si="74"/>
        <v>0</v>
      </c>
      <c r="CE85" s="12">
        <f t="shared" si="74"/>
        <v>0</v>
      </c>
      <c r="CF85" s="12">
        <f t="shared" si="74"/>
        <v>0</v>
      </c>
      <c r="CG85" s="12">
        <f t="shared" si="74"/>
        <v>0</v>
      </c>
      <c r="CH85" s="12">
        <f t="shared" si="74"/>
        <v>0</v>
      </c>
      <c r="CI85" s="12">
        <f t="shared" si="74"/>
        <v>0</v>
      </c>
      <c r="CJ85" s="12">
        <f t="shared" si="74"/>
        <v>0</v>
      </c>
      <c r="CK85" s="12">
        <f t="shared" si="74"/>
        <v>0</v>
      </c>
      <c r="CL85" s="12">
        <f t="shared" si="74"/>
        <v>0</v>
      </c>
      <c r="CM85" s="12">
        <f t="shared" si="74"/>
        <v>0</v>
      </c>
      <c r="CN85" s="12">
        <f t="shared" si="74"/>
        <v>0</v>
      </c>
    </row>
    <row r="86" spans="1:92" x14ac:dyDescent="0.2">
      <c r="A86" s="10"/>
      <c r="B86" s="10"/>
      <c r="C86" s="10" t="str">
        <f t="shared" si="71"/>
        <v>ITBI (% do terreno)</v>
      </c>
      <c r="D86" s="10"/>
      <c r="E86" s="10"/>
      <c r="F86" s="10"/>
      <c r="G86" s="10"/>
      <c r="H86" s="12">
        <f t="shared" si="61"/>
        <v>0</v>
      </c>
      <c r="I86" s="12">
        <f t="shared" ref="I86:AN86" si="75">-IF(AND(I$6&gt;=$E43,I$6&lt;EDATE($E43,$F43)),$H43/$F43,0)</f>
        <v>0</v>
      </c>
      <c r="J86" s="12">
        <f t="shared" si="75"/>
        <v>0</v>
      </c>
      <c r="K86" s="12">
        <f t="shared" si="75"/>
        <v>0</v>
      </c>
      <c r="L86" s="12">
        <f t="shared" si="75"/>
        <v>0</v>
      </c>
      <c r="M86" s="12">
        <f t="shared" si="75"/>
        <v>0</v>
      </c>
      <c r="N86" s="12">
        <f t="shared" si="75"/>
        <v>0</v>
      </c>
      <c r="O86" s="12">
        <f t="shared" si="75"/>
        <v>0</v>
      </c>
      <c r="P86" s="12">
        <f t="shared" si="75"/>
        <v>0</v>
      </c>
      <c r="Q86" s="12">
        <f t="shared" si="75"/>
        <v>0</v>
      </c>
      <c r="R86" s="12">
        <f t="shared" si="75"/>
        <v>0</v>
      </c>
      <c r="S86" s="12">
        <f t="shared" si="75"/>
        <v>0</v>
      </c>
      <c r="T86" s="12">
        <f t="shared" si="75"/>
        <v>0</v>
      </c>
      <c r="U86" s="12">
        <f t="shared" si="75"/>
        <v>0</v>
      </c>
      <c r="V86" s="12">
        <f t="shared" si="75"/>
        <v>0</v>
      </c>
      <c r="W86" s="12">
        <f t="shared" si="75"/>
        <v>0</v>
      </c>
      <c r="X86" s="12">
        <f t="shared" si="75"/>
        <v>0</v>
      </c>
      <c r="Y86" s="12">
        <f t="shared" si="75"/>
        <v>0</v>
      </c>
      <c r="Z86" s="12">
        <f t="shared" si="75"/>
        <v>0</v>
      </c>
      <c r="AA86" s="12">
        <f t="shared" si="75"/>
        <v>0</v>
      </c>
      <c r="AB86" s="12">
        <f t="shared" si="75"/>
        <v>0</v>
      </c>
      <c r="AC86" s="12">
        <f t="shared" si="75"/>
        <v>0</v>
      </c>
      <c r="AD86" s="12">
        <f t="shared" si="75"/>
        <v>0</v>
      </c>
      <c r="AE86" s="12">
        <f t="shared" si="75"/>
        <v>0</v>
      </c>
      <c r="AF86" s="12">
        <f t="shared" si="75"/>
        <v>0</v>
      </c>
      <c r="AG86" s="12">
        <f t="shared" si="75"/>
        <v>0</v>
      </c>
      <c r="AH86" s="12">
        <f t="shared" si="75"/>
        <v>0</v>
      </c>
      <c r="AI86" s="12">
        <f t="shared" si="75"/>
        <v>0</v>
      </c>
      <c r="AJ86" s="12">
        <f t="shared" si="75"/>
        <v>0</v>
      </c>
      <c r="AK86" s="12">
        <f t="shared" si="75"/>
        <v>0</v>
      </c>
      <c r="AL86" s="12">
        <f t="shared" si="75"/>
        <v>0</v>
      </c>
      <c r="AM86" s="12">
        <f t="shared" si="75"/>
        <v>0</v>
      </c>
      <c r="AN86" s="12">
        <f t="shared" si="75"/>
        <v>0</v>
      </c>
      <c r="AO86" s="12">
        <f t="shared" ref="AO86:BT86" si="76">-IF(AND(AO$6&gt;=$E43,AO$6&lt;EDATE($E43,$F43)),$H43/$F43,0)</f>
        <v>0</v>
      </c>
      <c r="AP86" s="12">
        <f t="shared" si="76"/>
        <v>0</v>
      </c>
      <c r="AQ86" s="12">
        <f t="shared" si="76"/>
        <v>0</v>
      </c>
      <c r="AR86" s="12">
        <f t="shared" si="76"/>
        <v>0</v>
      </c>
      <c r="AS86" s="12">
        <f t="shared" si="76"/>
        <v>0</v>
      </c>
      <c r="AT86" s="12">
        <f t="shared" si="76"/>
        <v>0</v>
      </c>
      <c r="AU86" s="12">
        <f t="shared" si="76"/>
        <v>0</v>
      </c>
      <c r="AV86" s="12">
        <f t="shared" si="76"/>
        <v>0</v>
      </c>
      <c r="AW86" s="12">
        <f t="shared" si="76"/>
        <v>0</v>
      </c>
      <c r="AX86" s="12">
        <f t="shared" si="76"/>
        <v>0</v>
      </c>
      <c r="AY86" s="12">
        <f t="shared" si="76"/>
        <v>0</v>
      </c>
      <c r="AZ86" s="12">
        <f t="shared" si="76"/>
        <v>0</v>
      </c>
      <c r="BA86" s="12">
        <f t="shared" si="76"/>
        <v>0</v>
      </c>
      <c r="BB86" s="12">
        <f t="shared" si="76"/>
        <v>0</v>
      </c>
      <c r="BC86" s="12">
        <f t="shared" si="76"/>
        <v>0</v>
      </c>
      <c r="BD86" s="12">
        <f t="shared" si="76"/>
        <v>0</v>
      </c>
      <c r="BE86" s="12">
        <f t="shared" si="76"/>
        <v>0</v>
      </c>
      <c r="BF86" s="12">
        <f t="shared" si="76"/>
        <v>0</v>
      </c>
      <c r="BG86" s="12">
        <f t="shared" si="76"/>
        <v>0</v>
      </c>
      <c r="BH86" s="12">
        <f t="shared" si="76"/>
        <v>0</v>
      </c>
      <c r="BI86" s="12">
        <f t="shared" si="76"/>
        <v>0</v>
      </c>
      <c r="BJ86" s="12">
        <f t="shared" si="76"/>
        <v>0</v>
      </c>
      <c r="BK86" s="12">
        <f t="shared" si="76"/>
        <v>0</v>
      </c>
      <c r="BL86" s="12">
        <f t="shared" si="76"/>
        <v>0</v>
      </c>
      <c r="BM86" s="12">
        <f t="shared" si="76"/>
        <v>0</v>
      </c>
      <c r="BN86" s="12">
        <f t="shared" si="76"/>
        <v>0</v>
      </c>
      <c r="BO86" s="12">
        <f t="shared" si="76"/>
        <v>0</v>
      </c>
      <c r="BP86" s="12">
        <f t="shared" si="76"/>
        <v>0</v>
      </c>
      <c r="BQ86" s="12">
        <f t="shared" si="76"/>
        <v>0</v>
      </c>
      <c r="BR86" s="12">
        <f t="shared" si="76"/>
        <v>0</v>
      </c>
      <c r="BS86" s="12">
        <f t="shared" si="76"/>
        <v>0</v>
      </c>
      <c r="BT86" s="12">
        <f t="shared" si="76"/>
        <v>0</v>
      </c>
      <c r="BU86" s="12">
        <f t="shared" ref="BU86:CN86" si="77">-IF(AND(BU$6&gt;=$E43,BU$6&lt;EDATE($E43,$F43)),$H43/$F43,0)</f>
        <v>0</v>
      </c>
      <c r="BV86" s="12">
        <f t="shared" si="77"/>
        <v>0</v>
      </c>
      <c r="BW86" s="12">
        <f t="shared" si="77"/>
        <v>0</v>
      </c>
      <c r="BX86" s="12">
        <f t="shared" si="77"/>
        <v>0</v>
      </c>
      <c r="BY86" s="12">
        <f t="shared" si="77"/>
        <v>0</v>
      </c>
      <c r="BZ86" s="12">
        <f t="shared" si="77"/>
        <v>0</v>
      </c>
      <c r="CA86" s="12">
        <f t="shared" si="77"/>
        <v>0</v>
      </c>
      <c r="CB86" s="12">
        <f t="shared" si="77"/>
        <v>0</v>
      </c>
      <c r="CC86" s="12">
        <f t="shared" si="77"/>
        <v>0</v>
      </c>
      <c r="CD86" s="12">
        <f t="shared" si="77"/>
        <v>0</v>
      </c>
      <c r="CE86" s="12">
        <f t="shared" si="77"/>
        <v>0</v>
      </c>
      <c r="CF86" s="12">
        <f t="shared" si="77"/>
        <v>0</v>
      </c>
      <c r="CG86" s="12">
        <f t="shared" si="77"/>
        <v>0</v>
      </c>
      <c r="CH86" s="12">
        <f t="shared" si="77"/>
        <v>0</v>
      </c>
      <c r="CI86" s="12">
        <f t="shared" si="77"/>
        <v>0</v>
      </c>
      <c r="CJ86" s="12">
        <f t="shared" si="77"/>
        <v>0</v>
      </c>
      <c r="CK86" s="12">
        <f t="shared" si="77"/>
        <v>0</v>
      </c>
      <c r="CL86" s="12">
        <f t="shared" si="77"/>
        <v>0</v>
      </c>
      <c r="CM86" s="12">
        <f t="shared" si="77"/>
        <v>0</v>
      </c>
      <c r="CN86" s="12">
        <f t="shared" si="77"/>
        <v>0</v>
      </c>
    </row>
    <row r="87" spans="1:92" x14ac:dyDescent="0.2">
      <c r="A87" s="10"/>
      <c r="B87" s="10"/>
      <c r="C87" s="10" t="str">
        <f t="shared" si="71"/>
        <v>IPTU + despesas iniciais (R$ mil)</v>
      </c>
      <c r="D87" s="10"/>
      <c r="E87" s="10"/>
      <c r="F87" s="10"/>
      <c r="G87" s="10"/>
      <c r="H87" s="12">
        <f t="shared" si="61"/>
        <v>-200.00000000000003</v>
      </c>
      <c r="I87" s="12">
        <f t="shared" ref="I87:AN87" si="78">-IF(AND(I$6&gt;=$E44,I$6&lt;EDATE($E44,$F44)),$H44/$F44,0)</f>
        <v>0</v>
      </c>
      <c r="J87" s="12">
        <f t="shared" si="78"/>
        <v>0</v>
      </c>
      <c r="K87" s="12">
        <f t="shared" si="78"/>
        <v>0</v>
      </c>
      <c r="L87" s="12">
        <f t="shared" si="78"/>
        <v>0</v>
      </c>
      <c r="M87" s="12">
        <f t="shared" si="78"/>
        <v>0</v>
      </c>
      <c r="N87" s="12">
        <f t="shared" si="78"/>
        <v>0</v>
      </c>
      <c r="O87" s="12">
        <f t="shared" si="78"/>
        <v>0</v>
      </c>
      <c r="P87" s="12">
        <f t="shared" si="78"/>
        <v>0</v>
      </c>
      <c r="Q87" s="12">
        <f t="shared" si="78"/>
        <v>0</v>
      </c>
      <c r="R87" s="12">
        <f t="shared" si="78"/>
        <v>0</v>
      </c>
      <c r="S87" s="12">
        <f t="shared" si="78"/>
        <v>0</v>
      </c>
      <c r="T87" s="12">
        <f t="shared" si="78"/>
        <v>0</v>
      </c>
      <c r="U87" s="12">
        <f t="shared" si="78"/>
        <v>-33.333333333333336</v>
      </c>
      <c r="V87" s="12">
        <f t="shared" si="78"/>
        <v>-33.333333333333336</v>
      </c>
      <c r="W87" s="12">
        <f t="shared" si="78"/>
        <v>-33.333333333333336</v>
      </c>
      <c r="X87" s="12">
        <f t="shared" si="78"/>
        <v>-33.333333333333336</v>
      </c>
      <c r="Y87" s="12">
        <f t="shared" si="78"/>
        <v>-33.333333333333336</v>
      </c>
      <c r="Z87" s="12">
        <f t="shared" si="78"/>
        <v>-33.333333333333336</v>
      </c>
      <c r="AA87" s="12">
        <f t="shared" si="78"/>
        <v>0</v>
      </c>
      <c r="AB87" s="12">
        <f t="shared" si="78"/>
        <v>0</v>
      </c>
      <c r="AC87" s="12">
        <f t="shared" si="78"/>
        <v>0</v>
      </c>
      <c r="AD87" s="12">
        <f t="shared" si="78"/>
        <v>0</v>
      </c>
      <c r="AE87" s="12">
        <f t="shared" si="78"/>
        <v>0</v>
      </c>
      <c r="AF87" s="12">
        <f t="shared" si="78"/>
        <v>0</v>
      </c>
      <c r="AG87" s="12">
        <f t="shared" si="78"/>
        <v>0</v>
      </c>
      <c r="AH87" s="12">
        <f t="shared" si="78"/>
        <v>0</v>
      </c>
      <c r="AI87" s="12">
        <f t="shared" si="78"/>
        <v>0</v>
      </c>
      <c r="AJ87" s="12">
        <f t="shared" si="78"/>
        <v>0</v>
      </c>
      <c r="AK87" s="12">
        <f t="shared" si="78"/>
        <v>0</v>
      </c>
      <c r="AL87" s="12">
        <f t="shared" si="78"/>
        <v>0</v>
      </c>
      <c r="AM87" s="12">
        <f t="shared" si="78"/>
        <v>0</v>
      </c>
      <c r="AN87" s="12">
        <f t="shared" si="78"/>
        <v>0</v>
      </c>
      <c r="AO87" s="12">
        <f t="shared" ref="AO87:BT87" si="79">-IF(AND(AO$6&gt;=$E44,AO$6&lt;EDATE($E44,$F44)),$H44/$F44,0)</f>
        <v>0</v>
      </c>
      <c r="AP87" s="12">
        <f t="shared" si="79"/>
        <v>0</v>
      </c>
      <c r="AQ87" s="12">
        <f t="shared" si="79"/>
        <v>0</v>
      </c>
      <c r="AR87" s="12">
        <f t="shared" si="79"/>
        <v>0</v>
      </c>
      <c r="AS87" s="12">
        <f t="shared" si="79"/>
        <v>0</v>
      </c>
      <c r="AT87" s="12">
        <f t="shared" si="79"/>
        <v>0</v>
      </c>
      <c r="AU87" s="12">
        <f t="shared" si="79"/>
        <v>0</v>
      </c>
      <c r="AV87" s="12">
        <f t="shared" si="79"/>
        <v>0</v>
      </c>
      <c r="AW87" s="12">
        <f t="shared" si="79"/>
        <v>0</v>
      </c>
      <c r="AX87" s="12">
        <f t="shared" si="79"/>
        <v>0</v>
      </c>
      <c r="AY87" s="12">
        <f t="shared" si="79"/>
        <v>0</v>
      </c>
      <c r="AZ87" s="12">
        <f t="shared" si="79"/>
        <v>0</v>
      </c>
      <c r="BA87" s="12">
        <f t="shared" si="79"/>
        <v>0</v>
      </c>
      <c r="BB87" s="12">
        <f t="shared" si="79"/>
        <v>0</v>
      </c>
      <c r="BC87" s="12">
        <f t="shared" si="79"/>
        <v>0</v>
      </c>
      <c r="BD87" s="12">
        <f t="shared" si="79"/>
        <v>0</v>
      </c>
      <c r="BE87" s="12">
        <f t="shared" si="79"/>
        <v>0</v>
      </c>
      <c r="BF87" s="12">
        <f t="shared" si="79"/>
        <v>0</v>
      </c>
      <c r="BG87" s="12">
        <f t="shared" si="79"/>
        <v>0</v>
      </c>
      <c r="BH87" s="12">
        <f t="shared" si="79"/>
        <v>0</v>
      </c>
      <c r="BI87" s="12">
        <f t="shared" si="79"/>
        <v>0</v>
      </c>
      <c r="BJ87" s="12">
        <f t="shared" si="79"/>
        <v>0</v>
      </c>
      <c r="BK87" s="12">
        <f t="shared" si="79"/>
        <v>0</v>
      </c>
      <c r="BL87" s="12">
        <f t="shared" si="79"/>
        <v>0</v>
      </c>
      <c r="BM87" s="12">
        <f t="shared" si="79"/>
        <v>0</v>
      </c>
      <c r="BN87" s="12">
        <f t="shared" si="79"/>
        <v>0</v>
      </c>
      <c r="BO87" s="12">
        <f t="shared" si="79"/>
        <v>0</v>
      </c>
      <c r="BP87" s="12">
        <f t="shared" si="79"/>
        <v>0</v>
      </c>
      <c r="BQ87" s="12">
        <f t="shared" si="79"/>
        <v>0</v>
      </c>
      <c r="BR87" s="12">
        <f t="shared" si="79"/>
        <v>0</v>
      </c>
      <c r="BS87" s="12">
        <f t="shared" si="79"/>
        <v>0</v>
      </c>
      <c r="BT87" s="12">
        <f t="shared" si="79"/>
        <v>0</v>
      </c>
      <c r="BU87" s="12">
        <f t="shared" ref="BU87:CN87" si="80">-IF(AND(BU$6&gt;=$E44,BU$6&lt;EDATE($E44,$F44)),$H44/$F44,0)</f>
        <v>0</v>
      </c>
      <c r="BV87" s="12">
        <f t="shared" si="80"/>
        <v>0</v>
      </c>
      <c r="BW87" s="12">
        <f t="shared" si="80"/>
        <v>0</v>
      </c>
      <c r="BX87" s="12">
        <f t="shared" si="80"/>
        <v>0</v>
      </c>
      <c r="BY87" s="12">
        <f t="shared" si="80"/>
        <v>0</v>
      </c>
      <c r="BZ87" s="12">
        <f t="shared" si="80"/>
        <v>0</v>
      </c>
      <c r="CA87" s="12">
        <f t="shared" si="80"/>
        <v>0</v>
      </c>
      <c r="CB87" s="12">
        <f t="shared" si="80"/>
        <v>0</v>
      </c>
      <c r="CC87" s="12">
        <f t="shared" si="80"/>
        <v>0</v>
      </c>
      <c r="CD87" s="12">
        <f t="shared" si="80"/>
        <v>0</v>
      </c>
      <c r="CE87" s="12">
        <f t="shared" si="80"/>
        <v>0</v>
      </c>
      <c r="CF87" s="12">
        <f t="shared" si="80"/>
        <v>0</v>
      </c>
      <c r="CG87" s="12">
        <f t="shared" si="80"/>
        <v>0</v>
      </c>
      <c r="CH87" s="12">
        <f t="shared" si="80"/>
        <v>0</v>
      </c>
      <c r="CI87" s="12">
        <f t="shared" si="80"/>
        <v>0</v>
      </c>
      <c r="CJ87" s="12">
        <f t="shared" si="80"/>
        <v>0</v>
      </c>
      <c r="CK87" s="12">
        <f t="shared" si="80"/>
        <v>0</v>
      </c>
      <c r="CL87" s="12">
        <f t="shared" si="80"/>
        <v>0</v>
      </c>
      <c r="CM87" s="12">
        <f t="shared" si="80"/>
        <v>0</v>
      </c>
      <c r="CN87" s="12">
        <f t="shared" si="80"/>
        <v>0</v>
      </c>
    </row>
    <row r="88" spans="1:92" x14ac:dyDescent="0.2">
      <c r="A88" s="10"/>
      <c r="B88" s="10"/>
      <c r="C88" s="10" t="str">
        <f t="shared" si="71"/>
        <v>Custo de incorporação / projetos (R$ mil)</v>
      </c>
      <c r="D88" s="10"/>
      <c r="E88" s="10"/>
      <c r="F88" s="10"/>
      <c r="G88" s="10"/>
      <c r="H88" s="12">
        <f t="shared" si="61"/>
        <v>-1000.0000000000001</v>
      </c>
      <c r="I88" s="12">
        <f t="shared" ref="I88:AN88" si="81">-IF(AND(I$6&gt;=$E45,I$6&lt;EDATE($E45,$F45)),$H45/$F45,0)</f>
        <v>0</v>
      </c>
      <c r="J88" s="12">
        <f t="shared" si="81"/>
        <v>0</v>
      </c>
      <c r="K88" s="12">
        <f t="shared" si="81"/>
        <v>0</v>
      </c>
      <c r="L88" s="12">
        <f t="shared" si="81"/>
        <v>-83.333333333333329</v>
      </c>
      <c r="M88" s="12">
        <f t="shared" si="81"/>
        <v>-83.333333333333329</v>
      </c>
      <c r="N88" s="12">
        <f t="shared" si="81"/>
        <v>-83.333333333333329</v>
      </c>
      <c r="O88" s="12">
        <f t="shared" si="81"/>
        <v>-83.333333333333329</v>
      </c>
      <c r="P88" s="12">
        <f t="shared" si="81"/>
        <v>-83.333333333333329</v>
      </c>
      <c r="Q88" s="12">
        <f t="shared" si="81"/>
        <v>-83.333333333333329</v>
      </c>
      <c r="R88" s="12">
        <f t="shared" si="81"/>
        <v>-83.333333333333329</v>
      </c>
      <c r="S88" s="12">
        <f t="shared" si="81"/>
        <v>-83.333333333333329</v>
      </c>
      <c r="T88" s="12">
        <f t="shared" si="81"/>
        <v>-83.333333333333329</v>
      </c>
      <c r="U88" s="12">
        <f t="shared" si="81"/>
        <v>-83.333333333333329</v>
      </c>
      <c r="V88" s="12">
        <f t="shared" si="81"/>
        <v>-83.333333333333329</v>
      </c>
      <c r="W88" s="12">
        <f t="shared" si="81"/>
        <v>-83.333333333333329</v>
      </c>
      <c r="X88" s="12">
        <f t="shared" si="81"/>
        <v>0</v>
      </c>
      <c r="Y88" s="12">
        <f t="shared" si="81"/>
        <v>0</v>
      </c>
      <c r="Z88" s="12">
        <f t="shared" si="81"/>
        <v>0</v>
      </c>
      <c r="AA88" s="12">
        <f t="shared" si="81"/>
        <v>0</v>
      </c>
      <c r="AB88" s="12">
        <f t="shared" si="81"/>
        <v>0</v>
      </c>
      <c r="AC88" s="12">
        <f t="shared" si="81"/>
        <v>0</v>
      </c>
      <c r="AD88" s="12">
        <f t="shared" si="81"/>
        <v>0</v>
      </c>
      <c r="AE88" s="12">
        <f t="shared" si="81"/>
        <v>0</v>
      </c>
      <c r="AF88" s="12">
        <f t="shared" si="81"/>
        <v>0</v>
      </c>
      <c r="AG88" s="12">
        <f t="shared" si="81"/>
        <v>0</v>
      </c>
      <c r="AH88" s="12">
        <f t="shared" si="81"/>
        <v>0</v>
      </c>
      <c r="AI88" s="12">
        <f t="shared" si="81"/>
        <v>0</v>
      </c>
      <c r="AJ88" s="12">
        <f t="shared" si="81"/>
        <v>0</v>
      </c>
      <c r="AK88" s="12">
        <f t="shared" si="81"/>
        <v>0</v>
      </c>
      <c r="AL88" s="12">
        <f t="shared" si="81"/>
        <v>0</v>
      </c>
      <c r="AM88" s="12">
        <f t="shared" si="81"/>
        <v>0</v>
      </c>
      <c r="AN88" s="12">
        <f t="shared" si="81"/>
        <v>0</v>
      </c>
      <c r="AO88" s="12">
        <f t="shared" ref="AO88:BT88" si="82">-IF(AND(AO$6&gt;=$E45,AO$6&lt;EDATE($E45,$F45)),$H45/$F45,0)</f>
        <v>0</v>
      </c>
      <c r="AP88" s="12">
        <f t="shared" si="82"/>
        <v>0</v>
      </c>
      <c r="AQ88" s="12">
        <f t="shared" si="82"/>
        <v>0</v>
      </c>
      <c r="AR88" s="12">
        <f t="shared" si="82"/>
        <v>0</v>
      </c>
      <c r="AS88" s="12">
        <f t="shared" si="82"/>
        <v>0</v>
      </c>
      <c r="AT88" s="12">
        <f t="shared" si="82"/>
        <v>0</v>
      </c>
      <c r="AU88" s="12">
        <f t="shared" si="82"/>
        <v>0</v>
      </c>
      <c r="AV88" s="12">
        <f t="shared" si="82"/>
        <v>0</v>
      </c>
      <c r="AW88" s="12">
        <f t="shared" si="82"/>
        <v>0</v>
      </c>
      <c r="AX88" s="12">
        <f t="shared" si="82"/>
        <v>0</v>
      </c>
      <c r="AY88" s="12">
        <f t="shared" si="82"/>
        <v>0</v>
      </c>
      <c r="AZ88" s="12">
        <f t="shared" si="82"/>
        <v>0</v>
      </c>
      <c r="BA88" s="12">
        <f t="shared" si="82"/>
        <v>0</v>
      </c>
      <c r="BB88" s="12">
        <f t="shared" si="82"/>
        <v>0</v>
      </c>
      <c r="BC88" s="12">
        <f t="shared" si="82"/>
        <v>0</v>
      </c>
      <c r="BD88" s="12">
        <f t="shared" si="82"/>
        <v>0</v>
      </c>
      <c r="BE88" s="12">
        <f t="shared" si="82"/>
        <v>0</v>
      </c>
      <c r="BF88" s="12">
        <f t="shared" si="82"/>
        <v>0</v>
      </c>
      <c r="BG88" s="12">
        <f t="shared" si="82"/>
        <v>0</v>
      </c>
      <c r="BH88" s="12">
        <f t="shared" si="82"/>
        <v>0</v>
      </c>
      <c r="BI88" s="12">
        <f t="shared" si="82"/>
        <v>0</v>
      </c>
      <c r="BJ88" s="12">
        <f t="shared" si="82"/>
        <v>0</v>
      </c>
      <c r="BK88" s="12">
        <f t="shared" si="82"/>
        <v>0</v>
      </c>
      <c r="BL88" s="12">
        <f t="shared" si="82"/>
        <v>0</v>
      </c>
      <c r="BM88" s="12">
        <f t="shared" si="82"/>
        <v>0</v>
      </c>
      <c r="BN88" s="12">
        <f t="shared" si="82"/>
        <v>0</v>
      </c>
      <c r="BO88" s="12">
        <f t="shared" si="82"/>
        <v>0</v>
      </c>
      <c r="BP88" s="12">
        <f t="shared" si="82"/>
        <v>0</v>
      </c>
      <c r="BQ88" s="12">
        <f t="shared" si="82"/>
        <v>0</v>
      </c>
      <c r="BR88" s="12">
        <f t="shared" si="82"/>
        <v>0</v>
      </c>
      <c r="BS88" s="12">
        <f t="shared" si="82"/>
        <v>0</v>
      </c>
      <c r="BT88" s="12">
        <f t="shared" si="82"/>
        <v>0</v>
      </c>
      <c r="BU88" s="12">
        <f t="shared" ref="BU88:CN88" si="83">-IF(AND(BU$6&gt;=$E45,BU$6&lt;EDATE($E45,$F45)),$H45/$F45,0)</f>
        <v>0</v>
      </c>
      <c r="BV88" s="12">
        <f t="shared" si="83"/>
        <v>0</v>
      </c>
      <c r="BW88" s="12">
        <f t="shared" si="83"/>
        <v>0</v>
      </c>
      <c r="BX88" s="12">
        <f t="shared" si="83"/>
        <v>0</v>
      </c>
      <c r="BY88" s="12">
        <f t="shared" si="83"/>
        <v>0</v>
      </c>
      <c r="BZ88" s="12">
        <f t="shared" si="83"/>
        <v>0</v>
      </c>
      <c r="CA88" s="12">
        <f t="shared" si="83"/>
        <v>0</v>
      </c>
      <c r="CB88" s="12">
        <f t="shared" si="83"/>
        <v>0</v>
      </c>
      <c r="CC88" s="12">
        <f t="shared" si="83"/>
        <v>0</v>
      </c>
      <c r="CD88" s="12">
        <f t="shared" si="83"/>
        <v>0</v>
      </c>
      <c r="CE88" s="12">
        <f t="shared" si="83"/>
        <v>0</v>
      </c>
      <c r="CF88" s="12">
        <f t="shared" si="83"/>
        <v>0</v>
      </c>
      <c r="CG88" s="12">
        <f t="shared" si="83"/>
        <v>0</v>
      </c>
      <c r="CH88" s="12">
        <f t="shared" si="83"/>
        <v>0</v>
      </c>
      <c r="CI88" s="12">
        <f t="shared" si="83"/>
        <v>0</v>
      </c>
      <c r="CJ88" s="12">
        <f t="shared" si="83"/>
        <v>0</v>
      </c>
      <c r="CK88" s="12">
        <f t="shared" si="83"/>
        <v>0</v>
      </c>
      <c r="CL88" s="12">
        <f t="shared" si="83"/>
        <v>0</v>
      </c>
      <c r="CM88" s="12">
        <f t="shared" si="83"/>
        <v>0</v>
      </c>
      <c r="CN88" s="12">
        <f t="shared" si="83"/>
        <v>0</v>
      </c>
    </row>
    <row r="89" spans="1:92" x14ac:dyDescent="0.2">
      <c r="A89" s="10"/>
      <c r="B89" s="10"/>
      <c r="C89" s="10" t="str">
        <f t="shared" si="71"/>
        <v>Jurídico (R$ mil)</v>
      </c>
      <c r="D89" s="10"/>
      <c r="E89" s="10"/>
      <c r="F89" s="10"/>
      <c r="G89" s="10"/>
      <c r="H89" s="12">
        <f t="shared" si="61"/>
        <v>-199.99999999999997</v>
      </c>
      <c r="I89" s="12">
        <f t="shared" ref="I89:AN89" si="84">-IF(AND(I$6&gt;=$E46,I$6&lt;EDATE($E46,$F46)),$H46/$F46,0)</f>
        <v>0</v>
      </c>
      <c r="J89" s="12">
        <f t="shared" si="84"/>
        <v>0</v>
      </c>
      <c r="K89" s="12">
        <f t="shared" si="84"/>
        <v>0</v>
      </c>
      <c r="L89" s="12">
        <f t="shared" si="84"/>
        <v>-16.666666666666668</v>
      </c>
      <c r="M89" s="12">
        <f t="shared" si="84"/>
        <v>-16.666666666666668</v>
      </c>
      <c r="N89" s="12">
        <f t="shared" si="84"/>
        <v>-16.666666666666668</v>
      </c>
      <c r="O89" s="12">
        <f t="shared" si="84"/>
        <v>-16.666666666666668</v>
      </c>
      <c r="P89" s="12">
        <f t="shared" si="84"/>
        <v>-16.666666666666668</v>
      </c>
      <c r="Q89" s="12">
        <f t="shared" si="84"/>
        <v>-16.666666666666668</v>
      </c>
      <c r="R89" s="12">
        <f t="shared" si="84"/>
        <v>-16.666666666666668</v>
      </c>
      <c r="S89" s="12">
        <f t="shared" si="84"/>
        <v>-16.666666666666668</v>
      </c>
      <c r="T89" s="12">
        <f t="shared" si="84"/>
        <v>-16.666666666666668</v>
      </c>
      <c r="U89" s="12">
        <f t="shared" si="84"/>
        <v>-16.666666666666668</v>
      </c>
      <c r="V89" s="12">
        <f t="shared" si="84"/>
        <v>-16.666666666666668</v>
      </c>
      <c r="W89" s="12">
        <f t="shared" si="84"/>
        <v>-16.666666666666668</v>
      </c>
      <c r="X89" s="12">
        <f t="shared" si="84"/>
        <v>0</v>
      </c>
      <c r="Y89" s="12">
        <f t="shared" si="84"/>
        <v>0</v>
      </c>
      <c r="Z89" s="12">
        <f t="shared" si="84"/>
        <v>0</v>
      </c>
      <c r="AA89" s="12">
        <f t="shared" si="84"/>
        <v>0</v>
      </c>
      <c r="AB89" s="12">
        <f t="shared" si="84"/>
        <v>0</v>
      </c>
      <c r="AC89" s="12">
        <f t="shared" si="84"/>
        <v>0</v>
      </c>
      <c r="AD89" s="12">
        <f t="shared" si="84"/>
        <v>0</v>
      </c>
      <c r="AE89" s="12">
        <f t="shared" si="84"/>
        <v>0</v>
      </c>
      <c r="AF89" s="12">
        <f t="shared" si="84"/>
        <v>0</v>
      </c>
      <c r="AG89" s="12">
        <f t="shared" si="84"/>
        <v>0</v>
      </c>
      <c r="AH89" s="12">
        <f t="shared" si="84"/>
        <v>0</v>
      </c>
      <c r="AI89" s="12">
        <f t="shared" si="84"/>
        <v>0</v>
      </c>
      <c r="AJ89" s="12">
        <f t="shared" si="84"/>
        <v>0</v>
      </c>
      <c r="AK89" s="12">
        <f t="shared" si="84"/>
        <v>0</v>
      </c>
      <c r="AL89" s="12">
        <f t="shared" si="84"/>
        <v>0</v>
      </c>
      <c r="AM89" s="12">
        <f t="shared" si="84"/>
        <v>0</v>
      </c>
      <c r="AN89" s="12">
        <f t="shared" si="84"/>
        <v>0</v>
      </c>
      <c r="AO89" s="12">
        <f t="shared" ref="AO89:BT89" si="85">-IF(AND(AO$6&gt;=$E46,AO$6&lt;EDATE($E46,$F46)),$H46/$F46,0)</f>
        <v>0</v>
      </c>
      <c r="AP89" s="12">
        <f t="shared" si="85"/>
        <v>0</v>
      </c>
      <c r="AQ89" s="12">
        <f t="shared" si="85"/>
        <v>0</v>
      </c>
      <c r="AR89" s="12">
        <f t="shared" si="85"/>
        <v>0</v>
      </c>
      <c r="AS89" s="12">
        <f t="shared" si="85"/>
        <v>0</v>
      </c>
      <c r="AT89" s="12">
        <f t="shared" si="85"/>
        <v>0</v>
      </c>
      <c r="AU89" s="12">
        <f t="shared" si="85"/>
        <v>0</v>
      </c>
      <c r="AV89" s="12">
        <f t="shared" si="85"/>
        <v>0</v>
      </c>
      <c r="AW89" s="12">
        <f t="shared" si="85"/>
        <v>0</v>
      </c>
      <c r="AX89" s="12">
        <f t="shared" si="85"/>
        <v>0</v>
      </c>
      <c r="AY89" s="12">
        <f t="shared" si="85"/>
        <v>0</v>
      </c>
      <c r="AZ89" s="12">
        <f t="shared" si="85"/>
        <v>0</v>
      </c>
      <c r="BA89" s="12">
        <f t="shared" si="85"/>
        <v>0</v>
      </c>
      <c r="BB89" s="12">
        <f t="shared" si="85"/>
        <v>0</v>
      </c>
      <c r="BC89" s="12">
        <f t="shared" si="85"/>
        <v>0</v>
      </c>
      <c r="BD89" s="12">
        <f t="shared" si="85"/>
        <v>0</v>
      </c>
      <c r="BE89" s="12">
        <f t="shared" si="85"/>
        <v>0</v>
      </c>
      <c r="BF89" s="12">
        <f t="shared" si="85"/>
        <v>0</v>
      </c>
      <c r="BG89" s="12">
        <f t="shared" si="85"/>
        <v>0</v>
      </c>
      <c r="BH89" s="12">
        <f t="shared" si="85"/>
        <v>0</v>
      </c>
      <c r="BI89" s="12">
        <f t="shared" si="85"/>
        <v>0</v>
      </c>
      <c r="BJ89" s="12">
        <f t="shared" si="85"/>
        <v>0</v>
      </c>
      <c r="BK89" s="12">
        <f t="shared" si="85"/>
        <v>0</v>
      </c>
      <c r="BL89" s="12">
        <f t="shared" si="85"/>
        <v>0</v>
      </c>
      <c r="BM89" s="12">
        <f t="shared" si="85"/>
        <v>0</v>
      </c>
      <c r="BN89" s="12">
        <f t="shared" si="85"/>
        <v>0</v>
      </c>
      <c r="BO89" s="12">
        <f t="shared" si="85"/>
        <v>0</v>
      </c>
      <c r="BP89" s="12">
        <f t="shared" si="85"/>
        <v>0</v>
      </c>
      <c r="BQ89" s="12">
        <f t="shared" si="85"/>
        <v>0</v>
      </c>
      <c r="BR89" s="12">
        <f t="shared" si="85"/>
        <v>0</v>
      </c>
      <c r="BS89" s="12">
        <f t="shared" si="85"/>
        <v>0</v>
      </c>
      <c r="BT89" s="12">
        <f t="shared" si="85"/>
        <v>0</v>
      </c>
      <c r="BU89" s="12">
        <f t="shared" ref="BU89:CN89" si="86">-IF(AND(BU$6&gt;=$E46,BU$6&lt;EDATE($E46,$F46)),$H46/$F46,0)</f>
        <v>0</v>
      </c>
      <c r="BV89" s="12">
        <f t="shared" si="86"/>
        <v>0</v>
      </c>
      <c r="BW89" s="12">
        <f t="shared" si="86"/>
        <v>0</v>
      </c>
      <c r="BX89" s="12">
        <f t="shared" si="86"/>
        <v>0</v>
      </c>
      <c r="BY89" s="12">
        <f t="shared" si="86"/>
        <v>0</v>
      </c>
      <c r="BZ89" s="12">
        <f t="shared" si="86"/>
        <v>0</v>
      </c>
      <c r="CA89" s="12">
        <f t="shared" si="86"/>
        <v>0</v>
      </c>
      <c r="CB89" s="12">
        <f t="shared" si="86"/>
        <v>0</v>
      </c>
      <c r="CC89" s="12">
        <f t="shared" si="86"/>
        <v>0</v>
      </c>
      <c r="CD89" s="12">
        <f t="shared" si="86"/>
        <v>0</v>
      </c>
      <c r="CE89" s="12">
        <f t="shared" si="86"/>
        <v>0</v>
      </c>
      <c r="CF89" s="12">
        <f t="shared" si="86"/>
        <v>0</v>
      </c>
      <c r="CG89" s="12">
        <f t="shared" si="86"/>
        <v>0</v>
      </c>
      <c r="CH89" s="12">
        <f t="shared" si="86"/>
        <v>0</v>
      </c>
      <c r="CI89" s="12">
        <f t="shared" si="86"/>
        <v>0</v>
      </c>
      <c r="CJ89" s="12">
        <f t="shared" si="86"/>
        <v>0</v>
      </c>
      <c r="CK89" s="12">
        <f t="shared" si="86"/>
        <v>0</v>
      </c>
      <c r="CL89" s="12">
        <f t="shared" si="86"/>
        <v>0</v>
      </c>
      <c r="CM89" s="12">
        <f t="shared" si="86"/>
        <v>0</v>
      </c>
      <c r="CN89" s="12">
        <f t="shared" si="86"/>
        <v>0</v>
      </c>
    </row>
    <row r="90" spans="1:92" x14ac:dyDescent="0.2">
      <c r="A90" s="10"/>
      <c r="B90" s="10"/>
      <c r="C90" s="10" t="str">
        <f t="shared" si="71"/>
        <v>Aprovações (R$ mil)</v>
      </c>
      <c r="D90" s="10"/>
      <c r="E90" s="10"/>
      <c r="F90" s="10"/>
      <c r="G90" s="10"/>
      <c r="H90" s="12">
        <f t="shared" si="61"/>
        <v>-300</v>
      </c>
      <c r="I90" s="12">
        <f t="shared" ref="I90:AN90" si="87">-IF(AND(I$6&gt;=$E47,I$6&lt;EDATE($E47,$F47)),$H47/$F47,0)</f>
        <v>0</v>
      </c>
      <c r="J90" s="12">
        <f t="shared" si="87"/>
        <v>0</v>
      </c>
      <c r="K90" s="12">
        <f t="shared" si="87"/>
        <v>0</v>
      </c>
      <c r="L90" s="12">
        <f t="shared" si="87"/>
        <v>-50</v>
      </c>
      <c r="M90" s="12">
        <f t="shared" si="87"/>
        <v>-50</v>
      </c>
      <c r="N90" s="12">
        <f t="shared" si="87"/>
        <v>-50</v>
      </c>
      <c r="O90" s="12">
        <f t="shared" si="87"/>
        <v>-50</v>
      </c>
      <c r="P90" s="12">
        <f t="shared" si="87"/>
        <v>-50</v>
      </c>
      <c r="Q90" s="12">
        <f t="shared" si="87"/>
        <v>-50</v>
      </c>
      <c r="R90" s="12">
        <f t="shared" si="87"/>
        <v>0</v>
      </c>
      <c r="S90" s="12">
        <f t="shared" si="87"/>
        <v>0</v>
      </c>
      <c r="T90" s="12">
        <f t="shared" si="87"/>
        <v>0</v>
      </c>
      <c r="U90" s="12">
        <f t="shared" si="87"/>
        <v>0</v>
      </c>
      <c r="V90" s="12">
        <f t="shared" si="87"/>
        <v>0</v>
      </c>
      <c r="W90" s="12">
        <f t="shared" si="87"/>
        <v>0</v>
      </c>
      <c r="X90" s="12">
        <f t="shared" si="87"/>
        <v>0</v>
      </c>
      <c r="Y90" s="12">
        <f t="shared" si="87"/>
        <v>0</v>
      </c>
      <c r="Z90" s="12">
        <f t="shared" si="87"/>
        <v>0</v>
      </c>
      <c r="AA90" s="12">
        <f t="shared" si="87"/>
        <v>0</v>
      </c>
      <c r="AB90" s="12">
        <f t="shared" si="87"/>
        <v>0</v>
      </c>
      <c r="AC90" s="12">
        <f t="shared" si="87"/>
        <v>0</v>
      </c>
      <c r="AD90" s="12">
        <f t="shared" si="87"/>
        <v>0</v>
      </c>
      <c r="AE90" s="12">
        <f t="shared" si="87"/>
        <v>0</v>
      </c>
      <c r="AF90" s="12">
        <f t="shared" si="87"/>
        <v>0</v>
      </c>
      <c r="AG90" s="12">
        <f t="shared" si="87"/>
        <v>0</v>
      </c>
      <c r="AH90" s="12">
        <f t="shared" si="87"/>
        <v>0</v>
      </c>
      <c r="AI90" s="12">
        <f t="shared" si="87"/>
        <v>0</v>
      </c>
      <c r="AJ90" s="12">
        <f t="shared" si="87"/>
        <v>0</v>
      </c>
      <c r="AK90" s="12">
        <f t="shared" si="87"/>
        <v>0</v>
      </c>
      <c r="AL90" s="12">
        <f t="shared" si="87"/>
        <v>0</v>
      </c>
      <c r="AM90" s="12">
        <f t="shared" si="87"/>
        <v>0</v>
      </c>
      <c r="AN90" s="12">
        <f t="shared" si="87"/>
        <v>0</v>
      </c>
      <c r="AO90" s="12">
        <f t="shared" ref="AO90:BT90" si="88">-IF(AND(AO$6&gt;=$E47,AO$6&lt;EDATE($E47,$F47)),$H47/$F47,0)</f>
        <v>0</v>
      </c>
      <c r="AP90" s="12">
        <f t="shared" si="88"/>
        <v>0</v>
      </c>
      <c r="AQ90" s="12">
        <f t="shared" si="88"/>
        <v>0</v>
      </c>
      <c r="AR90" s="12">
        <f t="shared" si="88"/>
        <v>0</v>
      </c>
      <c r="AS90" s="12">
        <f t="shared" si="88"/>
        <v>0</v>
      </c>
      <c r="AT90" s="12">
        <f t="shared" si="88"/>
        <v>0</v>
      </c>
      <c r="AU90" s="12">
        <f t="shared" si="88"/>
        <v>0</v>
      </c>
      <c r="AV90" s="12">
        <f t="shared" si="88"/>
        <v>0</v>
      </c>
      <c r="AW90" s="12">
        <f t="shared" si="88"/>
        <v>0</v>
      </c>
      <c r="AX90" s="12">
        <f t="shared" si="88"/>
        <v>0</v>
      </c>
      <c r="AY90" s="12">
        <f t="shared" si="88"/>
        <v>0</v>
      </c>
      <c r="AZ90" s="12">
        <f t="shared" si="88"/>
        <v>0</v>
      </c>
      <c r="BA90" s="12">
        <f t="shared" si="88"/>
        <v>0</v>
      </c>
      <c r="BB90" s="12">
        <f t="shared" si="88"/>
        <v>0</v>
      </c>
      <c r="BC90" s="12">
        <f t="shared" si="88"/>
        <v>0</v>
      </c>
      <c r="BD90" s="12">
        <f t="shared" si="88"/>
        <v>0</v>
      </c>
      <c r="BE90" s="12">
        <f t="shared" si="88"/>
        <v>0</v>
      </c>
      <c r="BF90" s="12">
        <f t="shared" si="88"/>
        <v>0</v>
      </c>
      <c r="BG90" s="12">
        <f t="shared" si="88"/>
        <v>0</v>
      </c>
      <c r="BH90" s="12">
        <f t="shared" si="88"/>
        <v>0</v>
      </c>
      <c r="BI90" s="12">
        <f t="shared" si="88"/>
        <v>0</v>
      </c>
      <c r="BJ90" s="12">
        <f t="shared" si="88"/>
        <v>0</v>
      </c>
      <c r="BK90" s="12">
        <f t="shared" si="88"/>
        <v>0</v>
      </c>
      <c r="BL90" s="12">
        <f t="shared" si="88"/>
        <v>0</v>
      </c>
      <c r="BM90" s="12">
        <f t="shared" si="88"/>
        <v>0</v>
      </c>
      <c r="BN90" s="12">
        <f t="shared" si="88"/>
        <v>0</v>
      </c>
      <c r="BO90" s="12">
        <f t="shared" si="88"/>
        <v>0</v>
      </c>
      <c r="BP90" s="12">
        <f t="shared" si="88"/>
        <v>0</v>
      </c>
      <c r="BQ90" s="12">
        <f t="shared" si="88"/>
        <v>0</v>
      </c>
      <c r="BR90" s="12">
        <f t="shared" si="88"/>
        <v>0</v>
      </c>
      <c r="BS90" s="12">
        <f t="shared" si="88"/>
        <v>0</v>
      </c>
      <c r="BT90" s="12">
        <f t="shared" si="88"/>
        <v>0</v>
      </c>
      <c r="BU90" s="12">
        <f t="shared" ref="BU90:CN90" si="89">-IF(AND(BU$6&gt;=$E47,BU$6&lt;EDATE($E47,$F47)),$H47/$F47,0)</f>
        <v>0</v>
      </c>
      <c r="BV90" s="12">
        <f t="shared" si="89"/>
        <v>0</v>
      </c>
      <c r="BW90" s="12">
        <f t="shared" si="89"/>
        <v>0</v>
      </c>
      <c r="BX90" s="12">
        <f t="shared" si="89"/>
        <v>0</v>
      </c>
      <c r="BY90" s="12">
        <f t="shared" si="89"/>
        <v>0</v>
      </c>
      <c r="BZ90" s="12">
        <f t="shared" si="89"/>
        <v>0</v>
      </c>
      <c r="CA90" s="12">
        <f t="shared" si="89"/>
        <v>0</v>
      </c>
      <c r="CB90" s="12">
        <f t="shared" si="89"/>
        <v>0</v>
      </c>
      <c r="CC90" s="12">
        <f t="shared" si="89"/>
        <v>0</v>
      </c>
      <c r="CD90" s="12">
        <f t="shared" si="89"/>
        <v>0</v>
      </c>
      <c r="CE90" s="12">
        <f t="shared" si="89"/>
        <v>0</v>
      </c>
      <c r="CF90" s="12">
        <f t="shared" si="89"/>
        <v>0</v>
      </c>
      <c r="CG90" s="12">
        <f t="shared" si="89"/>
        <v>0</v>
      </c>
      <c r="CH90" s="12">
        <f t="shared" si="89"/>
        <v>0</v>
      </c>
      <c r="CI90" s="12">
        <f t="shared" si="89"/>
        <v>0</v>
      </c>
      <c r="CJ90" s="12">
        <f t="shared" si="89"/>
        <v>0</v>
      </c>
      <c r="CK90" s="12">
        <f t="shared" si="89"/>
        <v>0</v>
      </c>
      <c r="CL90" s="12">
        <f t="shared" si="89"/>
        <v>0</v>
      </c>
      <c r="CM90" s="12">
        <f t="shared" si="89"/>
        <v>0</v>
      </c>
      <c r="CN90" s="12">
        <f t="shared" si="89"/>
        <v>0</v>
      </c>
    </row>
    <row r="91" spans="1:92" x14ac:dyDescent="0.2">
      <c r="A91" s="10"/>
      <c r="B91" s="10"/>
      <c r="C91" s="10" t="str">
        <f t="shared" si="71"/>
        <v>Outros custos / contingência (R$ mil)</v>
      </c>
      <c r="D91" s="10"/>
      <c r="E91" s="10"/>
      <c r="F91" s="10"/>
      <c r="G91" s="10"/>
      <c r="H91" s="12">
        <f t="shared" si="61"/>
        <v>-2250</v>
      </c>
      <c r="I91" s="12">
        <f t="shared" ref="I91:AN91" si="90">-IF(AND(I$6&gt;=$E48,I$6&lt;EDATE($E48,$F48)),$H48/$F48,0)</f>
        <v>0</v>
      </c>
      <c r="J91" s="12">
        <f t="shared" si="90"/>
        <v>0</v>
      </c>
      <c r="K91" s="12">
        <f t="shared" si="90"/>
        <v>0</v>
      </c>
      <c r="L91" s="12">
        <f t="shared" si="90"/>
        <v>0</v>
      </c>
      <c r="M91" s="12">
        <f t="shared" si="90"/>
        <v>0</v>
      </c>
      <c r="N91" s="12">
        <f t="shared" si="90"/>
        <v>0</v>
      </c>
      <c r="O91" s="12">
        <f t="shared" si="90"/>
        <v>0</v>
      </c>
      <c r="P91" s="12">
        <f t="shared" si="90"/>
        <v>0</v>
      </c>
      <c r="Q91" s="12">
        <f t="shared" si="90"/>
        <v>0</v>
      </c>
      <c r="R91" s="12">
        <f t="shared" si="90"/>
        <v>0</v>
      </c>
      <c r="S91" s="12">
        <f t="shared" si="90"/>
        <v>0</v>
      </c>
      <c r="T91" s="12">
        <f t="shared" si="90"/>
        <v>0</v>
      </c>
      <c r="U91" s="12">
        <f t="shared" si="90"/>
        <v>-93.75</v>
      </c>
      <c r="V91" s="12">
        <f t="shared" si="90"/>
        <v>-93.75</v>
      </c>
      <c r="W91" s="12">
        <f t="shared" si="90"/>
        <v>-93.75</v>
      </c>
      <c r="X91" s="12">
        <f t="shared" si="90"/>
        <v>-93.75</v>
      </c>
      <c r="Y91" s="12">
        <f t="shared" si="90"/>
        <v>-93.75</v>
      </c>
      <c r="Z91" s="12">
        <f t="shared" si="90"/>
        <v>-93.75</v>
      </c>
      <c r="AA91" s="12">
        <f t="shared" si="90"/>
        <v>-93.75</v>
      </c>
      <c r="AB91" s="12">
        <f t="shared" si="90"/>
        <v>-93.75</v>
      </c>
      <c r="AC91" s="12">
        <f t="shared" si="90"/>
        <v>-93.75</v>
      </c>
      <c r="AD91" s="12">
        <f t="shared" si="90"/>
        <v>-93.75</v>
      </c>
      <c r="AE91" s="12">
        <f t="shared" si="90"/>
        <v>-93.75</v>
      </c>
      <c r="AF91" s="12">
        <f t="shared" si="90"/>
        <v>-93.75</v>
      </c>
      <c r="AG91" s="12">
        <f t="shared" si="90"/>
        <v>-93.75</v>
      </c>
      <c r="AH91" s="12">
        <f t="shared" si="90"/>
        <v>-93.75</v>
      </c>
      <c r="AI91" s="12">
        <f t="shared" si="90"/>
        <v>-93.75</v>
      </c>
      <c r="AJ91" s="12">
        <f t="shared" si="90"/>
        <v>-93.75</v>
      </c>
      <c r="AK91" s="12">
        <f t="shared" si="90"/>
        <v>-93.75</v>
      </c>
      <c r="AL91" s="12">
        <f t="shared" si="90"/>
        <v>-93.75</v>
      </c>
      <c r="AM91" s="12">
        <f t="shared" si="90"/>
        <v>-93.75</v>
      </c>
      <c r="AN91" s="12">
        <f t="shared" si="90"/>
        <v>-93.75</v>
      </c>
      <c r="AO91" s="12">
        <f t="shared" ref="AO91:BT91" si="91">-IF(AND(AO$6&gt;=$E48,AO$6&lt;EDATE($E48,$F48)),$H48/$F48,0)</f>
        <v>-93.75</v>
      </c>
      <c r="AP91" s="12">
        <f t="shared" si="91"/>
        <v>-93.75</v>
      </c>
      <c r="AQ91" s="12">
        <f t="shared" si="91"/>
        <v>-93.75</v>
      </c>
      <c r="AR91" s="12">
        <f t="shared" si="91"/>
        <v>-93.75</v>
      </c>
      <c r="AS91" s="12">
        <f t="shared" si="91"/>
        <v>0</v>
      </c>
      <c r="AT91" s="12">
        <f t="shared" si="91"/>
        <v>0</v>
      </c>
      <c r="AU91" s="12">
        <f t="shared" si="91"/>
        <v>0</v>
      </c>
      <c r="AV91" s="12">
        <f t="shared" si="91"/>
        <v>0</v>
      </c>
      <c r="AW91" s="12">
        <f t="shared" si="91"/>
        <v>0</v>
      </c>
      <c r="AX91" s="12">
        <f t="shared" si="91"/>
        <v>0</v>
      </c>
      <c r="AY91" s="12">
        <f t="shared" si="91"/>
        <v>0</v>
      </c>
      <c r="AZ91" s="12">
        <f t="shared" si="91"/>
        <v>0</v>
      </c>
      <c r="BA91" s="12">
        <f t="shared" si="91"/>
        <v>0</v>
      </c>
      <c r="BB91" s="12">
        <f t="shared" si="91"/>
        <v>0</v>
      </c>
      <c r="BC91" s="12">
        <f t="shared" si="91"/>
        <v>0</v>
      </c>
      <c r="BD91" s="12">
        <f t="shared" si="91"/>
        <v>0</v>
      </c>
      <c r="BE91" s="12">
        <f t="shared" si="91"/>
        <v>0</v>
      </c>
      <c r="BF91" s="12">
        <f t="shared" si="91"/>
        <v>0</v>
      </c>
      <c r="BG91" s="12">
        <f t="shared" si="91"/>
        <v>0</v>
      </c>
      <c r="BH91" s="12">
        <f t="shared" si="91"/>
        <v>0</v>
      </c>
      <c r="BI91" s="12">
        <f t="shared" si="91"/>
        <v>0</v>
      </c>
      <c r="BJ91" s="12">
        <f t="shared" si="91"/>
        <v>0</v>
      </c>
      <c r="BK91" s="12">
        <f t="shared" si="91"/>
        <v>0</v>
      </c>
      <c r="BL91" s="12">
        <f t="shared" si="91"/>
        <v>0</v>
      </c>
      <c r="BM91" s="12">
        <f t="shared" si="91"/>
        <v>0</v>
      </c>
      <c r="BN91" s="12">
        <f t="shared" si="91"/>
        <v>0</v>
      </c>
      <c r="BO91" s="12">
        <f t="shared" si="91"/>
        <v>0</v>
      </c>
      <c r="BP91" s="12">
        <f t="shared" si="91"/>
        <v>0</v>
      </c>
      <c r="BQ91" s="12">
        <f t="shared" si="91"/>
        <v>0</v>
      </c>
      <c r="BR91" s="12">
        <f t="shared" si="91"/>
        <v>0</v>
      </c>
      <c r="BS91" s="12">
        <f t="shared" si="91"/>
        <v>0</v>
      </c>
      <c r="BT91" s="12">
        <f t="shared" si="91"/>
        <v>0</v>
      </c>
      <c r="BU91" s="12">
        <f t="shared" ref="BU91:CN91" si="92">-IF(AND(BU$6&gt;=$E48,BU$6&lt;EDATE($E48,$F48)),$H48/$F48,0)</f>
        <v>0</v>
      </c>
      <c r="BV91" s="12">
        <f t="shared" si="92"/>
        <v>0</v>
      </c>
      <c r="BW91" s="12">
        <f t="shared" si="92"/>
        <v>0</v>
      </c>
      <c r="BX91" s="12">
        <f t="shared" si="92"/>
        <v>0</v>
      </c>
      <c r="BY91" s="12">
        <f t="shared" si="92"/>
        <v>0</v>
      </c>
      <c r="BZ91" s="12">
        <f t="shared" si="92"/>
        <v>0</v>
      </c>
      <c r="CA91" s="12">
        <f t="shared" si="92"/>
        <v>0</v>
      </c>
      <c r="CB91" s="12">
        <f t="shared" si="92"/>
        <v>0</v>
      </c>
      <c r="CC91" s="12">
        <f t="shared" si="92"/>
        <v>0</v>
      </c>
      <c r="CD91" s="12">
        <f t="shared" si="92"/>
        <v>0</v>
      </c>
      <c r="CE91" s="12">
        <f t="shared" si="92"/>
        <v>0</v>
      </c>
      <c r="CF91" s="12">
        <f t="shared" si="92"/>
        <v>0</v>
      </c>
      <c r="CG91" s="12">
        <f t="shared" si="92"/>
        <v>0</v>
      </c>
      <c r="CH91" s="12">
        <f t="shared" si="92"/>
        <v>0</v>
      </c>
      <c r="CI91" s="12">
        <f t="shared" si="92"/>
        <v>0</v>
      </c>
      <c r="CJ91" s="12">
        <f t="shared" si="92"/>
        <v>0</v>
      </c>
      <c r="CK91" s="12">
        <f t="shared" si="92"/>
        <v>0</v>
      </c>
      <c r="CL91" s="12">
        <f t="shared" si="92"/>
        <v>0</v>
      </c>
      <c r="CM91" s="12">
        <f t="shared" si="92"/>
        <v>0</v>
      </c>
      <c r="CN91" s="12">
        <f t="shared" si="92"/>
        <v>0</v>
      </c>
    </row>
    <row r="92" spans="1:92" x14ac:dyDescent="0.2">
      <c r="A92" s="10"/>
      <c r="B92" s="10"/>
      <c r="C92" s="10" t="str">
        <f t="shared" si="71"/>
        <v>Gerenciamento de obra (% da obra)</v>
      </c>
      <c r="D92" s="10"/>
      <c r="E92" s="10"/>
      <c r="F92" s="10"/>
      <c r="G92" s="10"/>
      <c r="H92" s="12">
        <f t="shared" si="61"/>
        <v>-749.96999999999957</v>
      </c>
      <c r="I92" s="12">
        <f t="shared" ref="I92:AN92" si="93">-IF(AND(I$6&gt;=$E49,I$6&lt;EDATE($E49,$F49)),$H49/$F49,0)</f>
        <v>0</v>
      </c>
      <c r="J92" s="12">
        <f t="shared" si="93"/>
        <v>0</v>
      </c>
      <c r="K92" s="12">
        <f t="shared" si="93"/>
        <v>0</v>
      </c>
      <c r="L92" s="12">
        <f t="shared" si="93"/>
        <v>0</v>
      </c>
      <c r="M92" s="12">
        <f t="shared" si="93"/>
        <v>0</v>
      </c>
      <c r="N92" s="12">
        <f t="shared" si="93"/>
        <v>0</v>
      </c>
      <c r="O92" s="12">
        <f t="shared" si="93"/>
        <v>0</v>
      </c>
      <c r="P92" s="12">
        <f t="shared" si="93"/>
        <v>0</v>
      </c>
      <c r="Q92" s="12">
        <f t="shared" si="93"/>
        <v>0</v>
      </c>
      <c r="R92" s="12">
        <f t="shared" si="93"/>
        <v>0</v>
      </c>
      <c r="S92" s="12">
        <f t="shared" si="93"/>
        <v>0</v>
      </c>
      <c r="T92" s="12">
        <f t="shared" si="93"/>
        <v>0</v>
      </c>
      <c r="U92" s="12">
        <f t="shared" si="93"/>
        <v>-31.248750000000001</v>
      </c>
      <c r="V92" s="12">
        <f t="shared" si="93"/>
        <v>-31.248750000000001</v>
      </c>
      <c r="W92" s="12">
        <f t="shared" si="93"/>
        <v>-31.248750000000001</v>
      </c>
      <c r="X92" s="12">
        <f t="shared" si="93"/>
        <v>-31.248750000000001</v>
      </c>
      <c r="Y92" s="12">
        <f t="shared" si="93"/>
        <v>-31.248750000000001</v>
      </c>
      <c r="Z92" s="12">
        <f t="shared" si="93"/>
        <v>-31.248750000000001</v>
      </c>
      <c r="AA92" s="12">
        <f t="shared" si="93"/>
        <v>-31.248750000000001</v>
      </c>
      <c r="AB92" s="12">
        <f t="shared" si="93"/>
        <v>-31.248750000000001</v>
      </c>
      <c r="AC92" s="12">
        <f t="shared" si="93"/>
        <v>-31.248750000000001</v>
      </c>
      <c r="AD92" s="12">
        <f t="shared" si="93"/>
        <v>-31.248750000000001</v>
      </c>
      <c r="AE92" s="12">
        <f t="shared" si="93"/>
        <v>-31.248750000000001</v>
      </c>
      <c r="AF92" s="12">
        <f t="shared" si="93"/>
        <v>-31.248750000000001</v>
      </c>
      <c r="AG92" s="12">
        <f t="shared" si="93"/>
        <v>-31.248750000000001</v>
      </c>
      <c r="AH92" s="12">
        <f t="shared" si="93"/>
        <v>-31.248750000000001</v>
      </c>
      <c r="AI92" s="12">
        <f t="shared" si="93"/>
        <v>-31.248750000000001</v>
      </c>
      <c r="AJ92" s="12">
        <f t="shared" si="93"/>
        <v>-31.248750000000001</v>
      </c>
      <c r="AK92" s="12">
        <f t="shared" si="93"/>
        <v>-31.248750000000001</v>
      </c>
      <c r="AL92" s="12">
        <f t="shared" si="93"/>
        <v>-31.248750000000001</v>
      </c>
      <c r="AM92" s="12">
        <f t="shared" si="93"/>
        <v>-31.248750000000001</v>
      </c>
      <c r="AN92" s="12">
        <f t="shared" si="93"/>
        <v>-31.248750000000001</v>
      </c>
      <c r="AO92" s="12">
        <f t="shared" ref="AO92:BT92" si="94">-IF(AND(AO$6&gt;=$E49,AO$6&lt;EDATE($E49,$F49)),$H49/$F49,0)</f>
        <v>-31.248750000000001</v>
      </c>
      <c r="AP92" s="12">
        <f t="shared" si="94"/>
        <v>-31.248750000000001</v>
      </c>
      <c r="AQ92" s="12">
        <f t="shared" si="94"/>
        <v>-31.248750000000001</v>
      </c>
      <c r="AR92" s="12">
        <f t="shared" si="94"/>
        <v>-31.248750000000001</v>
      </c>
      <c r="AS92" s="12">
        <f t="shared" si="94"/>
        <v>0</v>
      </c>
      <c r="AT92" s="12">
        <f t="shared" si="94"/>
        <v>0</v>
      </c>
      <c r="AU92" s="12">
        <f t="shared" si="94"/>
        <v>0</v>
      </c>
      <c r="AV92" s="12">
        <f t="shared" si="94"/>
        <v>0</v>
      </c>
      <c r="AW92" s="12">
        <f t="shared" si="94"/>
        <v>0</v>
      </c>
      <c r="AX92" s="12">
        <f t="shared" si="94"/>
        <v>0</v>
      </c>
      <c r="AY92" s="12">
        <f t="shared" si="94"/>
        <v>0</v>
      </c>
      <c r="AZ92" s="12">
        <f t="shared" si="94"/>
        <v>0</v>
      </c>
      <c r="BA92" s="12">
        <f t="shared" si="94"/>
        <v>0</v>
      </c>
      <c r="BB92" s="12">
        <f t="shared" si="94"/>
        <v>0</v>
      </c>
      <c r="BC92" s="12">
        <f t="shared" si="94"/>
        <v>0</v>
      </c>
      <c r="BD92" s="12">
        <f t="shared" si="94"/>
        <v>0</v>
      </c>
      <c r="BE92" s="12">
        <f t="shared" si="94"/>
        <v>0</v>
      </c>
      <c r="BF92" s="12">
        <f t="shared" si="94"/>
        <v>0</v>
      </c>
      <c r="BG92" s="12">
        <f t="shared" si="94"/>
        <v>0</v>
      </c>
      <c r="BH92" s="12">
        <f t="shared" si="94"/>
        <v>0</v>
      </c>
      <c r="BI92" s="12">
        <f t="shared" si="94"/>
        <v>0</v>
      </c>
      <c r="BJ92" s="12">
        <f t="shared" si="94"/>
        <v>0</v>
      </c>
      <c r="BK92" s="12">
        <f t="shared" si="94"/>
        <v>0</v>
      </c>
      <c r="BL92" s="12">
        <f t="shared" si="94"/>
        <v>0</v>
      </c>
      <c r="BM92" s="12">
        <f t="shared" si="94"/>
        <v>0</v>
      </c>
      <c r="BN92" s="12">
        <f t="shared" si="94"/>
        <v>0</v>
      </c>
      <c r="BO92" s="12">
        <f t="shared" si="94"/>
        <v>0</v>
      </c>
      <c r="BP92" s="12">
        <f t="shared" si="94"/>
        <v>0</v>
      </c>
      <c r="BQ92" s="12">
        <f t="shared" si="94"/>
        <v>0</v>
      </c>
      <c r="BR92" s="12">
        <f t="shared" si="94"/>
        <v>0</v>
      </c>
      <c r="BS92" s="12">
        <f t="shared" si="94"/>
        <v>0</v>
      </c>
      <c r="BT92" s="12">
        <f t="shared" si="94"/>
        <v>0</v>
      </c>
      <c r="BU92" s="12">
        <f t="shared" ref="BU92:CN92" si="95">-IF(AND(BU$6&gt;=$E49,BU$6&lt;EDATE($E49,$F49)),$H49/$F49,0)</f>
        <v>0</v>
      </c>
      <c r="BV92" s="12">
        <f t="shared" si="95"/>
        <v>0</v>
      </c>
      <c r="BW92" s="12">
        <f t="shared" si="95"/>
        <v>0</v>
      </c>
      <c r="BX92" s="12">
        <f t="shared" si="95"/>
        <v>0</v>
      </c>
      <c r="BY92" s="12">
        <f t="shared" si="95"/>
        <v>0</v>
      </c>
      <c r="BZ92" s="12">
        <f t="shared" si="95"/>
        <v>0</v>
      </c>
      <c r="CA92" s="12">
        <f t="shared" si="95"/>
        <v>0</v>
      </c>
      <c r="CB92" s="12">
        <f t="shared" si="95"/>
        <v>0</v>
      </c>
      <c r="CC92" s="12">
        <f t="shared" si="95"/>
        <v>0</v>
      </c>
      <c r="CD92" s="12">
        <f t="shared" si="95"/>
        <v>0</v>
      </c>
      <c r="CE92" s="12">
        <f t="shared" si="95"/>
        <v>0</v>
      </c>
      <c r="CF92" s="12">
        <f t="shared" si="95"/>
        <v>0</v>
      </c>
      <c r="CG92" s="12">
        <f t="shared" si="95"/>
        <v>0</v>
      </c>
      <c r="CH92" s="12">
        <f t="shared" si="95"/>
        <v>0</v>
      </c>
      <c r="CI92" s="12">
        <f t="shared" si="95"/>
        <v>0</v>
      </c>
      <c r="CJ92" s="12">
        <f t="shared" si="95"/>
        <v>0</v>
      </c>
      <c r="CK92" s="12">
        <f t="shared" si="95"/>
        <v>0</v>
      </c>
      <c r="CL92" s="12">
        <f t="shared" si="95"/>
        <v>0</v>
      </c>
      <c r="CM92" s="12">
        <f t="shared" si="95"/>
        <v>0</v>
      </c>
      <c r="CN92" s="12">
        <f t="shared" si="95"/>
        <v>0</v>
      </c>
    </row>
    <row r="93" spans="1:92" x14ac:dyDescent="0.2">
      <c r="A93" s="10"/>
      <c r="B93" s="10"/>
      <c r="C93" s="10" t="str">
        <f t="shared" si="71"/>
        <v>Taxa de administração da incorporadora (% do VGV)</v>
      </c>
      <c r="D93" s="10"/>
      <c r="E93" s="10"/>
      <c r="F93" s="10"/>
      <c r="G93" s="10"/>
      <c r="H93" s="12">
        <f t="shared" si="61"/>
        <v>0</v>
      </c>
      <c r="I93" s="12">
        <f t="shared" ref="I93:AN93" si="96">-IF(AND(I$6&gt;=$E50,I$6&lt;EDATE($E50,$F50)),$H50/$F50,0)</f>
        <v>0</v>
      </c>
      <c r="J93" s="12">
        <f t="shared" si="96"/>
        <v>0</v>
      </c>
      <c r="K93" s="12">
        <f t="shared" si="96"/>
        <v>0</v>
      </c>
      <c r="L93" s="12">
        <f t="shared" si="96"/>
        <v>0</v>
      </c>
      <c r="M93" s="12">
        <f t="shared" si="96"/>
        <v>0</v>
      </c>
      <c r="N93" s="12">
        <f t="shared" si="96"/>
        <v>0</v>
      </c>
      <c r="O93" s="12">
        <f t="shared" si="96"/>
        <v>0</v>
      </c>
      <c r="P93" s="12">
        <f t="shared" si="96"/>
        <v>0</v>
      </c>
      <c r="Q93" s="12">
        <f t="shared" si="96"/>
        <v>0</v>
      </c>
      <c r="R93" s="12">
        <f t="shared" si="96"/>
        <v>0</v>
      </c>
      <c r="S93" s="12">
        <f t="shared" si="96"/>
        <v>0</v>
      </c>
      <c r="T93" s="12">
        <f t="shared" si="96"/>
        <v>0</v>
      </c>
      <c r="U93" s="12">
        <f t="shared" si="96"/>
        <v>0</v>
      </c>
      <c r="V93" s="12">
        <f t="shared" si="96"/>
        <v>0</v>
      </c>
      <c r="W93" s="12">
        <f t="shared" si="96"/>
        <v>0</v>
      </c>
      <c r="X93" s="12">
        <f t="shared" si="96"/>
        <v>0</v>
      </c>
      <c r="Y93" s="12">
        <f t="shared" si="96"/>
        <v>0</v>
      </c>
      <c r="Z93" s="12">
        <f t="shared" si="96"/>
        <v>0</v>
      </c>
      <c r="AA93" s="12">
        <f t="shared" si="96"/>
        <v>0</v>
      </c>
      <c r="AB93" s="12">
        <f t="shared" si="96"/>
        <v>0</v>
      </c>
      <c r="AC93" s="12">
        <f t="shared" si="96"/>
        <v>0</v>
      </c>
      <c r="AD93" s="12">
        <f t="shared" si="96"/>
        <v>0</v>
      </c>
      <c r="AE93" s="12">
        <f t="shared" si="96"/>
        <v>0</v>
      </c>
      <c r="AF93" s="12">
        <f t="shared" si="96"/>
        <v>0</v>
      </c>
      <c r="AG93" s="12">
        <f t="shared" si="96"/>
        <v>0</v>
      </c>
      <c r="AH93" s="12">
        <f t="shared" si="96"/>
        <v>0</v>
      </c>
      <c r="AI93" s="12">
        <f t="shared" si="96"/>
        <v>0</v>
      </c>
      <c r="AJ93" s="12">
        <f t="shared" si="96"/>
        <v>0</v>
      </c>
      <c r="AK93" s="12">
        <f t="shared" si="96"/>
        <v>0</v>
      </c>
      <c r="AL93" s="12">
        <f t="shared" si="96"/>
        <v>0</v>
      </c>
      <c r="AM93" s="12">
        <f t="shared" si="96"/>
        <v>0</v>
      </c>
      <c r="AN93" s="12">
        <f t="shared" si="96"/>
        <v>0</v>
      </c>
      <c r="AO93" s="12">
        <f t="shared" ref="AO93:BT93" si="97">-IF(AND(AO$6&gt;=$E50,AO$6&lt;EDATE($E50,$F50)),$H50/$F50,0)</f>
        <v>0</v>
      </c>
      <c r="AP93" s="12">
        <f t="shared" si="97"/>
        <v>0</v>
      </c>
      <c r="AQ93" s="12">
        <f t="shared" si="97"/>
        <v>0</v>
      </c>
      <c r="AR93" s="12">
        <f t="shared" si="97"/>
        <v>0</v>
      </c>
      <c r="AS93" s="12">
        <f t="shared" si="97"/>
        <v>0</v>
      </c>
      <c r="AT93" s="12">
        <f t="shared" si="97"/>
        <v>0</v>
      </c>
      <c r="AU93" s="12">
        <f t="shared" si="97"/>
        <v>0</v>
      </c>
      <c r="AV93" s="12">
        <f t="shared" si="97"/>
        <v>0</v>
      </c>
      <c r="AW93" s="12">
        <f t="shared" si="97"/>
        <v>0</v>
      </c>
      <c r="AX93" s="12">
        <f t="shared" si="97"/>
        <v>0</v>
      </c>
      <c r="AY93" s="12">
        <f t="shared" si="97"/>
        <v>0</v>
      </c>
      <c r="AZ93" s="12">
        <f t="shared" si="97"/>
        <v>0</v>
      </c>
      <c r="BA93" s="12">
        <f t="shared" si="97"/>
        <v>0</v>
      </c>
      <c r="BB93" s="12">
        <f t="shared" si="97"/>
        <v>0</v>
      </c>
      <c r="BC93" s="12">
        <f t="shared" si="97"/>
        <v>0</v>
      </c>
      <c r="BD93" s="12">
        <f t="shared" si="97"/>
        <v>0</v>
      </c>
      <c r="BE93" s="12">
        <f t="shared" si="97"/>
        <v>0</v>
      </c>
      <c r="BF93" s="12">
        <f t="shared" si="97"/>
        <v>0</v>
      </c>
      <c r="BG93" s="12">
        <f t="shared" si="97"/>
        <v>0</v>
      </c>
      <c r="BH93" s="12">
        <f t="shared" si="97"/>
        <v>0</v>
      </c>
      <c r="BI93" s="12">
        <f t="shared" si="97"/>
        <v>0</v>
      </c>
      <c r="BJ93" s="12">
        <f t="shared" si="97"/>
        <v>0</v>
      </c>
      <c r="BK93" s="12">
        <f t="shared" si="97"/>
        <v>0</v>
      </c>
      <c r="BL93" s="12">
        <f t="shared" si="97"/>
        <v>0</v>
      </c>
      <c r="BM93" s="12">
        <f t="shared" si="97"/>
        <v>0</v>
      </c>
      <c r="BN93" s="12">
        <f t="shared" si="97"/>
        <v>0</v>
      </c>
      <c r="BO93" s="12">
        <f t="shared" si="97"/>
        <v>0</v>
      </c>
      <c r="BP93" s="12">
        <f t="shared" si="97"/>
        <v>0</v>
      </c>
      <c r="BQ93" s="12">
        <f t="shared" si="97"/>
        <v>0</v>
      </c>
      <c r="BR93" s="12">
        <f t="shared" si="97"/>
        <v>0</v>
      </c>
      <c r="BS93" s="12">
        <f t="shared" si="97"/>
        <v>0</v>
      </c>
      <c r="BT93" s="12">
        <f t="shared" si="97"/>
        <v>0</v>
      </c>
      <c r="BU93" s="12">
        <f t="shared" ref="BU93:CN93" si="98">-IF(AND(BU$6&gt;=$E50,BU$6&lt;EDATE($E50,$F50)),$H50/$F50,0)</f>
        <v>0</v>
      </c>
      <c r="BV93" s="12">
        <f t="shared" si="98"/>
        <v>0</v>
      </c>
      <c r="BW93" s="12">
        <f t="shared" si="98"/>
        <v>0</v>
      </c>
      <c r="BX93" s="12">
        <f t="shared" si="98"/>
        <v>0</v>
      </c>
      <c r="BY93" s="12">
        <f t="shared" si="98"/>
        <v>0</v>
      </c>
      <c r="BZ93" s="12">
        <f t="shared" si="98"/>
        <v>0</v>
      </c>
      <c r="CA93" s="12">
        <f t="shared" si="98"/>
        <v>0</v>
      </c>
      <c r="CB93" s="12">
        <f t="shared" si="98"/>
        <v>0</v>
      </c>
      <c r="CC93" s="12">
        <f t="shared" si="98"/>
        <v>0</v>
      </c>
      <c r="CD93" s="12">
        <f t="shared" si="98"/>
        <v>0</v>
      </c>
      <c r="CE93" s="12">
        <f t="shared" si="98"/>
        <v>0</v>
      </c>
      <c r="CF93" s="12">
        <f t="shared" si="98"/>
        <v>0</v>
      </c>
      <c r="CG93" s="12">
        <f t="shared" si="98"/>
        <v>0</v>
      </c>
      <c r="CH93" s="12">
        <f t="shared" si="98"/>
        <v>0</v>
      </c>
      <c r="CI93" s="12">
        <f t="shared" si="98"/>
        <v>0</v>
      </c>
      <c r="CJ93" s="12">
        <f t="shared" si="98"/>
        <v>0</v>
      </c>
      <c r="CK93" s="12">
        <f t="shared" si="98"/>
        <v>0</v>
      </c>
      <c r="CL93" s="12">
        <f t="shared" si="98"/>
        <v>0</v>
      </c>
      <c r="CM93" s="12">
        <f t="shared" si="98"/>
        <v>0</v>
      </c>
      <c r="CN93" s="12">
        <f t="shared" si="98"/>
        <v>0</v>
      </c>
    </row>
    <row r="94" spans="1:92" x14ac:dyDescent="0.2">
      <c r="A94" s="10"/>
      <c r="B94" s="10"/>
      <c r="C94" s="10" t="str">
        <f t="shared" si="71"/>
        <v>MKT / stand / decoração (% do VGV)</v>
      </c>
      <c r="D94" s="10"/>
      <c r="E94" s="10"/>
      <c r="F94" s="10"/>
      <c r="G94" s="10"/>
      <c r="H94" s="12">
        <f t="shared" si="61"/>
        <v>-2856.1799999999989</v>
      </c>
      <c r="I94" s="12">
        <f t="shared" ref="I94:AN94" si="99">-IF(AND(I$6&gt;=$E51,I$6&lt;EDATE($E51,$F51)),$H51/$F51,0)</f>
        <v>0</v>
      </c>
      <c r="J94" s="12">
        <f t="shared" si="99"/>
        <v>0</v>
      </c>
      <c r="K94" s="12">
        <f t="shared" si="99"/>
        <v>0</v>
      </c>
      <c r="L94" s="12">
        <f t="shared" si="99"/>
        <v>0</v>
      </c>
      <c r="M94" s="12">
        <f t="shared" si="99"/>
        <v>0</v>
      </c>
      <c r="N94" s="12">
        <f t="shared" si="99"/>
        <v>0</v>
      </c>
      <c r="O94" s="12">
        <f t="shared" si="99"/>
        <v>0</v>
      </c>
      <c r="P94" s="12">
        <f t="shared" si="99"/>
        <v>0</v>
      </c>
      <c r="Q94" s="12">
        <f t="shared" si="99"/>
        <v>0</v>
      </c>
      <c r="R94" s="12">
        <f t="shared" si="99"/>
        <v>0</v>
      </c>
      <c r="S94" s="12">
        <f t="shared" si="99"/>
        <v>0</v>
      </c>
      <c r="T94" s="12">
        <f t="shared" si="99"/>
        <v>0</v>
      </c>
      <c r="U94" s="12">
        <f t="shared" si="99"/>
        <v>0</v>
      </c>
      <c r="V94" s="12">
        <f t="shared" si="99"/>
        <v>-238.01499999999999</v>
      </c>
      <c r="W94" s="12">
        <f t="shared" si="99"/>
        <v>-238.01499999999999</v>
      </c>
      <c r="X94" s="12">
        <f t="shared" si="99"/>
        <v>-238.01499999999999</v>
      </c>
      <c r="Y94" s="12">
        <f t="shared" si="99"/>
        <v>-238.01499999999999</v>
      </c>
      <c r="Z94" s="12">
        <f t="shared" si="99"/>
        <v>-238.01499999999999</v>
      </c>
      <c r="AA94" s="12">
        <f t="shared" si="99"/>
        <v>-238.01499999999999</v>
      </c>
      <c r="AB94" s="12">
        <f t="shared" si="99"/>
        <v>-238.01499999999999</v>
      </c>
      <c r="AC94" s="12">
        <f t="shared" si="99"/>
        <v>-238.01499999999999</v>
      </c>
      <c r="AD94" s="12">
        <f t="shared" si="99"/>
        <v>-238.01499999999999</v>
      </c>
      <c r="AE94" s="12">
        <f t="shared" si="99"/>
        <v>-238.01499999999999</v>
      </c>
      <c r="AF94" s="12">
        <f t="shared" si="99"/>
        <v>-238.01499999999999</v>
      </c>
      <c r="AG94" s="12">
        <f t="shared" si="99"/>
        <v>-238.01499999999999</v>
      </c>
      <c r="AH94" s="12">
        <f t="shared" si="99"/>
        <v>0</v>
      </c>
      <c r="AI94" s="12">
        <f t="shared" si="99"/>
        <v>0</v>
      </c>
      <c r="AJ94" s="12">
        <f t="shared" si="99"/>
        <v>0</v>
      </c>
      <c r="AK94" s="12">
        <f t="shared" si="99"/>
        <v>0</v>
      </c>
      <c r="AL94" s="12">
        <f t="shared" si="99"/>
        <v>0</v>
      </c>
      <c r="AM94" s="12">
        <f t="shared" si="99"/>
        <v>0</v>
      </c>
      <c r="AN94" s="12">
        <f t="shared" si="99"/>
        <v>0</v>
      </c>
      <c r="AO94" s="12">
        <f t="shared" ref="AO94:BT94" si="100">-IF(AND(AO$6&gt;=$E51,AO$6&lt;EDATE($E51,$F51)),$H51/$F51,0)</f>
        <v>0</v>
      </c>
      <c r="AP94" s="12">
        <f t="shared" si="100"/>
        <v>0</v>
      </c>
      <c r="AQ94" s="12">
        <f t="shared" si="100"/>
        <v>0</v>
      </c>
      <c r="AR94" s="12">
        <f t="shared" si="100"/>
        <v>0</v>
      </c>
      <c r="AS94" s="12">
        <f t="shared" si="100"/>
        <v>0</v>
      </c>
      <c r="AT94" s="12">
        <f t="shared" si="100"/>
        <v>0</v>
      </c>
      <c r="AU94" s="12">
        <f t="shared" si="100"/>
        <v>0</v>
      </c>
      <c r="AV94" s="12">
        <f t="shared" si="100"/>
        <v>0</v>
      </c>
      <c r="AW94" s="12">
        <f t="shared" si="100"/>
        <v>0</v>
      </c>
      <c r="AX94" s="12">
        <f t="shared" si="100"/>
        <v>0</v>
      </c>
      <c r="AY94" s="12">
        <f t="shared" si="100"/>
        <v>0</v>
      </c>
      <c r="AZ94" s="12">
        <f t="shared" si="100"/>
        <v>0</v>
      </c>
      <c r="BA94" s="12">
        <f t="shared" si="100"/>
        <v>0</v>
      </c>
      <c r="BB94" s="12">
        <f t="shared" si="100"/>
        <v>0</v>
      </c>
      <c r="BC94" s="12">
        <f t="shared" si="100"/>
        <v>0</v>
      </c>
      <c r="BD94" s="12">
        <f t="shared" si="100"/>
        <v>0</v>
      </c>
      <c r="BE94" s="12">
        <f t="shared" si="100"/>
        <v>0</v>
      </c>
      <c r="BF94" s="12">
        <f t="shared" si="100"/>
        <v>0</v>
      </c>
      <c r="BG94" s="12">
        <f t="shared" si="100"/>
        <v>0</v>
      </c>
      <c r="BH94" s="12">
        <f t="shared" si="100"/>
        <v>0</v>
      </c>
      <c r="BI94" s="12">
        <f t="shared" si="100"/>
        <v>0</v>
      </c>
      <c r="BJ94" s="12">
        <f t="shared" si="100"/>
        <v>0</v>
      </c>
      <c r="BK94" s="12">
        <f t="shared" si="100"/>
        <v>0</v>
      </c>
      <c r="BL94" s="12">
        <f t="shared" si="100"/>
        <v>0</v>
      </c>
      <c r="BM94" s="12">
        <f t="shared" si="100"/>
        <v>0</v>
      </c>
      <c r="BN94" s="12">
        <f t="shared" si="100"/>
        <v>0</v>
      </c>
      <c r="BO94" s="12">
        <f t="shared" si="100"/>
        <v>0</v>
      </c>
      <c r="BP94" s="12">
        <f t="shared" si="100"/>
        <v>0</v>
      </c>
      <c r="BQ94" s="12">
        <f t="shared" si="100"/>
        <v>0</v>
      </c>
      <c r="BR94" s="12">
        <f t="shared" si="100"/>
        <v>0</v>
      </c>
      <c r="BS94" s="12">
        <f t="shared" si="100"/>
        <v>0</v>
      </c>
      <c r="BT94" s="12">
        <f t="shared" si="100"/>
        <v>0</v>
      </c>
      <c r="BU94" s="12">
        <f t="shared" ref="BU94:CN94" si="101">-IF(AND(BU$6&gt;=$E51,BU$6&lt;EDATE($E51,$F51)),$H51/$F51,0)</f>
        <v>0</v>
      </c>
      <c r="BV94" s="12">
        <f t="shared" si="101"/>
        <v>0</v>
      </c>
      <c r="BW94" s="12">
        <f t="shared" si="101"/>
        <v>0</v>
      </c>
      <c r="BX94" s="12">
        <f t="shared" si="101"/>
        <v>0</v>
      </c>
      <c r="BY94" s="12">
        <f t="shared" si="101"/>
        <v>0</v>
      </c>
      <c r="BZ94" s="12">
        <f t="shared" si="101"/>
        <v>0</v>
      </c>
      <c r="CA94" s="12">
        <f t="shared" si="101"/>
        <v>0</v>
      </c>
      <c r="CB94" s="12">
        <f t="shared" si="101"/>
        <v>0</v>
      </c>
      <c r="CC94" s="12">
        <f t="shared" si="101"/>
        <v>0</v>
      </c>
      <c r="CD94" s="12">
        <f t="shared" si="101"/>
        <v>0</v>
      </c>
      <c r="CE94" s="12">
        <f t="shared" si="101"/>
        <v>0</v>
      </c>
      <c r="CF94" s="12">
        <f t="shared" si="101"/>
        <v>0</v>
      </c>
      <c r="CG94" s="12">
        <f t="shared" si="101"/>
        <v>0</v>
      </c>
      <c r="CH94" s="12">
        <f t="shared" si="101"/>
        <v>0</v>
      </c>
      <c r="CI94" s="12">
        <f t="shared" si="101"/>
        <v>0</v>
      </c>
      <c r="CJ94" s="12">
        <f t="shared" si="101"/>
        <v>0</v>
      </c>
      <c r="CK94" s="12">
        <f t="shared" si="101"/>
        <v>0</v>
      </c>
      <c r="CL94" s="12">
        <f t="shared" si="101"/>
        <v>0</v>
      </c>
      <c r="CM94" s="12">
        <f t="shared" si="101"/>
        <v>0</v>
      </c>
      <c r="CN94" s="12">
        <f t="shared" si="101"/>
        <v>0</v>
      </c>
    </row>
    <row r="95" spans="1:92" x14ac:dyDescent="0.2">
      <c r="A95" s="10"/>
      <c r="B95" s="49" t="s">
        <v>760</v>
      </c>
      <c r="C95" s="49"/>
      <c r="D95" s="49"/>
      <c r="E95" s="49"/>
      <c r="F95" s="49"/>
      <c r="G95" s="49"/>
      <c r="H95" s="50">
        <f t="shared" si="61"/>
        <v>-88113.150000000009</v>
      </c>
      <c r="I95" s="50">
        <f t="shared" ref="I95:AN95" si="102">SUM(I83:I94)</f>
        <v>0</v>
      </c>
      <c r="J95" s="50">
        <f t="shared" si="102"/>
        <v>0</v>
      </c>
      <c r="K95" s="50">
        <f t="shared" si="102"/>
        <v>0</v>
      </c>
      <c r="L95" s="50">
        <f t="shared" si="102"/>
        <v>-150</v>
      </c>
      <c r="M95" s="50">
        <f t="shared" si="102"/>
        <v>-150</v>
      </c>
      <c r="N95" s="50">
        <f t="shared" si="102"/>
        <v>-150</v>
      </c>
      <c r="O95" s="50">
        <f t="shared" si="102"/>
        <v>-150</v>
      </c>
      <c r="P95" s="50">
        <f t="shared" si="102"/>
        <v>-150</v>
      </c>
      <c r="Q95" s="50">
        <f t="shared" si="102"/>
        <v>-150</v>
      </c>
      <c r="R95" s="50">
        <f t="shared" si="102"/>
        <v>-100</v>
      </c>
      <c r="S95" s="50">
        <f t="shared" si="102"/>
        <v>-100</v>
      </c>
      <c r="T95" s="50">
        <f t="shared" si="102"/>
        <v>-100</v>
      </c>
      <c r="U95" s="50">
        <f t="shared" si="102"/>
        <v>-602.9202344883106</v>
      </c>
      <c r="V95" s="50">
        <f t="shared" si="102"/>
        <v>-1524.2155379941187</v>
      </c>
      <c r="W95" s="50">
        <f t="shared" si="102"/>
        <v>-2189.9087272617062</v>
      </c>
      <c r="X95" s="50">
        <f t="shared" si="102"/>
        <v>-2726.6246072576851</v>
      </c>
      <c r="Y95" s="50">
        <f t="shared" si="102"/>
        <v>-3323.4687927443297</v>
      </c>
      <c r="Z95" s="50">
        <f t="shared" si="102"/>
        <v>-3870.2291142314943</v>
      </c>
      <c r="AA95" s="50">
        <f t="shared" si="102"/>
        <v>-4324.2170176946001</v>
      </c>
      <c r="AB95" s="50">
        <f t="shared" si="102"/>
        <v>-4743.7609683277533</v>
      </c>
      <c r="AC95" s="50">
        <f t="shared" si="102"/>
        <v>-5088.349119482732</v>
      </c>
      <c r="AD95" s="50">
        <f t="shared" si="102"/>
        <v>-5352.0854723553857</v>
      </c>
      <c r="AE95" s="50">
        <f t="shared" si="102"/>
        <v>-5530.4574248265344</v>
      </c>
      <c r="AF95" s="50">
        <f t="shared" si="102"/>
        <v>-5620.4129833353472</v>
      </c>
      <c r="AG95" s="50">
        <f t="shared" si="102"/>
        <v>-5620.4129833353472</v>
      </c>
      <c r="AH95" s="50">
        <f t="shared" si="102"/>
        <v>-5292.4424248265341</v>
      </c>
      <c r="AI95" s="50">
        <f t="shared" si="102"/>
        <v>-5114.0704723553854</v>
      </c>
      <c r="AJ95" s="50">
        <f t="shared" si="102"/>
        <v>-4850.3341194827317</v>
      </c>
      <c r="AK95" s="50">
        <f t="shared" si="102"/>
        <v>-4505.745968327753</v>
      </c>
      <c r="AL95" s="50">
        <f t="shared" si="102"/>
        <v>-4086.2020176945998</v>
      </c>
      <c r="AM95" s="50">
        <f t="shared" si="102"/>
        <v>-3598.8807808981614</v>
      </c>
      <c r="AN95" s="50">
        <f t="shared" si="102"/>
        <v>-3052.1204594109981</v>
      </c>
      <c r="AO95" s="50">
        <f t="shared" ref="AO95:BT95" si="103">SUM(AO83:AO94)</f>
        <v>-2455.2762739243535</v>
      </c>
      <c r="AP95" s="50">
        <f t="shared" si="103"/>
        <v>-1818.5603939283742</v>
      </c>
      <c r="AQ95" s="50">
        <f t="shared" si="103"/>
        <v>-1152.8672046607849</v>
      </c>
      <c r="AR95" s="50">
        <f t="shared" si="103"/>
        <v>-469.58690115497757</v>
      </c>
      <c r="AS95" s="50">
        <f t="shared" si="103"/>
        <v>0</v>
      </c>
      <c r="AT95" s="50">
        <f t="shared" si="103"/>
        <v>0</v>
      </c>
      <c r="AU95" s="50">
        <f t="shared" si="103"/>
        <v>0</v>
      </c>
      <c r="AV95" s="50">
        <f t="shared" si="103"/>
        <v>0</v>
      </c>
      <c r="AW95" s="50">
        <f t="shared" si="103"/>
        <v>0</v>
      </c>
      <c r="AX95" s="50">
        <f t="shared" si="103"/>
        <v>0</v>
      </c>
      <c r="AY95" s="50">
        <f t="shared" si="103"/>
        <v>0</v>
      </c>
      <c r="AZ95" s="50">
        <f t="shared" si="103"/>
        <v>0</v>
      </c>
      <c r="BA95" s="50">
        <f t="shared" si="103"/>
        <v>0</v>
      </c>
      <c r="BB95" s="50">
        <f t="shared" si="103"/>
        <v>0</v>
      </c>
      <c r="BC95" s="50">
        <f t="shared" si="103"/>
        <v>0</v>
      </c>
      <c r="BD95" s="50">
        <f t="shared" si="103"/>
        <v>0</v>
      </c>
      <c r="BE95" s="50">
        <f t="shared" si="103"/>
        <v>0</v>
      </c>
      <c r="BF95" s="50">
        <f t="shared" si="103"/>
        <v>0</v>
      </c>
      <c r="BG95" s="50">
        <f t="shared" si="103"/>
        <v>0</v>
      </c>
      <c r="BH95" s="50">
        <f t="shared" si="103"/>
        <v>0</v>
      </c>
      <c r="BI95" s="50">
        <f t="shared" si="103"/>
        <v>0</v>
      </c>
      <c r="BJ95" s="50">
        <f t="shared" si="103"/>
        <v>0</v>
      </c>
      <c r="BK95" s="50">
        <f t="shared" si="103"/>
        <v>0</v>
      </c>
      <c r="BL95" s="50">
        <f t="shared" si="103"/>
        <v>0</v>
      </c>
      <c r="BM95" s="50">
        <f t="shared" si="103"/>
        <v>0</v>
      </c>
      <c r="BN95" s="50">
        <f t="shared" si="103"/>
        <v>0</v>
      </c>
      <c r="BO95" s="50">
        <f t="shared" si="103"/>
        <v>0</v>
      </c>
      <c r="BP95" s="50">
        <f t="shared" si="103"/>
        <v>0</v>
      </c>
      <c r="BQ95" s="50">
        <f t="shared" si="103"/>
        <v>0</v>
      </c>
      <c r="BR95" s="50">
        <f t="shared" si="103"/>
        <v>0</v>
      </c>
      <c r="BS95" s="50">
        <f t="shared" si="103"/>
        <v>0</v>
      </c>
      <c r="BT95" s="50">
        <f t="shared" si="103"/>
        <v>0</v>
      </c>
      <c r="BU95" s="50">
        <f t="shared" ref="BU95:CN95" si="104">SUM(BU83:BU94)</f>
        <v>0</v>
      </c>
      <c r="BV95" s="50">
        <f t="shared" si="104"/>
        <v>0</v>
      </c>
      <c r="BW95" s="50">
        <f t="shared" si="104"/>
        <v>0</v>
      </c>
      <c r="BX95" s="50">
        <f t="shared" si="104"/>
        <v>0</v>
      </c>
      <c r="BY95" s="50">
        <f t="shared" si="104"/>
        <v>0</v>
      </c>
      <c r="BZ95" s="50">
        <f t="shared" si="104"/>
        <v>0</v>
      </c>
      <c r="CA95" s="50">
        <f t="shared" si="104"/>
        <v>0</v>
      </c>
      <c r="CB95" s="50">
        <f t="shared" si="104"/>
        <v>0</v>
      </c>
      <c r="CC95" s="50">
        <f t="shared" si="104"/>
        <v>0</v>
      </c>
      <c r="CD95" s="50">
        <f t="shared" si="104"/>
        <v>0</v>
      </c>
      <c r="CE95" s="50">
        <f t="shared" si="104"/>
        <v>0</v>
      </c>
      <c r="CF95" s="50">
        <f t="shared" si="104"/>
        <v>0</v>
      </c>
      <c r="CG95" s="50">
        <f t="shared" si="104"/>
        <v>0</v>
      </c>
      <c r="CH95" s="50">
        <f t="shared" si="104"/>
        <v>0</v>
      </c>
      <c r="CI95" s="50">
        <f t="shared" si="104"/>
        <v>0</v>
      </c>
      <c r="CJ95" s="50">
        <f t="shared" si="104"/>
        <v>0</v>
      </c>
      <c r="CK95" s="50">
        <f t="shared" si="104"/>
        <v>0</v>
      </c>
      <c r="CL95" s="50">
        <f t="shared" si="104"/>
        <v>0</v>
      </c>
      <c r="CM95" s="50">
        <f t="shared" si="104"/>
        <v>0</v>
      </c>
      <c r="CN95" s="50">
        <f t="shared" si="104"/>
        <v>0</v>
      </c>
    </row>
    <row r="96" spans="1:92" x14ac:dyDescent="0.2">
      <c r="A96" s="10"/>
      <c r="B96" s="31" t="s">
        <v>761</v>
      </c>
      <c r="C96" s="31"/>
      <c r="D96" s="31"/>
      <c r="E96" s="31"/>
      <c r="F96" s="31"/>
      <c r="G96" s="31"/>
      <c r="H96" s="32">
        <f t="shared" si="61"/>
        <v>37787.264400000007</v>
      </c>
      <c r="I96" s="32">
        <f t="shared" ref="I96:AN96" si="105">I80+I95</f>
        <v>0</v>
      </c>
      <c r="J96" s="32">
        <f t="shared" si="105"/>
        <v>0</v>
      </c>
      <c r="K96" s="32">
        <f t="shared" si="105"/>
        <v>0</v>
      </c>
      <c r="L96" s="32">
        <f t="shared" si="105"/>
        <v>-150</v>
      </c>
      <c r="M96" s="32">
        <f t="shared" si="105"/>
        <v>-150</v>
      </c>
      <c r="N96" s="32">
        <f t="shared" si="105"/>
        <v>-150</v>
      </c>
      <c r="O96" s="32">
        <f t="shared" si="105"/>
        <v>-150</v>
      </c>
      <c r="P96" s="32">
        <f t="shared" si="105"/>
        <v>-150</v>
      </c>
      <c r="Q96" s="32">
        <f t="shared" si="105"/>
        <v>-150</v>
      </c>
      <c r="R96" s="32">
        <f t="shared" si="105"/>
        <v>-100</v>
      </c>
      <c r="S96" s="32">
        <f t="shared" si="105"/>
        <v>-100</v>
      </c>
      <c r="T96" s="32">
        <f t="shared" si="105"/>
        <v>-100</v>
      </c>
      <c r="U96" s="32">
        <f t="shared" si="105"/>
        <v>-602.9202344883106</v>
      </c>
      <c r="V96" s="32">
        <f t="shared" si="105"/>
        <v>-1524.2155379941187</v>
      </c>
      <c r="W96" s="32">
        <f t="shared" si="105"/>
        <v>271.2529236473847</v>
      </c>
      <c r="X96" s="32">
        <f t="shared" si="105"/>
        <v>-56.916480158118247</v>
      </c>
      <c r="Y96" s="32">
        <f t="shared" si="105"/>
        <v>-434.78686564476311</v>
      </c>
      <c r="Z96" s="32">
        <f t="shared" si="105"/>
        <v>-751.04845028982209</v>
      </c>
      <c r="AA96" s="32">
        <f t="shared" si="105"/>
        <v>-961.73213153070583</v>
      </c>
      <c r="AB96" s="32">
        <f t="shared" si="105"/>
        <v>-1123.6598468697421</v>
      </c>
      <c r="AC96" s="32">
        <f t="shared" si="105"/>
        <v>-2660.54695068097</v>
      </c>
      <c r="AD96" s="32">
        <f t="shared" si="105"/>
        <v>-2801.1105410536238</v>
      </c>
      <c r="AE96" s="32">
        <f t="shared" si="105"/>
        <v>-2847.5116765604871</v>
      </c>
      <c r="AF96" s="32">
        <f t="shared" si="105"/>
        <v>-2795.3448168000687</v>
      </c>
      <c r="AG96" s="32">
        <f t="shared" si="105"/>
        <v>-2641.3788636750687</v>
      </c>
      <c r="AH96" s="32">
        <f t="shared" si="105"/>
        <v>-2145.44544721171</v>
      </c>
      <c r="AI96" s="32">
        <f t="shared" si="105"/>
        <v>-1782.3143509905613</v>
      </c>
      <c r="AJ96" s="32">
        <f t="shared" si="105"/>
        <v>-1313.2900606179078</v>
      </c>
      <c r="AK96" s="32">
        <f t="shared" si="105"/>
        <v>-737.75297977542959</v>
      </c>
      <c r="AL96" s="32">
        <f t="shared" si="105"/>
        <v>-54.267395213703821</v>
      </c>
      <c r="AM96" s="32">
        <f t="shared" si="105"/>
        <v>740.98574783273443</v>
      </c>
      <c r="AN96" s="32">
        <f t="shared" si="105"/>
        <v>1657.2643568198969</v>
      </c>
      <c r="AO96" s="32">
        <f t="shared" ref="AO96:BT96" si="106">AO80+AO95</f>
        <v>2716.0064016815422</v>
      </c>
      <c r="AP96" s="32">
        <f t="shared" si="106"/>
        <v>3968.5860941775222</v>
      </c>
      <c r="AQ96" s="32">
        <f t="shared" si="106"/>
        <v>5558.0750021951117</v>
      </c>
      <c r="AR96" s="32">
        <f t="shared" si="106"/>
        <v>8088.9467432009178</v>
      </c>
      <c r="AS96" s="32">
        <f t="shared" si="106"/>
        <v>22335.327600000008</v>
      </c>
      <c r="AT96" s="32">
        <f t="shared" si="106"/>
        <v>3147.5103599999993</v>
      </c>
      <c r="AU96" s="32">
        <f t="shared" si="106"/>
        <v>3147.5103599999993</v>
      </c>
      <c r="AV96" s="32">
        <f t="shared" si="106"/>
        <v>3147.5103599999993</v>
      </c>
      <c r="AW96" s="32">
        <f t="shared" si="106"/>
        <v>3147.5103599999993</v>
      </c>
      <c r="AX96" s="32">
        <f t="shared" si="106"/>
        <v>3147.5103599999993</v>
      </c>
      <c r="AY96" s="32">
        <f t="shared" si="106"/>
        <v>3147.5103599999993</v>
      </c>
      <c r="AZ96" s="32">
        <f t="shared" si="106"/>
        <v>0</v>
      </c>
      <c r="BA96" s="32">
        <f t="shared" si="106"/>
        <v>0</v>
      </c>
      <c r="BB96" s="32">
        <f t="shared" si="106"/>
        <v>0</v>
      </c>
      <c r="BC96" s="32">
        <f t="shared" si="106"/>
        <v>0</v>
      </c>
      <c r="BD96" s="32">
        <f t="shared" si="106"/>
        <v>0</v>
      </c>
      <c r="BE96" s="32">
        <f t="shared" si="106"/>
        <v>0</v>
      </c>
      <c r="BF96" s="32">
        <f t="shared" si="106"/>
        <v>0</v>
      </c>
      <c r="BG96" s="32">
        <f t="shared" si="106"/>
        <v>0</v>
      </c>
      <c r="BH96" s="32">
        <f t="shared" si="106"/>
        <v>0</v>
      </c>
      <c r="BI96" s="32">
        <f t="shared" si="106"/>
        <v>0</v>
      </c>
      <c r="BJ96" s="32">
        <f t="shared" si="106"/>
        <v>0</v>
      </c>
      <c r="BK96" s="32">
        <f t="shared" si="106"/>
        <v>0</v>
      </c>
      <c r="BL96" s="32">
        <f t="shared" si="106"/>
        <v>0</v>
      </c>
      <c r="BM96" s="32">
        <f t="shared" si="106"/>
        <v>0</v>
      </c>
      <c r="BN96" s="32">
        <f t="shared" si="106"/>
        <v>0</v>
      </c>
      <c r="BO96" s="32">
        <f t="shared" si="106"/>
        <v>0</v>
      </c>
      <c r="BP96" s="32">
        <f t="shared" si="106"/>
        <v>0</v>
      </c>
      <c r="BQ96" s="32">
        <f t="shared" si="106"/>
        <v>0</v>
      </c>
      <c r="BR96" s="32">
        <f t="shared" si="106"/>
        <v>0</v>
      </c>
      <c r="BS96" s="32">
        <f t="shared" si="106"/>
        <v>0</v>
      </c>
      <c r="BT96" s="32">
        <f t="shared" si="106"/>
        <v>0</v>
      </c>
      <c r="BU96" s="32">
        <f t="shared" ref="BU96:CN96" si="107">BU80+BU95</f>
        <v>0</v>
      </c>
      <c r="BV96" s="32">
        <f t="shared" si="107"/>
        <v>0</v>
      </c>
      <c r="BW96" s="32">
        <f t="shared" si="107"/>
        <v>0</v>
      </c>
      <c r="BX96" s="32">
        <f t="shared" si="107"/>
        <v>0</v>
      </c>
      <c r="BY96" s="32">
        <f t="shared" si="107"/>
        <v>0</v>
      </c>
      <c r="BZ96" s="32">
        <f t="shared" si="107"/>
        <v>0</v>
      </c>
      <c r="CA96" s="32">
        <f t="shared" si="107"/>
        <v>0</v>
      </c>
      <c r="CB96" s="32">
        <f t="shared" si="107"/>
        <v>0</v>
      </c>
      <c r="CC96" s="32">
        <f t="shared" si="107"/>
        <v>0</v>
      </c>
      <c r="CD96" s="32">
        <f t="shared" si="107"/>
        <v>0</v>
      </c>
      <c r="CE96" s="32">
        <f t="shared" si="107"/>
        <v>0</v>
      </c>
      <c r="CF96" s="32">
        <f t="shared" si="107"/>
        <v>0</v>
      </c>
      <c r="CG96" s="32">
        <f t="shared" si="107"/>
        <v>0</v>
      </c>
      <c r="CH96" s="32">
        <f t="shared" si="107"/>
        <v>0</v>
      </c>
      <c r="CI96" s="32">
        <f t="shared" si="107"/>
        <v>0</v>
      </c>
      <c r="CJ96" s="32">
        <f t="shared" si="107"/>
        <v>0</v>
      </c>
      <c r="CK96" s="32">
        <f t="shared" si="107"/>
        <v>0</v>
      </c>
      <c r="CL96" s="32">
        <f t="shared" si="107"/>
        <v>0</v>
      </c>
      <c r="CM96" s="32">
        <f t="shared" si="107"/>
        <v>0</v>
      </c>
      <c r="CN96" s="32">
        <f t="shared" si="107"/>
        <v>0</v>
      </c>
    </row>
    <row r="97" spans="1:92" x14ac:dyDescent="0.2">
      <c r="A97" s="10"/>
      <c r="B97" s="10"/>
      <c r="C97" s="10" t="s">
        <v>762</v>
      </c>
      <c r="D97" s="10"/>
      <c r="E97" s="10"/>
      <c r="F97" s="10"/>
      <c r="G97" s="10"/>
      <c r="H97" s="12"/>
      <c r="I97" s="12">
        <f>I96</f>
        <v>0</v>
      </c>
      <c r="J97" s="12">
        <f t="shared" ref="J97:AO97" si="108">I97+J96</f>
        <v>0</v>
      </c>
      <c r="K97" s="12">
        <f t="shared" si="108"/>
        <v>0</v>
      </c>
      <c r="L97" s="12">
        <f t="shared" si="108"/>
        <v>-150</v>
      </c>
      <c r="M97" s="12">
        <f t="shared" si="108"/>
        <v>-300</v>
      </c>
      <c r="N97" s="12">
        <f t="shared" si="108"/>
        <v>-450</v>
      </c>
      <c r="O97" s="12">
        <f t="shared" si="108"/>
        <v>-600</v>
      </c>
      <c r="P97" s="12">
        <f t="shared" si="108"/>
        <v>-750</v>
      </c>
      <c r="Q97" s="12">
        <f t="shared" si="108"/>
        <v>-900</v>
      </c>
      <c r="R97" s="12">
        <f t="shared" si="108"/>
        <v>-1000</v>
      </c>
      <c r="S97" s="12">
        <f t="shared" si="108"/>
        <v>-1100</v>
      </c>
      <c r="T97" s="12">
        <f t="shared" si="108"/>
        <v>-1200</v>
      </c>
      <c r="U97" s="12">
        <f t="shared" si="108"/>
        <v>-1802.9202344883106</v>
      </c>
      <c r="V97" s="12">
        <f t="shared" si="108"/>
        <v>-3327.1357724824293</v>
      </c>
      <c r="W97" s="12">
        <f t="shared" si="108"/>
        <v>-3055.8828488350446</v>
      </c>
      <c r="X97" s="12">
        <f t="shared" si="108"/>
        <v>-3112.7993289931628</v>
      </c>
      <c r="Y97" s="12">
        <f t="shared" si="108"/>
        <v>-3547.5861946379259</v>
      </c>
      <c r="Z97" s="12">
        <f t="shared" si="108"/>
        <v>-4298.634644927748</v>
      </c>
      <c r="AA97" s="12">
        <f t="shared" si="108"/>
        <v>-5260.3667764584534</v>
      </c>
      <c r="AB97" s="12">
        <f t="shared" si="108"/>
        <v>-6384.0266233281955</v>
      </c>
      <c r="AC97" s="12">
        <f t="shared" si="108"/>
        <v>-9044.5735740091659</v>
      </c>
      <c r="AD97" s="12">
        <f t="shared" si="108"/>
        <v>-11845.68411506279</v>
      </c>
      <c r="AE97" s="12">
        <f t="shared" si="108"/>
        <v>-14693.195791623277</v>
      </c>
      <c r="AF97" s="12">
        <f t="shared" si="108"/>
        <v>-17488.540608423347</v>
      </c>
      <c r="AG97" s="12">
        <f t="shared" si="108"/>
        <v>-20129.919472098416</v>
      </c>
      <c r="AH97" s="12">
        <f t="shared" si="108"/>
        <v>-22275.364919310126</v>
      </c>
      <c r="AI97" s="12">
        <f t="shared" si="108"/>
        <v>-24057.679270300687</v>
      </c>
      <c r="AJ97" s="12">
        <f t="shared" si="108"/>
        <v>-25370.969330918593</v>
      </c>
      <c r="AK97" s="12">
        <f t="shared" si="108"/>
        <v>-26108.722310694022</v>
      </c>
      <c r="AL97" s="12">
        <f t="shared" si="108"/>
        <v>-26162.989705907727</v>
      </c>
      <c r="AM97" s="12">
        <f t="shared" si="108"/>
        <v>-25422.003958074991</v>
      </c>
      <c r="AN97" s="12">
        <f t="shared" si="108"/>
        <v>-23764.739601255093</v>
      </c>
      <c r="AO97" s="12">
        <f t="shared" si="108"/>
        <v>-21048.733199573551</v>
      </c>
      <c r="AP97" s="12">
        <f t="shared" ref="AP97:BU97" si="109">AO97+AP96</f>
        <v>-17080.14710539603</v>
      </c>
      <c r="AQ97" s="12">
        <f t="shared" si="109"/>
        <v>-11522.072103200919</v>
      </c>
      <c r="AR97" s="12">
        <f t="shared" si="109"/>
        <v>-3433.1253600000009</v>
      </c>
      <c r="AS97" s="12">
        <f t="shared" si="109"/>
        <v>18902.202240000006</v>
      </c>
      <c r="AT97" s="12">
        <f t="shared" si="109"/>
        <v>22049.712600000006</v>
      </c>
      <c r="AU97" s="12">
        <f t="shared" si="109"/>
        <v>25197.222960000006</v>
      </c>
      <c r="AV97" s="12">
        <f t="shared" si="109"/>
        <v>28344.733320000007</v>
      </c>
      <c r="AW97" s="12">
        <f t="shared" si="109"/>
        <v>31492.243680000007</v>
      </c>
      <c r="AX97" s="12">
        <f t="shared" si="109"/>
        <v>34639.754040000007</v>
      </c>
      <c r="AY97" s="12">
        <f t="shared" si="109"/>
        <v>37787.264400000007</v>
      </c>
      <c r="AZ97" s="12">
        <f t="shared" si="109"/>
        <v>37787.264400000007</v>
      </c>
      <c r="BA97" s="12">
        <f t="shared" si="109"/>
        <v>37787.264400000007</v>
      </c>
      <c r="BB97" s="12">
        <f t="shared" si="109"/>
        <v>37787.264400000007</v>
      </c>
      <c r="BC97" s="12">
        <f t="shared" si="109"/>
        <v>37787.264400000007</v>
      </c>
      <c r="BD97" s="12">
        <f t="shared" si="109"/>
        <v>37787.264400000007</v>
      </c>
      <c r="BE97" s="12">
        <f t="shared" si="109"/>
        <v>37787.264400000007</v>
      </c>
      <c r="BF97" s="12">
        <f t="shared" si="109"/>
        <v>37787.264400000007</v>
      </c>
      <c r="BG97" s="12">
        <f t="shared" si="109"/>
        <v>37787.264400000007</v>
      </c>
      <c r="BH97" s="12">
        <f t="shared" si="109"/>
        <v>37787.264400000007</v>
      </c>
      <c r="BI97" s="12">
        <f t="shared" si="109"/>
        <v>37787.264400000007</v>
      </c>
      <c r="BJ97" s="12">
        <f t="shared" si="109"/>
        <v>37787.264400000007</v>
      </c>
      <c r="BK97" s="12">
        <f t="shared" si="109"/>
        <v>37787.264400000007</v>
      </c>
      <c r="BL97" s="12">
        <f t="shared" si="109"/>
        <v>37787.264400000007</v>
      </c>
      <c r="BM97" s="12">
        <f t="shared" si="109"/>
        <v>37787.264400000007</v>
      </c>
      <c r="BN97" s="12">
        <f t="shared" si="109"/>
        <v>37787.264400000007</v>
      </c>
      <c r="BO97" s="12">
        <f t="shared" si="109"/>
        <v>37787.264400000007</v>
      </c>
      <c r="BP97" s="12">
        <f t="shared" si="109"/>
        <v>37787.264400000007</v>
      </c>
      <c r="BQ97" s="12">
        <f t="shared" si="109"/>
        <v>37787.264400000007</v>
      </c>
      <c r="BR97" s="12">
        <f t="shared" si="109"/>
        <v>37787.264400000007</v>
      </c>
      <c r="BS97" s="12">
        <f t="shared" si="109"/>
        <v>37787.264400000007</v>
      </c>
      <c r="BT97" s="12">
        <f t="shared" si="109"/>
        <v>37787.264400000007</v>
      </c>
      <c r="BU97" s="12">
        <f t="shared" si="109"/>
        <v>37787.264400000007</v>
      </c>
      <c r="BV97" s="12">
        <f t="shared" ref="BV97:CN97" si="110">BU97+BV96</f>
        <v>37787.264400000007</v>
      </c>
      <c r="BW97" s="12">
        <f t="shared" si="110"/>
        <v>37787.264400000007</v>
      </c>
      <c r="BX97" s="12">
        <f t="shared" si="110"/>
        <v>37787.264400000007</v>
      </c>
      <c r="BY97" s="12">
        <f t="shared" si="110"/>
        <v>37787.264400000007</v>
      </c>
      <c r="BZ97" s="12">
        <f t="shared" si="110"/>
        <v>37787.264400000007</v>
      </c>
      <c r="CA97" s="12">
        <f t="shared" si="110"/>
        <v>37787.264400000007</v>
      </c>
      <c r="CB97" s="12">
        <f t="shared" si="110"/>
        <v>37787.264400000007</v>
      </c>
      <c r="CC97" s="12">
        <f t="shared" si="110"/>
        <v>37787.264400000007</v>
      </c>
      <c r="CD97" s="12">
        <f t="shared" si="110"/>
        <v>37787.264400000007</v>
      </c>
      <c r="CE97" s="12">
        <f t="shared" si="110"/>
        <v>37787.264400000007</v>
      </c>
      <c r="CF97" s="12">
        <f t="shared" si="110"/>
        <v>37787.264400000007</v>
      </c>
      <c r="CG97" s="12">
        <f t="shared" si="110"/>
        <v>37787.264400000007</v>
      </c>
      <c r="CH97" s="12">
        <f t="shared" si="110"/>
        <v>37787.264400000007</v>
      </c>
      <c r="CI97" s="12">
        <f t="shared" si="110"/>
        <v>37787.264400000007</v>
      </c>
      <c r="CJ97" s="12">
        <f t="shared" si="110"/>
        <v>37787.264400000007</v>
      </c>
      <c r="CK97" s="12">
        <f t="shared" si="110"/>
        <v>37787.264400000007</v>
      </c>
      <c r="CL97" s="12">
        <f t="shared" si="110"/>
        <v>37787.264400000007</v>
      </c>
      <c r="CM97" s="12">
        <f t="shared" si="110"/>
        <v>37787.264400000007</v>
      </c>
      <c r="CN97" s="12">
        <f t="shared" si="110"/>
        <v>37787.264400000007</v>
      </c>
    </row>
    <row r="98" spans="1:92" x14ac:dyDescent="0.2">
      <c r="A98" s="10"/>
      <c r="B98" s="142" t="s">
        <v>763</v>
      </c>
      <c r="C98" s="201" t="s">
        <v>764</v>
      </c>
      <c r="D98" s="194"/>
      <c r="E98" s="194"/>
      <c r="F98" s="194"/>
      <c r="G98" s="194"/>
      <c r="H98" s="216"/>
      <c r="I98" s="216">
        <f>-SUM($I83:I83)</f>
        <v>0</v>
      </c>
      <c r="J98" s="216">
        <f>-SUM($I83:J83)</f>
        <v>0</v>
      </c>
      <c r="K98" s="216">
        <f>-SUM($I83:K83)</f>
        <v>0</v>
      </c>
      <c r="L98" s="216">
        <f>-SUM($I83:L83)</f>
        <v>0</v>
      </c>
      <c r="M98" s="216">
        <f>-SUM($I83:M83)</f>
        <v>0</v>
      </c>
      <c r="N98" s="216">
        <f>-SUM($I83:N83)</f>
        <v>0</v>
      </c>
      <c r="O98" s="216">
        <f>-SUM($I83:O83)</f>
        <v>0</v>
      </c>
      <c r="P98" s="216">
        <f>-SUM($I83:P83)</f>
        <v>0</v>
      </c>
      <c r="Q98" s="216">
        <f>-SUM($I83:Q83)</f>
        <v>0</v>
      </c>
      <c r="R98" s="216">
        <f>-SUM($I83:R83)</f>
        <v>0</v>
      </c>
      <c r="S98" s="216">
        <f>-SUM($I83:S83)</f>
        <v>0</v>
      </c>
      <c r="T98" s="216">
        <f>-SUM($I83:T83)</f>
        <v>0</v>
      </c>
      <c r="U98" s="216">
        <f>-SUM($I83:U83)</f>
        <v>320.80486577417025</v>
      </c>
      <c r="V98" s="216">
        <f>-SUM($I83:V83)</f>
        <v>1277.7304028993726</v>
      </c>
      <c r="W98" s="216">
        <f>-SUM($I83:W83)</f>
        <v>2854.403350125513</v>
      </c>
      <c r="X98" s="216">
        <f>-SUM($I83:X83)</f>
        <v>5023.8463961892267</v>
      </c>
      <c r="Y98" s="216">
        <f>-SUM($I83:Y83)</f>
        <v>7748.9397690891165</v>
      </c>
      <c r="Z98" s="216">
        <f>-SUM($I83:Z83)</f>
        <v>10983.056365676246</v>
      </c>
      <c r="AA98" s="216">
        <f>-SUM($I83:AA83)</f>
        <v>14670.859554316487</v>
      </c>
      <c r="AB98" s="216">
        <f>-SUM($I83:AB83)</f>
        <v>18749.249999999996</v>
      </c>
      <c r="AC98" s="216">
        <f>-SUM($I83:AC83)</f>
        <v>23148.445311457679</v>
      </c>
      <c r="AD98" s="216">
        <f>-SUM($I83:AD83)</f>
        <v>27793.174037223122</v>
      </c>
      <c r="AE98" s="216">
        <f>-SUM($I83:AE83)</f>
        <v>32603.963581036391</v>
      </c>
      <c r="AF98" s="216">
        <f>-SUM($I83:AF83)</f>
        <v>37498.499999999993</v>
      </c>
      <c r="AG98" s="216">
        <f>-SUM($I83:AG83)</f>
        <v>42393.036418963595</v>
      </c>
      <c r="AH98" s="216">
        <f>-SUM($I83:AH83)</f>
        <v>47203.825962776864</v>
      </c>
      <c r="AI98" s="216">
        <f>-SUM($I83:AI83)</f>
        <v>51848.55468854231</v>
      </c>
      <c r="AJ98" s="216">
        <f>-SUM($I83:AJ83)</f>
        <v>56247.749999999993</v>
      </c>
      <c r="AK98" s="216">
        <f>-SUM($I83:AK83)</f>
        <v>60326.140445683501</v>
      </c>
      <c r="AL98" s="216">
        <f>-SUM($I83:AL83)</f>
        <v>64013.943634323739</v>
      </c>
      <c r="AM98" s="216">
        <f>-SUM($I83:AM83)</f>
        <v>67248.060230910865</v>
      </c>
      <c r="AN98" s="216">
        <f>-SUM($I83:AN83)</f>
        <v>69973.153603810759</v>
      </c>
      <c r="AO98" s="216">
        <f>-SUM($I83:AO83)</f>
        <v>72142.596649874467</v>
      </c>
      <c r="AP98" s="216">
        <f>-SUM($I83:AP83)</f>
        <v>73719.269597100603</v>
      </c>
      <c r="AQ98" s="216">
        <f>-SUM($I83:AQ83)</f>
        <v>74676.195134225811</v>
      </c>
      <c r="AR98" s="216">
        <f>-SUM($I83:AR83)</f>
        <v>74996.999999999985</v>
      </c>
      <c r="AS98" s="216">
        <f>-SUM($I83:AS83)</f>
        <v>74996.999999999985</v>
      </c>
      <c r="AT98" s="216">
        <f>-SUM($I83:AT83)</f>
        <v>74996.999999999985</v>
      </c>
      <c r="AU98" s="216">
        <f>-SUM($I83:AU83)</f>
        <v>74996.999999999985</v>
      </c>
      <c r="AV98" s="216">
        <f>-SUM($I83:AV83)</f>
        <v>74996.999999999985</v>
      </c>
      <c r="AW98" s="216">
        <f>-SUM($I83:AW83)</f>
        <v>74996.999999999985</v>
      </c>
      <c r="AX98" s="216">
        <f>-SUM($I83:AX83)</f>
        <v>74996.999999999985</v>
      </c>
      <c r="AY98" s="216">
        <f>-SUM($I83:AY83)</f>
        <v>74996.999999999985</v>
      </c>
      <c r="AZ98" s="216">
        <f>-SUM($I83:AZ83)</f>
        <v>74996.999999999985</v>
      </c>
      <c r="BA98" s="216">
        <f>-SUM($I83:BA83)</f>
        <v>74996.999999999985</v>
      </c>
      <c r="BB98" s="216">
        <f>-SUM($I83:BB83)</f>
        <v>74996.999999999985</v>
      </c>
      <c r="BC98" s="216">
        <f>-SUM($I83:BC83)</f>
        <v>74996.999999999985</v>
      </c>
      <c r="BD98" s="216">
        <f>-SUM($I83:BD83)</f>
        <v>74996.999999999985</v>
      </c>
      <c r="BE98" s="216">
        <f>-SUM($I83:BE83)</f>
        <v>74996.999999999985</v>
      </c>
      <c r="BF98" s="216">
        <f>-SUM($I83:BF83)</f>
        <v>74996.999999999985</v>
      </c>
      <c r="BG98" s="216">
        <f>-SUM($I83:BG83)</f>
        <v>74996.999999999985</v>
      </c>
      <c r="BH98" s="216">
        <f>-SUM($I83:BH83)</f>
        <v>74996.999999999985</v>
      </c>
      <c r="BI98" s="216">
        <f>-SUM($I83:BI83)</f>
        <v>74996.999999999985</v>
      </c>
      <c r="BJ98" s="216">
        <f>-SUM($I83:BJ83)</f>
        <v>74996.999999999985</v>
      </c>
      <c r="BK98" s="216">
        <f>-SUM($I83:BK83)</f>
        <v>74996.999999999985</v>
      </c>
      <c r="BL98" s="216">
        <f>-SUM($I83:BL83)</f>
        <v>74996.999999999985</v>
      </c>
      <c r="BM98" s="216">
        <f>-SUM($I83:BM83)</f>
        <v>74996.999999999985</v>
      </c>
      <c r="BN98" s="216">
        <f>-SUM($I83:BN83)</f>
        <v>74996.999999999985</v>
      </c>
      <c r="BO98" s="216">
        <f>-SUM($I83:BO83)</f>
        <v>74996.999999999985</v>
      </c>
      <c r="BP98" s="216">
        <f>-SUM($I83:BP83)</f>
        <v>74996.999999999985</v>
      </c>
      <c r="BQ98" s="216">
        <f>-SUM($I83:BQ83)</f>
        <v>74996.999999999985</v>
      </c>
      <c r="BR98" s="216">
        <f>-SUM($I83:BR83)</f>
        <v>74996.999999999985</v>
      </c>
      <c r="BS98" s="216">
        <f>-SUM($I83:BS83)</f>
        <v>74996.999999999985</v>
      </c>
      <c r="BT98" s="216">
        <f>-SUM($I83:BT83)</f>
        <v>74996.999999999985</v>
      </c>
      <c r="BU98" s="216">
        <f>-SUM($I83:BU83)</f>
        <v>74996.999999999985</v>
      </c>
      <c r="BV98" s="216">
        <f>-SUM($I83:BV83)</f>
        <v>74996.999999999985</v>
      </c>
      <c r="BW98" s="216">
        <f>-SUM($I83:BW83)</f>
        <v>74996.999999999985</v>
      </c>
      <c r="BX98" s="216">
        <f>-SUM($I83:BX83)</f>
        <v>74996.999999999985</v>
      </c>
      <c r="BY98" s="216">
        <f>-SUM($I83:BY83)</f>
        <v>74996.999999999985</v>
      </c>
      <c r="BZ98" s="216">
        <f>-SUM($I83:BZ83)</f>
        <v>74996.999999999985</v>
      </c>
      <c r="CA98" s="216">
        <f>-SUM($I83:CA83)</f>
        <v>74996.999999999985</v>
      </c>
      <c r="CB98" s="216">
        <f>-SUM($I83:CB83)</f>
        <v>74996.999999999985</v>
      </c>
      <c r="CC98" s="216">
        <f>-SUM($I83:CC83)</f>
        <v>74996.999999999985</v>
      </c>
      <c r="CD98" s="216">
        <f>-SUM($I83:CD83)</f>
        <v>74996.999999999985</v>
      </c>
      <c r="CE98" s="216">
        <f>-SUM($I83:CE83)</f>
        <v>74996.999999999985</v>
      </c>
      <c r="CF98" s="216">
        <f>-SUM($I83:CF83)</f>
        <v>74996.999999999985</v>
      </c>
      <c r="CG98" s="216">
        <f>-SUM($I83:CG83)</f>
        <v>74996.999999999985</v>
      </c>
      <c r="CH98" s="216">
        <f>-SUM($I83:CH83)</f>
        <v>74996.999999999985</v>
      </c>
      <c r="CI98" s="216">
        <f>-SUM($I83:CI83)</f>
        <v>74996.999999999985</v>
      </c>
      <c r="CJ98" s="216">
        <f>-SUM($I83:CJ83)</f>
        <v>74996.999999999985</v>
      </c>
      <c r="CK98" s="216">
        <f>-SUM($I83:CK83)</f>
        <v>74996.999999999985</v>
      </c>
      <c r="CL98" s="216">
        <f>-SUM($I83:CL83)</f>
        <v>74996.999999999985</v>
      </c>
      <c r="CM98" s="216">
        <f>-SUM($I83:CM83)</f>
        <v>74996.999999999985</v>
      </c>
      <c r="CN98" s="216">
        <f>-SUM($I83:CN83)</f>
        <v>74996.999999999985</v>
      </c>
    </row>
    <row r="99" spans="1:92" x14ac:dyDescent="0.2">
      <c r="A99" s="10"/>
      <c r="B99" s="10"/>
      <c r="C99" s="201" t="s">
        <v>765</v>
      </c>
      <c r="D99" s="194"/>
      <c r="E99" s="194"/>
      <c r="F99" s="194"/>
      <c r="G99" s="194"/>
      <c r="H99" s="216"/>
      <c r="I99" s="216">
        <f t="shared" ref="I99:AN99" si="111">IF(I$6&lt;$E$61,MAX(0,I98-(1-$D$59)*$H$22),0)</f>
        <v>0</v>
      </c>
      <c r="J99" s="216">
        <f t="shared" si="111"/>
        <v>0</v>
      </c>
      <c r="K99" s="216">
        <f t="shared" si="111"/>
        <v>0</v>
      </c>
      <c r="L99" s="216">
        <f t="shared" si="111"/>
        <v>0</v>
      </c>
      <c r="M99" s="216">
        <f t="shared" si="111"/>
        <v>0</v>
      </c>
      <c r="N99" s="216">
        <f t="shared" si="111"/>
        <v>0</v>
      </c>
      <c r="O99" s="216">
        <f t="shared" si="111"/>
        <v>0</v>
      </c>
      <c r="P99" s="216">
        <f t="shared" si="111"/>
        <v>0</v>
      </c>
      <c r="Q99" s="216">
        <f t="shared" si="111"/>
        <v>0</v>
      </c>
      <c r="R99" s="216">
        <f t="shared" si="111"/>
        <v>0</v>
      </c>
      <c r="S99" s="216">
        <f t="shared" si="111"/>
        <v>0</v>
      </c>
      <c r="T99" s="216">
        <f t="shared" si="111"/>
        <v>0</v>
      </c>
      <c r="U99" s="216">
        <f t="shared" si="111"/>
        <v>0</v>
      </c>
      <c r="V99" s="216">
        <f t="shared" si="111"/>
        <v>0</v>
      </c>
      <c r="W99" s="216">
        <f t="shared" si="111"/>
        <v>0</v>
      </c>
      <c r="X99" s="216">
        <f t="shared" si="111"/>
        <v>0</v>
      </c>
      <c r="Y99" s="216">
        <f t="shared" si="111"/>
        <v>0</v>
      </c>
      <c r="Z99" s="216">
        <f t="shared" si="111"/>
        <v>0</v>
      </c>
      <c r="AA99" s="216">
        <f t="shared" si="111"/>
        <v>0</v>
      </c>
      <c r="AB99" s="216">
        <f t="shared" si="111"/>
        <v>0</v>
      </c>
      <c r="AC99" s="216">
        <f t="shared" si="111"/>
        <v>0</v>
      </c>
      <c r="AD99" s="216">
        <f t="shared" si="111"/>
        <v>0</v>
      </c>
      <c r="AE99" s="216">
        <f t="shared" si="111"/>
        <v>2605.1635810363878</v>
      </c>
      <c r="AF99" s="216">
        <f t="shared" si="111"/>
        <v>7499.6999999999898</v>
      </c>
      <c r="AG99" s="216">
        <f t="shared" si="111"/>
        <v>12394.236418963592</v>
      </c>
      <c r="AH99" s="216">
        <f t="shared" si="111"/>
        <v>17205.025962776861</v>
      </c>
      <c r="AI99" s="216">
        <f t="shared" si="111"/>
        <v>21849.754688542307</v>
      </c>
      <c r="AJ99" s="216">
        <f t="shared" si="111"/>
        <v>26248.94999999999</v>
      </c>
      <c r="AK99" s="216">
        <f t="shared" si="111"/>
        <v>30327.340445683498</v>
      </c>
      <c r="AL99" s="216">
        <f t="shared" si="111"/>
        <v>34015.143634323736</v>
      </c>
      <c r="AM99" s="216">
        <f t="shared" si="111"/>
        <v>37249.260230910862</v>
      </c>
      <c r="AN99" s="216">
        <f t="shared" si="111"/>
        <v>39974.353603810756</v>
      </c>
      <c r="AO99" s="216">
        <f t="shared" ref="AO99:BT99" si="112">IF(AO$6&lt;$E$61,MAX(0,AO98-(1-$D$59)*$H$22),0)</f>
        <v>42143.796649874464</v>
      </c>
      <c r="AP99" s="216">
        <f t="shared" si="112"/>
        <v>43720.4695971006</v>
      </c>
      <c r="AQ99" s="216">
        <f t="shared" si="112"/>
        <v>44677.395134225808</v>
      </c>
      <c r="AR99" s="216">
        <f t="shared" si="112"/>
        <v>44998.199999999983</v>
      </c>
      <c r="AS99" s="216">
        <f t="shared" si="112"/>
        <v>44998.199999999983</v>
      </c>
      <c r="AT99" s="216">
        <f t="shared" si="112"/>
        <v>44998.199999999983</v>
      </c>
      <c r="AU99" s="216">
        <f t="shared" si="112"/>
        <v>44998.199999999983</v>
      </c>
      <c r="AV99" s="216">
        <f t="shared" si="112"/>
        <v>44998.199999999983</v>
      </c>
      <c r="AW99" s="216">
        <f t="shared" si="112"/>
        <v>44998.199999999983</v>
      </c>
      <c r="AX99" s="216">
        <f t="shared" si="112"/>
        <v>44998.199999999983</v>
      </c>
      <c r="AY99" s="216">
        <f t="shared" si="112"/>
        <v>44998.199999999983</v>
      </c>
      <c r="AZ99" s="216">
        <f t="shared" si="112"/>
        <v>0</v>
      </c>
      <c r="BA99" s="216">
        <f t="shared" si="112"/>
        <v>0</v>
      </c>
      <c r="BB99" s="216">
        <f t="shared" si="112"/>
        <v>0</v>
      </c>
      <c r="BC99" s="216">
        <f t="shared" si="112"/>
        <v>0</v>
      </c>
      <c r="BD99" s="216">
        <f t="shared" si="112"/>
        <v>0</v>
      </c>
      <c r="BE99" s="216">
        <f t="shared" si="112"/>
        <v>0</v>
      </c>
      <c r="BF99" s="216">
        <f t="shared" si="112"/>
        <v>0</v>
      </c>
      <c r="BG99" s="216">
        <f t="shared" si="112"/>
        <v>0</v>
      </c>
      <c r="BH99" s="216">
        <f t="shared" si="112"/>
        <v>0</v>
      </c>
      <c r="BI99" s="216">
        <f t="shared" si="112"/>
        <v>0</v>
      </c>
      <c r="BJ99" s="216">
        <f t="shared" si="112"/>
        <v>0</v>
      </c>
      <c r="BK99" s="216">
        <f t="shared" si="112"/>
        <v>0</v>
      </c>
      <c r="BL99" s="216">
        <f t="shared" si="112"/>
        <v>0</v>
      </c>
      <c r="BM99" s="216">
        <f t="shared" si="112"/>
        <v>0</v>
      </c>
      <c r="BN99" s="216">
        <f t="shared" si="112"/>
        <v>0</v>
      </c>
      <c r="BO99" s="216">
        <f t="shared" si="112"/>
        <v>0</v>
      </c>
      <c r="BP99" s="216">
        <f t="shared" si="112"/>
        <v>0</v>
      </c>
      <c r="BQ99" s="216">
        <f t="shared" si="112"/>
        <v>0</v>
      </c>
      <c r="BR99" s="216">
        <f t="shared" si="112"/>
        <v>0</v>
      </c>
      <c r="BS99" s="216">
        <f t="shared" si="112"/>
        <v>0</v>
      </c>
      <c r="BT99" s="216">
        <f t="shared" si="112"/>
        <v>0</v>
      </c>
      <c r="BU99" s="216">
        <f t="shared" ref="BU99:CN99" si="113">IF(BU$6&lt;$E$61,MAX(0,BU98-(1-$D$59)*$H$22),0)</f>
        <v>0</v>
      </c>
      <c r="BV99" s="216">
        <f t="shared" si="113"/>
        <v>0</v>
      </c>
      <c r="BW99" s="216">
        <f t="shared" si="113"/>
        <v>0</v>
      </c>
      <c r="BX99" s="216">
        <f t="shared" si="113"/>
        <v>0</v>
      </c>
      <c r="BY99" s="216">
        <f t="shared" si="113"/>
        <v>0</v>
      </c>
      <c r="BZ99" s="216">
        <f t="shared" si="113"/>
        <v>0</v>
      </c>
      <c r="CA99" s="216">
        <f t="shared" si="113"/>
        <v>0</v>
      </c>
      <c r="CB99" s="216">
        <f t="shared" si="113"/>
        <v>0</v>
      </c>
      <c r="CC99" s="216">
        <f t="shared" si="113"/>
        <v>0</v>
      </c>
      <c r="CD99" s="216">
        <f t="shared" si="113"/>
        <v>0</v>
      </c>
      <c r="CE99" s="216">
        <f t="shared" si="113"/>
        <v>0</v>
      </c>
      <c r="CF99" s="216">
        <f t="shared" si="113"/>
        <v>0</v>
      </c>
      <c r="CG99" s="216">
        <f t="shared" si="113"/>
        <v>0</v>
      </c>
      <c r="CH99" s="216">
        <f t="shared" si="113"/>
        <v>0</v>
      </c>
      <c r="CI99" s="216">
        <f t="shared" si="113"/>
        <v>0</v>
      </c>
      <c r="CJ99" s="216">
        <f t="shared" si="113"/>
        <v>0</v>
      </c>
      <c r="CK99" s="216">
        <f t="shared" si="113"/>
        <v>0</v>
      </c>
      <c r="CL99" s="216">
        <f t="shared" si="113"/>
        <v>0</v>
      </c>
      <c r="CM99" s="216">
        <f t="shared" si="113"/>
        <v>0</v>
      </c>
      <c r="CN99" s="216">
        <f t="shared" si="113"/>
        <v>0</v>
      </c>
    </row>
    <row r="100" spans="1:92" x14ac:dyDescent="0.2">
      <c r="A100" s="10"/>
      <c r="B100" s="10"/>
      <c r="C100" s="10" t="s">
        <v>766</v>
      </c>
      <c r="D100" s="10"/>
      <c r="E100" s="10"/>
      <c r="F100" s="10"/>
      <c r="G100" s="10"/>
      <c r="H100" s="12"/>
      <c r="I100" s="12">
        <f>0</f>
        <v>0</v>
      </c>
      <c r="J100" s="12">
        <f t="shared" ref="J100:AO100" si="114">I104</f>
        <v>0</v>
      </c>
      <c r="K100" s="12">
        <f t="shared" si="114"/>
        <v>0</v>
      </c>
      <c r="L100" s="12">
        <f t="shared" si="114"/>
        <v>0</v>
      </c>
      <c r="M100" s="12">
        <f t="shared" si="114"/>
        <v>0</v>
      </c>
      <c r="N100" s="12">
        <f t="shared" si="114"/>
        <v>0</v>
      </c>
      <c r="O100" s="12">
        <f t="shared" si="114"/>
        <v>0</v>
      </c>
      <c r="P100" s="12">
        <f t="shared" si="114"/>
        <v>0</v>
      </c>
      <c r="Q100" s="12">
        <f t="shared" si="114"/>
        <v>0</v>
      </c>
      <c r="R100" s="12">
        <f t="shared" si="114"/>
        <v>0</v>
      </c>
      <c r="S100" s="12">
        <f t="shared" si="114"/>
        <v>0</v>
      </c>
      <c r="T100" s="12">
        <f t="shared" si="114"/>
        <v>0</v>
      </c>
      <c r="U100" s="12">
        <f t="shared" si="114"/>
        <v>0</v>
      </c>
      <c r="V100" s="12">
        <f t="shared" si="114"/>
        <v>0</v>
      </c>
      <c r="W100" s="12">
        <f t="shared" si="114"/>
        <v>0</v>
      </c>
      <c r="X100" s="12">
        <f t="shared" si="114"/>
        <v>0</v>
      </c>
      <c r="Y100" s="12">
        <f t="shared" si="114"/>
        <v>0</v>
      </c>
      <c r="Z100" s="12">
        <f t="shared" si="114"/>
        <v>0</v>
      </c>
      <c r="AA100" s="12">
        <f t="shared" si="114"/>
        <v>0</v>
      </c>
      <c r="AB100" s="12">
        <f t="shared" si="114"/>
        <v>0</v>
      </c>
      <c r="AC100" s="12">
        <f t="shared" si="114"/>
        <v>0</v>
      </c>
      <c r="AD100" s="12">
        <f t="shared" si="114"/>
        <v>0</v>
      </c>
      <c r="AE100" s="12">
        <f t="shared" si="114"/>
        <v>0</v>
      </c>
      <c r="AF100" s="12">
        <f t="shared" si="114"/>
        <v>2605.1635810363878</v>
      </c>
      <c r="AG100" s="12">
        <f t="shared" si="114"/>
        <v>7499.6999999999898</v>
      </c>
      <c r="AH100" s="12">
        <f t="shared" si="114"/>
        <v>12394.236418963592</v>
      </c>
      <c r="AI100" s="12">
        <f t="shared" si="114"/>
        <v>17205.025962776861</v>
      </c>
      <c r="AJ100" s="12">
        <f t="shared" si="114"/>
        <v>21849.754688542307</v>
      </c>
      <c r="AK100" s="12">
        <f t="shared" si="114"/>
        <v>26248.94999999999</v>
      </c>
      <c r="AL100" s="12">
        <f t="shared" si="114"/>
        <v>30327.340445683498</v>
      </c>
      <c r="AM100" s="12">
        <f t="shared" si="114"/>
        <v>34015.143634323736</v>
      </c>
      <c r="AN100" s="12">
        <f t="shared" si="114"/>
        <v>37249.260230910862</v>
      </c>
      <c r="AO100" s="12">
        <f t="shared" si="114"/>
        <v>39974.353603810756</v>
      </c>
      <c r="AP100" s="12">
        <f t="shared" ref="AP100:BU100" si="115">AO104</f>
        <v>42143.796649874464</v>
      </c>
      <c r="AQ100" s="12">
        <f t="shared" si="115"/>
        <v>43720.4695971006</v>
      </c>
      <c r="AR100" s="12">
        <f t="shared" si="115"/>
        <v>44677.395134225808</v>
      </c>
      <c r="AS100" s="12">
        <f t="shared" si="115"/>
        <v>44998.199999999983</v>
      </c>
      <c r="AT100" s="12">
        <f t="shared" si="115"/>
        <v>44998.199999999983</v>
      </c>
      <c r="AU100" s="12">
        <f t="shared" si="115"/>
        <v>44998.199999999983</v>
      </c>
      <c r="AV100" s="12">
        <f t="shared" si="115"/>
        <v>44998.199999999983</v>
      </c>
      <c r="AW100" s="12">
        <f t="shared" si="115"/>
        <v>44998.199999999983</v>
      </c>
      <c r="AX100" s="12">
        <f t="shared" si="115"/>
        <v>44998.199999999983</v>
      </c>
      <c r="AY100" s="12">
        <f t="shared" si="115"/>
        <v>44998.199999999983</v>
      </c>
      <c r="AZ100" s="12">
        <f t="shared" si="115"/>
        <v>44998.199999999983</v>
      </c>
      <c r="BA100" s="12">
        <f t="shared" si="115"/>
        <v>0</v>
      </c>
      <c r="BB100" s="12">
        <f t="shared" si="115"/>
        <v>0</v>
      </c>
      <c r="BC100" s="12">
        <f t="shared" si="115"/>
        <v>0</v>
      </c>
      <c r="BD100" s="12">
        <f t="shared" si="115"/>
        <v>0</v>
      </c>
      <c r="BE100" s="12">
        <f t="shared" si="115"/>
        <v>0</v>
      </c>
      <c r="BF100" s="12">
        <f t="shared" si="115"/>
        <v>0</v>
      </c>
      <c r="BG100" s="12">
        <f t="shared" si="115"/>
        <v>0</v>
      </c>
      <c r="BH100" s="12">
        <f t="shared" si="115"/>
        <v>0</v>
      </c>
      <c r="BI100" s="12">
        <f t="shared" si="115"/>
        <v>0</v>
      </c>
      <c r="BJ100" s="12">
        <f t="shared" si="115"/>
        <v>0</v>
      </c>
      <c r="BK100" s="12">
        <f t="shared" si="115"/>
        <v>0</v>
      </c>
      <c r="BL100" s="12">
        <f t="shared" si="115"/>
        <v>0</v>
      </c>
      <c r="BM100" s="12">
        <f t="shared" si="115"/>
        <v>0</v>
      </c>
      <c r="BN100" s="12">
        <f t="shared" si="115"/>
        <v>0</v>
      </c>
      <c r="BO100" s="12">
        <f t="shared" si="115"/>
        <v>0</v>
      </c>
      <c r="BP100" s="12">
        <f t="shared" si="115"/>
        <v>0</v>
      </c>
      <c r="BQ100" s="12">
        <f t="shared" si="115"/>
        <v>0</v>
      </c>
      <c r="BR100" s="12">
        <f t="shared" si="115"/>
        <v>0</v>
      </c>
      <c r="BS100" s="12">
        <f t="shared" si="115"/>
        <v>0</v>
      </c>
      <c r="BT100" s="12">
        <f t="shared" si="115"/>
        <v>0</v>
      </c>
      <c r="BU100" s="12">
        <f t="shared" si="115"/>
        <v>0</v>
      </c>
      <c r="BV100" s="12">
        <f t="shared" ref="BV100:CN100" si="116">BU104</f>
        <v>0</v>
      </c>
      <c r="BW100" s="12">
        <f t="shared" si="116"/>
        <v>0</v>
      </c>
      <c r="BX100" s="12">
        <f t="shared" si="116"/>
        <v>0</v>
      </c>
      <c r="BY100" s="12">
        <f t="shared" si="116"/>
        <v>0</v>
      </c>
      <c r="BZ100" s="12">
        <f t="shared" si="116"/>
        <v>0</v>
      </c>
      <c r="CA100" s="12">
        <f t="shared" si="116"/>
        <v>0</v>
      </c>
      <c r="CB100" s="12">
        <f t="shared" si="116"/>
        <v>0</v>
      </c>
      <c r="CC100" s="12">
        <f t="shared" si="116"/>
        <v>0</v>
      </c>
      <c r="CD100" s="12">
        <f t="shared" si="116"/>
        <v>0</v>
      </c>
      <c r="CE100" s="12">
        <f t="shared" si="116"/>
        <v>0</v>
      </c>
      <c r="CF100" s="12">
        <f t="shared" si="116"/>
        <v>0</v>
      </c>
      <c r="CG100" s="12">
        <f t="shared" si="116"/>
        <v>0</v>
      </c>
      <c r="CH100" s="12">
        <f t="shared" si="116"/>
        <v>0</v>
      </c>
      <c r="CI100" s="12">
        <f t="shared" si="116"/>
        <v>0</v>
      </c>
      <c r="CJ100" s="12">
        <f t="shared" si="116"/>
        <v>0</v>
      </c>
      <c r="CK100" s="12">
        <f t="shared" si="116"/>
        <v>0</v>
      </c>
      <c r="CL100" s="12">
        <f t="shared" si="116"/>
        <v>0</v>
      </c>
      <c r="CM100" s="12">
        <f t="shared" si="116"/>
        <v>0</v>
      </c>
      <c r="CN100" s="12">
        <f t="shared" si="116"/>
        <v>0</v>
      </c>
    </row>
    <row r="101" spans="1:92" x14ac:dyDescent="0.2">
      <c r="A101" s="10"/>
      <c r="B101" s="10"/>
      <c r="C101" s="10" t="s">
        <v>767</v>
      </c>
      <c r="D101" s="10"/>
      <c r="E101" s="10"/>
      <c r="F101" s="10"/>
      <c r="G101" s="10"/>
      <c r="H101" s="12">
        <f>SUM(I101:CN101)</f>
        <v>44998.199999999983</v>
      </c>
      <c r="I101" s="12">
        <f>MAX(0,I99)</f>
        <v>0</v>
      </c>
      <c r="J101" s="12">
        <f t="shared" ref="J101:AO101" si="117">MAX(0,J99-I99)</f>
        <v>0</v>
      </c>
      <c r="K101" s="12">
        <f t="shared" si="117"/>
        <v>0</v>
      </c>
      <c r="L101" s="12">
        <f t="shared" si="117"/>
        <v>0</v>
      </c>
      <c r="M101" s="12">
        <f t="shared" si="117"/>
        <v>0</v>
      </c>
      <c r="N101" s="12">
        <f t="shared" si="117"/>
        <v>0</v>
      </c>
      <c r="O101" s="12">
        <f t="shared" si="117"/>
        <v>0</v>
      </c>
      <c r="P101" s="12">
        <f t="shared" si="117"/>
        <v>0</v>
      </c>
      <c r="Q101" s="12">
        <f t="shared" si="117"/>
        <v>0</v>
      </c>
      <c r="R101" s="12">
        <f t="shared" si="117"/>
        <v>0</v>
      </c>
      <c r="S101" s="12">
        <f t="shared" si="117"/>
        <v>0</v>
      </c>
      <c r="T101" s="12">
        <f t="shared" si="117"/>
        <v>0</v>
      </c>
      <c r="U101" s="12">
        <f t="shared" si="117"/>
        <v>0</v>
      </c>
      <c r="V101" s="12">
        <f t="shared" si="117"/>
        <v>0</v>
      </c>
      <c r="W101" s="12">
        <f t="shared" si="117"/>
        <v>0</v>
      </c>
      <c r="X101" s="12">
        <f t="shared" si="117"/>
        <v>0</v>
      </c>
      <c r="Y101" s="12">
        <f t="shared" si="117"/>
        <v>0</v>
      </c>
      <c r="Z101" s="12">
        <f t="shared" si="117"/>
        <v>0</v>
      </c>
      <c r="AA101" s="12">
        <f t="shared" si="117"/>
        <v>0</v>
      </c>
      <c r="AB101" s="12">
        <f t="shared" si="117"/>
        <v>0</v>
      </c>
      <c r="AC101" s="12">
        <f t="shared" si="117"/>
        <v>0</v>
      </c>
      <c r="AD101" s="12">
        <f t="shared" si="117"/>
        <v>0</v>
      </c>
      <c r="AE101" s="12">
        <f t="shared" si="117"/>
        <v>2605.1635810363878</v>
      </c>
      <c r="AF101" s="12">
        <f t="shared" si="117"/>
        <v>4894.536418963602</v>
      </c>
      <c r="AG101" s="12">
        <f t="shared" si="117"/>
        <v>4894.536418963602</v>
      </c>
      <c r="AH101" s="12">
        <f t="shared" si="117"/>
        <v>4810.7895438132691</v>
      </c>
      <c r="AI101" s="12">
        <f t="shared" si="117"/>
        <v>4644.7287257654461</v>
      </c>
      <c r="AJ101" s="12">
        <f t="shared" si="117"/>
        <v>4399.1953114576827</v>
      </c>
      <c r="AK101" s="12">
        <f t="shared" si="117"/>
        <v>4078.390445683508</v>
      </c>
      <c r="AL101" s="12">
        <f t="shared" si="117"/>
        <v>3687.8031886402387</v>
      </c>
      <c r="AM101" s="12">
        <f t="shared" si="117"/>
        <v>3234.116596587126</v>
      </c>
      <c r="AN101" s="12">
        <f t="shared" si="117"/>
        <v>2725.0933728998934</v>
      </c>
      <c r="AO101" s="12">
        <f t="shared" si="117"/>
        <v>2169.4430460637086</v>
      </c>
      <c r="AP101" s="12">
        <f t="shared" ref="AP101:BU101" si="118">MAX(0,AP99-AO99)</f>
        <v>1576.6729472261359</v>
      </c>
      <c r="AQ101" s="12">
        <f t="shared" si="118"/>
        <v>956.92553712520748</v>
      </c>
      <c r="AR101" s="12">
        <f t="shared" si="118"/>
        <v>320.80486577417469</v>
      </c>
      <c r="AS101" s="12">
        <f t="shared" si="118"/>
        <v>0</v>
      </c>
      <c r="AT101" s="12">
        <f t="shared" si="118"/>
        <v>0</v>
      </c>
      <c r="AU101" s="12">
        <f t="shared" si="118"/>
        <v>0</v>
      </c>
      <c r="AV101" s="12">
        <f t="shared" si="118"/>
        <v>0</v>
      </c>
      <c r="AW101" s="12">
        <f t="shared" si="118"/>
        <v>0</v>
      </c>
      <c r="AX101" s="12">
        <f t="shared" si="118"/>
        <v>0</v>
      </c>
      <c r="AY101" s="12">
        <f t="shared" si="118"/>
        <v>0</v>
      </c>
      <c r="AZ101" s="12">
        <f t="shared" si="118"/>
        <v>0</v>
      </c>
      <c r="BA101" s="12">
        <f t="shared" si="118"/>
        <v>0</v>
      </c>
      <c r="BB101" s="12">
        <f t="shared" si="118"/>
        <v>0</v>
      </c>
      <c r="BC101" s="12">
        <f t="shared" si="118"/>
        <v>0</v>
      </c>
      <c r="BD101" s="12">
        <f t="shared" si="118"/>
        <v>0</v>
      </c>
      <c r="BE101" s="12">
        <f t="shared" si="118"/>
        <v>0</v>
      </c>
      <c r="BF101" s="12">
        <f t="shared" si="118"/>
        <v>0</v>
      </c>
      <c r="BG101" s="12">
        <f t="shared" si="118"/>
        <v>0</v>
      </c>
      <c r="BH101" s="12">
        <f t="shared" si="118"/>
        <v>0</v>
      </c>
      <c r="BI101" s="12">
        <f t="shared" si="118"/>
        <v>0</v>
      </c>
      <c r="BJ101" s="12">
        <f t="shared" si="118"/>
        <v>0</v>
      </c>
      <c r="BK101" s="12">
        <f t="shared" si="118"/>
        <v>0</v>
      </c>
      <c r="BL101" s="12">
        <f t="shared" si="118"/>
        <v>0</v>
      </c>
      <c r="BM101" s="12">
        <f t="shared" si="118"/>
        <v>0</v>
      </c>
      <c r="BN101" s="12">
        <f t="shared" si="118"/>
        <v>0</v>
      </c>
      <c r="BO101" s="12">
        <f t="shared" si="118"/>
        <v>0</v>
      </c>
      <c r="BP101" s="12">
        <f t="shared" si="118"/>
        <v>0</v>
      </c>
      <c r="BQ101" s="12">
        <f t="shared" si="118"/>
        <v>0</v>
      </c>
      <c r="BR101" s="12">
        <f t="shared" si="118"/>
        <v>0</v>
      </c>
      <c r="BS101" s="12">
        <f t="shared" si="118"/>
        <v>0</v>
      </c>
      <c r="BT101" s="12">
        <f t="shared" si="118"/>
        <v>0</v>
      </c>
      <c r="BU101" s="12">
        <f t="shared" si="118"/>
        <v>0</v>
      </c>
      <c r="BV101" s="12">
        <f t="shared" ref="BV101:CN101" si="119">MAX(0,BV99-BU99)</f>
        <v>0</v>
      </c>
      <c r="BW101" s="12">
        <f t="shared" si="119"/>
        <v>0</v>
      </c>
      <c r="BX101" s="12">
        <f t="shared" si="119"/>
        <v>0</v>
      </c>
      <c r="BY101" s="12">
        <f t="shared" si="119"/>
        <v>0</v>
      </c>
      <c r="BZ101" s="12">
        <f t="shared" si="119"/>
        <v>0</v>
      </c>
      <c r="CA101" s="12">
        <f t="shared" si="119"/>
        <v>0</v>
      </c>
      <c r="CB101" s="12">
        <f t="shared" si="119"/>
        <v>0</v>
      </c>
      <c r="CC101" s="12">
        <f t="shared" si="119"/>
        <v>0</v>
      </c>
      <c r="CD101" s="12">
        <f t="shared" si="119"/>
        <v>0</v>
      </c>
      <c r="CE101" s="12">
        <f t="shared" si="119"/>
        <v>0</v>
      </c>
      <c r="CF101" s="12">
        <f t="shared" si="119"/>
        <v>0</v>
      </c>
      <c r="CG101" s="12">
        <f t="shared" si="119"/>
        <v>0</v>
      </c>
      <c r="CH101" s="12">
        <f t="shared" si="119"/>
        <v>0</v>
      </c>
      <c r="CI101" s="12">
        <f t="shared" si="119"/>
        <v>0</v>
      </c>
      <c r="CJ101" s="12">
        <f t="shared" si="119"/>
        <v>0</v>
      </c>
      <c r="CK101" s="12">
        <f t="shared" si="119"/>
        <v>0</v>
      </c>
      <c r="CL101" s="12">
        <f t="shared" si="119"/>
        <v>0</v>
      </c>
      <c r="CM101" s="12">
        <f t="shared" si="119"/>
        <v>0</v>
      </c>
      <c r="CN101" s="12">
        <f t="shared" si="119"/>
        <v>0</v>
      </c>
    </row>
    <row r="102" spans="1:92" x14ac:dyDescent="0.2">
      <c r="A102" s="10"/>
      <c r="B102" s="10"/>
      <c r="C102" s="10" t="s">
        <v>768</v>
      </c>
      <c r="D102" s="10"/>
      <c r="E102" s="10"/>
      <c r="F102" s="10"/>
      <c r="G102" s="10"/>
      <c r="H102" s="12">
        <f>SUM(I102:CN102)</f>
        <v>-6830.9458808047075</v>
      </c>
      <c r="I102" s="12">
        <f t="shared" ref="I102:AN102" si="120">-I100*((1+$D$60)^(1/12)-1)</f>
        <v>0</v>
      </c>
      <c r="J102" s="12">
        <f t="shared" si="120"/>
        <v>0</v>
      </c>
      <c r="K102" s="12">
        <f t="shared" si="120"/>
        <v>0</v>
      </c>
      <c r="L102" s="12">
        <f t="shared" si="120"/>
        <v>0</v>
      </c>
      <c r="M102" s="12">
        <f t="shared" si="120"/>
        <v>0</v>
      </c>
      <c r="N102" s="12">
        <f t="shared" si="120"/>
        <v>0</v>
      </c>
      <c r="O102" s="12">
        <f t="shared" si="120"/>
        <v>0</v>
      </c>
      <c r="P102" s="12">
        <f t="shared" si="120"/>
        <v>0</v>
      </c>
      <c r="Q102" s="12">
        <f t="shared" si="120"/>
        <v>0</v>
      </c>
      <c r="R102" s="12">
        <f t="shared" si="120"/>
        <v>0</v>
      </c>
      <c r="S102" s="12">
        <f t="shared" si="120"/>
        <v>0</v>
      </c>
      <c r="T102" s="12">
        <f t="shared" si="120"/>
        <v>0</v>
      </c>
      <c r="U102" s="12">
        <f t="shared" si="120"/>
        <v>0</v>
      </c>
      <c r="V102" s="12">
        <f t="shared" si="120"/>
        <v>0</v>
      </c>
      <c r="W102" s="12">
        <f t="shared" si="120"/>
        <v>0</v>
      </c>
      <c r="X102" s="12">
        <f t="shared" si="120"/>
        <v>0</v>
      </c>
      <c r="Y102" s="12">
        <f t="shared" si="120"/>
        <v>0</v>
      </c>
      <c r="Z102" s="12">
        <f t="shared" si="120"/>
        <v>0</v>
      </c>
      <c r="AA102" s="12">
        <f t="shared" si="120"/>
        <v>0</v>
      </c>
      <c r="AB102" s="12">
        <f t="shared" si="120"/>
        <v>0</v>
      </c>
      <c r="AC102" s="12">
        <f t="shared" si="120"/>
        <v>0</v>
      </c>
      <c r="AD102" s="12">
        <f t="shared" si="120"/>
        <v>0</v>
      </c>
      <c r="AE102" s="12">
        <f t="shared" si="120"/>
        <v>0</v>
      </c>
      <c r="AF102" s="12">
        <f t="shared" si="120"/>
        <v>-24.719857781171143</v>
      </c>
      <c r="AG102" s="12">
        <f t="shared" si="120"/>
        <v>-71.163100371492376</v>
      </c>
      <c r="AH102" s="12">
        <f t="shared" si="120"/>
        <v>-117.6063429618136</v>
      </c>
      <c r="AI102" s="12">
        <f t="shared" si="120"/>
        <v>-163.25492879491495</v>
      </c>
      <c r="AJ102" s="12">
        <f t="shared" si="120"/>
        <v>-207.32779791101302</v>
      </c>
      <c r="AK102" s="12">
        <f t="shared" si="120"/>
        <v>-249.07085130022355</v>
      </c>
      <c r="AL102" s="12">
        <f t="shared" si="120"/>
        <v>-287.7698537456962</v>
      </c>
      <c r="AM102" s="12">
        <f t="shared" si="120"/>
        <v>-322.76265458619855</v>
      </c>
      <c r="AN102" s="12">
        <f t="shared" si="120"/>
        <v>-353.45051729751225</v>
      </c>
      <c r="AO102" s="12">
        <f t="shared" ref="AO102:BT102" si="121">-AO100*((1+$D$60)^(1/12)-1)</f>
        <v>-379.30836404036381</v>
      </c>
      <c r="AP102" s="12">
        <f t="shared" si="121"/>
        <v>-399.89375988783343</v>
      </c>
      <c r="AQ102" s="12">
        <f t="shared" si="121"/>
        <v>-414.85448300962105</v>
      </c>
      <c r="AR102" s="12">
        <f t="shared" si="121"/>
        <v>-423.9345512852168</v>
      </c>
      <c r="AS102" s="12">
        <f t="shared" si="121"/>
        <v>-426.97860222895463</v>
      </c>
      <c r="AT102" s="12">
        <f t="shared" si="121"/>
        <v>-426.97860222895463</v>
      </c>
      <c r="AU102" s="12">
        <f t="shared" si="121"/>
        <v>-426.97860222895463</v>
      </c>
      <c r="AV102" s="12">
        <f t="shared" si="121"/>
        <v>-426.97860222895463</v>
      </c>
      <c r="AW102" s="12">
        <f t="shared" si="121"/>
        <v>-426.97860222895463</v>
      </c>
      <c r="AX102" s="12">
        <f t="shared" si="121"/>
        <v>-426.97860222895463</v>
      </c>
      <c r="AY102" s="12">
        <f t="shared" si="121"/>
        <v>-426.97860222895463</v>
      </c>
      <c r="AZ102" s="12">
        <f t="shared" si="121"/>
        <v>-426.97860222895463</v>
      </c>
      <c r="BA102" s="12">
        <f t="shared" si="121"/>
        <v>0</v>
      </c>
      <c r="BB102" s="12">
        <f t="shared" si="121"/>
        <v>0</v>
      </c>
      <c r="BC102" s="12">
        <f t="shared" si="121"/>
        <v>0</v>
      </c>
      <c r="BD102" s="12">
        <f t="shared" si="121"/>
        <v>0</v>
      </c>
      <c r="BE102" s="12">
        <f t="shared" si="121"/>
        <v>0</v>
      </c>
      <c r="BF102" s="12">
        <f t="shared" si="121"/>
        <v>0</v>
      </c>
      <c r="BG102" s="12">
        <f t="shared" si="121"/>
        <v>0</v>
      </c>
      <c r="BH102" s="12">
        <f t="shared" si="121"/>
        <v>0</v>
      </c>
      <c r="BI102" s="12">
        <f t="shared" si="121"/>
        <v>0</v>
      </c>
      <c r="BJ102" s="12">
        <f t="shared" si="121"/>
        <v>0</v>
      </c>
      <c r="BK102" s="12">
        <f t="shared" si="121"/>
        <v>0</v>
      </c>
      <c r="BL102" s="12">
        <f t="shared" si="121"/>
        <v>0</v>
      </c>
      <c r="BM102" s="12">
        <f t="shared" si="121"/>
        <v>0</v>
      </c>
      <c r="BN102" s="12">
        <f t="shared" si="121"/>
        <v>0</v>
      </c>
      <c r="BO102" s="12">
        <f t="shared" si="121"/>
        <v>0</v>
      </c>
      <c r="BP102" s="12">
        <f t="shared" si="121"/>
        <v>0</v>
      </c>
      <c r="BQ102" s="12">
        <f t="shared" si="121"/>
        <v>0</v>
      </c>
      <c r="BR102" s="12">
        <f t="shared" si="121"/>
        <v>0</v>
      </c>
      <c r="BS102" s="12">
        <f t="shared" si="121"/>
        <v>0</v>
      </c>
      <c r="BT102" s="12">
        <f t="shared" si="121"/>
        <v>0</v>
      </c>
      <c r="BU102" s="12">
        <f t="shared" ref="BU102:CN102" si="122">-BU100*((1+$D$60)^(1/12)-1)</f>
        <v>0</v>
      </c>
      <c r="BV102" s="12">
        <f t="shared" si="122"/>
        <v>0</v>
      </c>
      <c r="BW102" s="12">
        <f t="shared" si="122"/>
        <v>0</v>
      </c>
      <c r="BX102" s="12">
        <f t="shared" si="122"/>
        <v>0</v>
      </c>
      <c r="BY102" s="12">
        <f t="shared" si="122"/>
        <v>0</v>
      </c>
      <c r="BZ102" s="12">
        <f t="shared" si="122"/>
        <v>0</v>
      </c>
      <c r="CA102" s="12">
        <f t="shared" si="122"/>
        <v>0</v>
      </c>
      <c r="CB102" s="12">
        <f t="shared" si="122"/>
        <v>0</v>
      </c>
      <c r="CC102" s="12">
        <f t="shared" si="122"/>
        <v>0</v>
      </c>
      <c r="CD102" s="12">
        <f t="shared" si="122"/>
        <v>0</v>
      </c>
      <c r="CE102" s="12">
        <f t="shared" si="122"/>
        <v>0</v>
      </c>
      <c r="CF102" s="12">
        <f t="shared" si="122"/>
        <v>0</v>
      </c>
      <c r="CG102" s="12">
        <f t="shared" si="122"/>
        <v>0</v>
      </c>
      <c r="CH102" s="12">
        <f t="shared" si="122"/>
        <v>0</v>
      </c>
      <c r="CI102" s="12">
        <f t="shared" si="122"/>
        <v>0</v>
      </c>
      <c r="CJ102" s="12">
        <f t="shared" si="122"/>
        <v>0</v>
      </c>
      <c r="CK102" s="12">
        <f t="shared" si="122"/>
        <v>0</v>
      </c>
      <c r="CL102" s="12">
        <f t="shared" si="122"/>
        <v>0</v>
      </c>
      <c r="CM102" s="12">
        <f t="shared" si="122"/>
        <v>0</v>
      </c>
      <c r="CN102" s="12">
        <f t="shared" si="122"/>
        <v>0</v>
      </c>
    </row>
    <row r="103" spans="1:92" x14ac:dyDescent="0.2">
      <c r="A103" s="10"/>
      <c r="B103" s="10"/>
      <c r="C103" s="10" t="s">
        <v>338</v>
      </c>
      <c r="D103" s="10"/>
      <c r="E103" s="10"/>
      <c r="F103" s="10"/>
      <c r="G103" s="10"/>
      <c r="H103" s="12">
        <f>SUM(I103:CN103)</f>
        <v>-44998.199999999983</v>
      </c>
      <c r="I103" s="12">
        <f t="shared" ref="I103:AN103" si="123">IF(I$6=$E$61,-(I100+I101),0)</f>
        <v>0</v>
      </c>
      <c r="J103" s="12">
        <f t="shared" si="123"/>
        <v>0</v>
      </c>
      <c r="K103" s="12">
        <f t="shared" si="123"/>
        <v>0</v>
      </c>
      <c r="L103" s="12">
        <f t="shared" si="123"/>
        <v>0</v>
      </c>
      <c r="M103" s="12">
        <f t="shared" si="123"/>
        <v>0</v>
      </c>
      <c r="N103" s="12">
        <f t="shared" si="123"/>
        <v>0</v>
      </c>
      <c r="O103" s="12">
        <f t="shared" si="123"/>
        <v>0</v>
      </c>
      <c r="P103" s="12">
        <f t="shared" si="123"/>
        <v>0</v>
      </c>
      <c r="Q103" s="12">
        <f t="shared" si="123"/>
        <v>0</v>
      </c>
      <c r="R103" s="12">
        <f t="shared" si="123"/>
        <v>0</v>
      </c>
      <c r="S103" s="12">
        <f t="shared" si="123"/>
        <v>0</v>
      </c>
      <c r="T103" s="12">
        <f t="shared" si="123"/>
        <v>0</v>
      </c>
      <c r="U103" s="12">
        <f t="shared" si="123"/>
        <v>0</v>
      </c>
      <c r="V103" s="12">
        <f t="shared" si="123"/>
        <v>0</v>
      </c>
      <c r="W103" s="12">
        <f t="shared" si="123"/>
        <v>0</v>
      </c>
      <c r="X103" s="12">
        <f t="shared" si="123"/>
        <v>0</v>
      </c>
      <c r="Y103" s="12">
        <f t="shared" si="123"/>
        <v>0</v>
      </c>
      <c r="Z103" s="12">
        <f t="shared" si="123"/>
        <v>0</v>
      </c>
      <c r="AA103" s="12">
        <f t="shared" si="123"/>
        <v>0</v>
      </c>
      <c r="AB103" s="12">
        <f t="shared" si="123"/>
        <v>0</v>
      </c>
      <c r="AC103" s="12">
        <f t="shared" si="123"/>
        <v>0</v>
      </c>
      <c r="AD103" s="12">
        <f t="shared" si="123"/>
        <v>0</v>
      </c>
      <c r="AE103" s="12">
        <f t="shared" si="123"/>
        <v>0</v>
      </c>
      <c r="AF103" s="12">
        <f t="shared" si="123"/>
        <v>0</v>
      </c>
      <c r="AG103" s="12">
        <f t="shared" si="123"/>
        <v>0</v>
      </c>
      <c r="AH103" s="12">
        <f t="shared" si="123"/>
        <v>0</v>
      </c>
      <c r="AI103" s="12">
        <f t="shared" si="123"/>
        <v>0</v>
      </c>
      <c r="AJ103" s="12">
        <f t="shared" si="123"/>
        <v>0</v>
      </c>
      <c r="AK103" s="12">
        <f t="shared" si="123"/>
        <v>0</v>
      </c>
      <c r="AL103" s="12">
        <f t="shared" si="123"/>
        <v>0</v>
      </c>
      <c r="AM103" s="12">
        <f t="shared" si="123"/>
        <v>0</v>
      </c>
      <c r="AN103" s="12">
        <f t="shared" si="123"/>
        <v>0</v>
      </c>
      <c r="AO103" s="12">
        <f t="shared" ref="AO103:BT103" si="124">IF(AO$6=$E$61,-(AO100+AO101),0)</f>
        <v>0</v>
      </c>
      <c r="AP103" s="12">
        <f t="shared" si="124"/>
        <v>0</v>
      </c>
      <c r="AQ103" s="12">
        <f t="shared" si="124"/>
        <v>0</v>
      </c>
      <c r="AR103" s="12">
        <f t="shared" si="124"/>
        <v>0</v>
      </c>
      <c r="AS103" s="12">
        <f t="shared" si="124"/>
        <v>0</v>
      </c>
      <c r="AT103" s="12">
        <f t="shared" si="124"/>
        <v>0</v>
      </c>
      <c r="AU103" s="12">
        <f t="shared" si="124"/>
        <v>0</v>
      </c>
      <c r="AV103" s="12">
        <f t="shared" si="124"/>
        <v>0</v>
      </c>
      <c r="AW103" s="12">
        <f t="shared" si="124"/>
        <v>0</v>
      </c>
      <c r="AX103" s="12">
        <f t="shared" si="124"/>
        <v>0</v>
      </c>
      <c r="AY103" s="12">
        <f t="shared" si="124"/>
        <v>0</v>
      </c>
      <c r="AZ103" s="12">
        <f t="shared" si="124"/>
        <v>-44998.199999999983</v>
      </c>
      <c r="BA103" s="12">
        <f t="shared" si="124"/>
        <v>0</v>
      </c>
      <c r="BB103" s="12">
        <f t="shared" si="124"/>
        <v>0</v>
      </c>
      <c r="BC103" s="12">
        <f t="shared" si="124"/>
        <v>0</v>
      </c>
      <c r="BD103" s="12">
        <f t="shared" si="124"/>
        <v>0</v>
      </c>
      <c r="BE103" s="12">
        <f t="shared" si="124"/>
        <v>0</v>
      </c>
      <c r="BF103" s="12">
        <f t="shared" si="124"/>
        <v>0</v>
      </c>
      <c r="BG103" s="12">
        <f t="shared" si="124"/>
        <v>0</v>
      </c>
      <c r="BH103" s="12">
        <f t="shared" si="124"/>
        <v>0</v>
      </c>
      <c r="BI103" s="12">
        <f t="shared" si="124"/>
        <v>0</v>
      </c>
      <c r="BJ103" s="12">
        <f t="shared" si="124"/>
        <v>0</v>
      </c>
      <c r="BK103" s="12">
        <f t="shared" si="124"/>
        <v>0</v>
      </c>
      <c r="BL103" s="12">
        <f t="shared" si="124"/>
        <v>0</v>
      </c>
      <c r="BM103" s="12">
        <f t="shared" si="124"/>
        <v>0</v>
      </c>
      <c r="BN103" s="12">
        <f t="shared" si="124"/>
        <v>0</v>
      </c>
      <c r="BO103" s="12">
        <f t="shared" si="124"/>
        <v>0</v>
      </c>
      <c r="BP103" s="12">
        <f t="shared" si="124"/>
        <v>0</v>
      </c>
      <c r="BQ103" s="12">
        <f t="shared" si="124"/>
        <v>0</v>
      </c>
      <c r="BR103" s="12">
        <f t="shared" si="124"/>
        <v>0</v>
      </c>
      <c r="BS103" s="12">
        <f t="shared" si="124"/>
        <v>0</v>
      </c>
      <c r="BT103" s="12">
        <f t="shared" si="124"/>
        <v>0</v>
      </c>
      <c r="BU103" s="12">
        <f t="shared" ref="BU103:CN103" si="125">IF(BU$6=$E$61,-(BU100+BU101),0)</f>
        <v>0</v>
      </c>
      <c r="BV103" s="12">
        <f t="shared" si="125"/>
        <v>0</v>
      </c>
      <c r="BW103" s="12">
        <f t="shared" si="125"/>
        <v>0</v>
      </c>
      <c r="BX103" s="12">
        <f t="shared" si="125"/>
        <v>0</v>
      </c>
      <c r="BY103" s="12">
        <f t="shared" si="125"/>
        <v>0</v>
      </c>
      <c r="BZ103" s="12">
        <f t="shared" si="125"/>
        <v>0</v>
      </c>
      <c r="CA103" s="12">
        <f t="shared" si="125"/>
        <v>0</v>
      </c>
      <c r="CB103" s="12">
        <f t="shared" si="125"/>
        <v>0</v>
      </c>
      <c r="CC103" s="12">
        <f t="shared" si="125"/>
        <v>0</v>
      </c>
      <c r="CD103" s="12">
        <f t="shared" si="125"/>
        <v>0</v>
      </c>
      <c r="CE103" s="12">
        <f t="shared" si="125"/>
        <v>0</v>
      </c>
      <c r="CF103" s="12">
        <f t="shared" si="125"/>
        <v>0</v>
      </c>
      <c r="CG103" s="12">
        <f t="shared" si="125"/>
        <v>0</v>
      </c>
      <c r="CH103" s="12">
        <f t="shared" si="125"/>
        <v>0</v>
      </c>
      <c r="CI103" s="12">
        <f t="shared" si="125"/>
        <v>0</v>
      </c>
      <c r="CJ103" s="12">
        <f t="shared" si="125"/>
        <v>0</v>
      </c>
      <c r="CK103" s="12">
        <f t="shared" si="125"/>
        <v>0</v>
      </c>
      <c r="CL103" s="12">
        <f t="shared" si="125"/>
        <v>0</v>
      </c>
      <c r="CM103" s="12">
        <f t="shared" si="125"/>
        <v>0</v>
      </c>
      <c r="CN103" s="12">
        <f t="shared" si="125"/>
        <v>0</v>
      </c>
    </row>
    <row r="104" spans="1:92" x14ac:dyDescent="0.2">
      <c r="A104" s="10"/>
      <c r="B104" s="10"/>
      <c r="C104" s="10" t="s">
        <v>769</v>
      </c>
      <c r="D104" s="10"/>
      <c r="E104" s="10"/>
      <c r="F104" s="10"/>
      <c r="G104" s="10"/>
      <c r="H104" s="12"/>
      <c r="I104" s="12">
        <f t="shared" ref="I104:AN104" si="126">I100+I101+I103</f>
        <v>0</v>
      </c>
      <c r="J104" s="12">
        <f t="shared" si="126"/>
        <v>0</v>
      </c>
      <c r="K104" s="12">
        <f t="shared" si="126"/>
        <v>0</v>
      </c>
      <c r="L104" s="12">
        <f t="shared" si="126"/>
        <v>0</v>
      </c>
      <c r="M104" s="12">
        <f t="shared" si="126"/>
        <v>0</v>
      </c>
      <c r="N104" s="12">
        <f t="shared" si="126"/>
        <v>0</v>
      </c>
      <c r="O104" s="12">
        <f t="shared" si="126"/>
        <v>0</v>
      </c>
      <c r="P104" s="12">
        <f t="shared" si="126"/>
        <v>0</v>
      </c>
      <c r="Q104" s="12">
        <f t="shared" si="126"/>
        <v>0</v>
      </c>
      <c r="R104" s="12">
        <f t="shared" si="126"/>
        <v>0</v>
      </c>
      <c r="S104" s="12">
        <f t="shared" si="126"/>
        <v>0</v>
      </c>
      <c r="T104" s="12">
        <f t="shared" si="126"/>
        <v>0</v>
      </c>
      <c r="U104" s="12">
        <f t="shared" si="126"/>
        <v>0</v>
      </c>
      <c r="V104" s="12">
        <f t="shared" si="126"/>
        <v>0</v>
      </c>
      <c r="W104" s="12">
        <f t="shared" si="126"/>
        <v>0</v>
      </c>
      <c r="X104" s="12">
        <f t="shared" si="126"/>
        <v>0</v>
      </c>
      <c r="Y104" s="12">
        <f t="shared" si="126"/>
        <v>0</v>
      </c>
      <c r="Z104" s="12">
        <f t="shared" si="126"/>
        <v>0</v>
      </c>
      <c r="AA104" s="12">
        <f t="shared" si="126"/>
        <v>0</v>
      </c>
      <c r="AB104" s="12">
        <f t="shared" si="126"/>
        <v>0</v>
      </c>
      <c r="AC104" s="12">
        <f t="shared" si="126"/>
        <v>0</v>
      </c>
      <c r="AD104" s="12">
        <f t="shared" si="126"/>
        <v>0</v>
      </c>
      <c r="AE104" s="12">
        <f t="shared" si="126"/>
        <v>2605.1635810363878</v>
      </c>
      <c r="AF104" s="12">
        <f t="shared" si="126"/>
        <v>7499.6999999999898</v>
      </c>
      <c r="AG104" s="12">
        <f t="shared" si="126"/>
        <v>12394.236418963592</v>
      </c>
      <c r="AH104" s="12">
        <f t="shared" si="126"/>
        <v>17205.025962776861</v>
      </c>
      <c r="AI104" s="12">
        <f t="shared" si="126"/>
        <v>21849.754688542307</v>
      </c>
      <c r="AJ104" s="12">
        <f t="shared" si="126"/>
        <v>26248.94999999999</v>
      </c>
      <c r="AK104" s="12">
        <f t="shared" si="126"/>
        <v>30327.340445683498</v>
      </c>
      <c r="AL104" s="12">
        <f t="shared" si="126"/>
        <v>34015.143634323736</v>
      </c>
      <c r="AM104" s="12">
        <f t="shared" si="126"/>
        <v>37249.260230910862</v>
      </c>
      <c r="AN104" s="12">
        <f t="shared" si="126"/>
        <v>39974.353603810756</v>
      </c>
      <c r="AO104" s="12">
        <f t="shared" ref="AO104:BT104" si="127">AO100+AO101+AO103</f>
        <v>42143.796649874464</v>
      </c>
      <c r="AP104" s="12">
        <f t="shared" si="127"/>
        <v>43720.4695971006</v>
      </c>
      <c r="AQ104" s="12">
        <f t="shared" si="127"/>
        <v>44677.395134225808</v>
      </c>
      <c r="AR104" s="12">
        <f t="shared" si="127"/>
        <v>44998.199999999983</v>
      </c>
      <c r="AS104" s="12">
        <f t="shared" si="127"/>
        <v>44998.199999999983</v>
      </c>
      <c r="AT104" s="12">
        <f t="shared" si="127"/>
        <v>44998.199999999983</v>
      </c>
      <c r="AU104" s="12">
        <f t="shared" si="127"/>
        <v>44998.199999999983</v>
      </c>
      <c r="AV104" s="12">
        <f t="shared" si="127"/>
        <v>44998.199999999983</v>
      </c>
      <c r="AW104" s="12">
        <f t="shared" si="127"/>
        <v>44998.199999999983</v>
      </c>
      <c r="AX104" s="12">
        <f t="shared" si="127"/>
        <v>44998.199999999983</v>
      </c>
      <c r="AY104" s="12">
        <f t="shared" si="127"/>
        <v>44998.199999999983</v>
      </c>
      <c r="AZ104" s="12">
        <f t="shared" si="127"/>
        <v>0</v>
      </c>
      <c r="BA104" s="12">
        <f t="shared" si="127"/>
        <v>0</v>
      </c>
      <c r="BB104" s="12">
        <f t="shared" si="127"/>
        <v>0</v>
      </c>
      <c r="BC104" s="12">
        <f t="shared" si="127"/>
        <v>0</v>
      </c>
      <c r="BD104" s="12">
        <f t="shared" si="127"/>
        <v>0</v>
      </c>
      <c r="BE104" s="12">
        <f t="shared" si="127"/>
        <v>0</v>
      </c>
      <c r="BF104" s="12">
        <f t="shared" si="127"/>
        <v>0</v>
      </c>
      <c r="BG104" s="12">
        <f t="shared" si="127"/>
        <v>0</v>
      </c>
      <c r="BH104" s="12">
        <f t="shared" si="127"/>
        <v>0</v>
      </c>
      <c r="BI104" s="12">
        <f t="shared" si="127"/>
        <v>0</v>
      </c>
      <c r="BJ104" s="12">
        <f t="shared" si="127"/>
        <v>0</v>
      </c>
      <c r="BK104" s="12">
        <f t="shared" si="127"/>
        <v>0</v>
      </c>
      <c r="BL104" s="12">
        <f t="shared" si="127"/>
        <v>0</v>
      </c>
      <c r="BM104" s="12">
        <f t="shared" si="127"/>
        <v>0</v>
      </c>
      <c r="BN104" s="12">
        <f t="shared" si="127"/>
        <v>0</v>
      </c>
      <c r="BO104" s="12">
        <f t="shared" si="127"/>
        <v>0</v>
      </c>
      <c r="BP104" s="12">
        <f t="shared" si="127"/>
        <v>0</v>
      </c>
      <c r="BQ104" s="12">
        <f t="shared" si="127"/>
        <v>0</v>
      </c>
      <c r="BR104" s="12">
        <f t="shared" si="127"/>
        <v>0</v>
      </c>
      <c r="BS104" s="12">
        <f t="shared" si="127"/>
        <v>0</v>
      </c>
      <c r="BT104" s="12">
        <f t="shared" si="127"/>
        <v>0</v>
      </c>
      <c r="BU104" s="12">
        <f t="shared" ref="BU104:CN104" si="128">BU100+BU101+BU103</f>
        <v>0</v>
      </c>
      <c r="BV104" s="12">
        <f t="shared" si="128"/>
        <v>0</v>
      </c>
      <c r="BW104" s="12">
        <f t="shared" si="128"/>
        <v>0</v>
      </c>
      <c r="BX104" s="12">
        <f t="shared" si="128"/>
        <v>0</v>
      </c>
      <c r="BY104" s="12">
        <f t="shared" si="128"/>
        <v>0</v>
      </c>
      <c r="BZ104" s="12">
        <f t="shared" si="128"/>
        <v>0</v>
      </c>
      <c r="CA104" s="12">
        <f t="shared" si="128"/>
        <v>0</v>
      </c>
      <c r="CB104" s="12">
        <f t="shared" si="128"/>
        <v>0</v>
      </c>
      <c r="CC104" s="12">
        <f t="shared" si="128"/>
        <v>0</v>
      </c>
      <c r="CD104" s="12">
        <f t="shared" si="128"/>
        <v>0</v>
      </c>
      <c r="CE104" s="12">
        <f t="shared" si="128"/>
        <v>0</v>
      </c>
      <c r="CF104" s="12">
        <f t="shared" si="128"/>
        <v>0</v>
      </c>
      <c r="CG104" s="12">
        <f t="shared" si="128"/>
        <v>0</v>
      </c>
      <c r="CH104" s="12">
        <f t="shared" si="128"/>
        <v>0</v>
      </c>
      <c r="CI104" s="12">
        <f t="shared" si="128"/>
        <v>0</v>
      </c>
      <c r="CJ104" s="12">
        <f t="shared" si="128"/>
        <v>0</v>
      </c>
      <c r="CK104" s="12">
        <f t="shared" si="128"/>
        <v>0</v>
      </c>
      <c r="CL104" s="12">
        <f t="shared" si="128"/>
        <v>0</v>
      </c>
      <c r="CM104" s="12">
        <f t="shared" si="128"/>
        <v>0</v>
      </c>
      <c r="CN104" s="12">
        <f t="shared" si="128"/>
        <v>0</v>
      </c>
    </row>
    <row r="105" spans="1:92" x14ac:dyDescent="0.2">
      <c r="A105" s="10"/>
      <c r="B105" s="31" t="s">
        <v>770</v>
      </c>
      <c r="C105" s="31"/>
      <c r="D105" s="31"/>
      <c r="E105" s="31"/>
      <c r="F105" s="31"/>
      <c r="G105" s="31"/>
      <c r="H105" s="32">
        <f>SUM(I105:CN105)</f>
        <v>30956.318519195273</v>
      </c>
      <c r="I105" s="32">
        <f t="shared" ref="I105:AN105" si="129">I96+I101+I102+I103</f>
        <v>0</v>
      </c>
      <c r="J105" s="32">
        <f t="shared" si="129"/>
        <v>0</v>
      </c>
      <c r="K105" s="32">
        <f t="shared" si="129"/>
        <v>0</v>
      </c>
      <c r="L105" s="32">
        <f t="shared" si="129"/>
        <v>-150</v>
      </c>
      <c r="M105" s="32">
        <f t="shared" si="129"/>
        <v>-150</v>
      </c>
      <c r="N105" s="32">
        <f t="shared" si="129"/>
        <v>-150</v>
      </c>
      <c r="O105" s="32">
        <f t="shared" si="129"/>
        <v>-150</v>
      </c>
      <c r="P105" s="32">
        <f t="shared" si="129"/>
        <v>-150</v>
      </c>
      <c r="Q105" s="32">
        <f t="shared" si="129"/>
        <v>-150</v>
      </c>
      <c r="R105" s="32">
        <f t="shared" si="129"/>
        <v>-100</v>
      </c>
      <c r="S105" s="32">
        <f t="shared" si="129"/>
        <v>-100</v>
      </c>
      <c r="T105" s="32">
        <f t="shared" si="129"/>
        <v>-100</v>
      </c>
      <c r="U105" s="32">
        <f t="shared" si="129"/>
        <v>-602.9202344883106</v>
      </c>
      <c r="V105" s="32">
        <f t="shared" si="129"/>
        <v>-1524.2155379941187</v>
      </c>
      <c r="W105" s="32">
        <f t="shared" si="129"/>
        <v>271.2529236473847</v>
      </c>
      <c r="X105" s="32">
        <f t="shared" si="129"/>
        <v>-56.916480158118247</v>
      </c>
      <c r="Y105" s="32">
        <f t="shared" si="129"/>
        <v>-434.78686564476311</v>
      </c>
      <c r="Z105" s="32">
        <f t="shared" si="129"/>
        <v>-751.04845028982209</v>
      </c>
      <c r="AA105" s="32">
        <f t="shared" si="129"/>
        <v>-961.73213153070583</v>
      </c>
      <c r="AB105" s="32">
        <f t="shared" si="129"/>
        <v>-1123.6598468697421</v>
      </c>
      <c r="AC105" s="32">
        <f t="shared" si="129"/>
        <v>-2660.54695068097</v>
      </c>
      <c r="AD105" s="32">
        <f t="shared" si="129"/>
        <v>-2801.1105410536238</v>
      </c>
      <c r="AE105" s="32">
        <f t="shared" si="129"/>
        <v>-242.34809552409934</v>
      </c>
      <c r="AF105" s="32">
        <f t="shared" si="129"/>
        <v>2074.4717443823624</v>
      </c>
      <c r="AG105" s="32">
        <f t="shared" si="129"/>
        <v>2181.9944549170409</v>
      </c>
      <c r="AH105" s="32">
        <f t="shared" si="129"/>
        <v>2547.7377536397457</v>
      </c>
      <c r="AI105" s="32">
        <f t="shared" si="129"/>
        <v>2699.1594459799699</v>
      </c>
      <c r="AJ105" s="32">
        <f t="shared" si="129"/>
        <v>2878.5774529287619</v>
      </c>
      <c r="AK105" s="32">
        <f t="shared" si="129"/>
        <v>3091.5666146078547</v>
      </c>
      <c r="AL105" s="32">
        <f t="shared" si="129"/>
        <v>3345.7659396808385</v>
      </c>
      <c r="AM105" s="32">
        <f t="shared" si="129"/>
        <v>3652.3396898336619</v>
      </c>
      <c r="AN105" s="32">
        <f t="shared" si="129"/>
        <v>4028.9072124222776</v>
      </c>
      <c r="AO105" s="32">
        <f t="shared" ref="AO105:BT105" si="130">AO96+AO101+AO102+AO103</f>
        <v>4506.141083704887</v>
      </c>
      <c r="AP105" s="32">
        <f t="shared" si="130"/>
        <v>5145.3652815158248</v>
      </c>
      <c r="AQ105" s="32">
        <f t="shared" si="130"/>
        <v>6100.1460563106984</v>
      </c>
      <c r="AR105" s="32">
        <f t="shared" si="130"/>
        <v>7985.8170576898765</v>
      </c>
      <c r="AS105" s="32">
        <f t="shared" si="130"/>
        <v>21908.348997771052</v>
      </c>
      <c r="AT105" s="32">
        <f t="shared" si="130"/>
        <v>2720.5317577710448</v>
      </c>
      <c r="AU105" s="32">
        <f t="shared" si="130"/>
        <v>2720.5317577710448</v>
      </c>
      <c r="AV105" s="32">
        <f t="shared" si="130"/>
        <v>2720.5317577710448</v>
      </c>
      <c r="AW105" s="32">
        <f t="shared" si="130"/>
        <v>2720.5317577710448</v>
      </c>
      <c r="AX105" s="32">
        <f t="shared" si="130"/>
        <v>2720.5317577710448</v>
      </c>
      <c r="AY105" s="32">
        <f t="shared" si="130"/>
        <v>2720.5317577710448</v>
      </c>
      <c r="AZ105" s="32">
        <f t="shared" si="130"/>
        <v>-45425.178602228938</v>
      </c>
      <c r="BA105" s="32">
        <f t="shared" si="130"/>
        <v>0</v>
      </c>
      <c r="BB105" s="32">
        <f t="shared" si="130"/>
        <v>0</v>
      </c>
      <c r="BC105" s="32">
        <f t="shared" si="130"/>
        <v>0</v>
      </c>
      <c r="BD105" s="32">
        <f t="shared" si="130"/>
        <v>0</v>
      </c>
      <c r="BE105" s="32">
        <f t="shared" si="130"/>
        <v>0</v>
      </c>
      <c r="BF105" s="32">
        <f t="shared" si="130"/>
        <v>0</v>
      </c>
      <c r="BG105" s="32">
        <f t="shared" si="130"/>
        <v>0</v>
      </c>
      <c r="BH105" s="32">
        <f t="shared" si="130"/>
        <v>0</v>
      </c>
      <c r="BI105" s="32">
        <f t="shared" si="130"/>
        <v>0</v>
      </c>
      <c r="BJ105" s="32">
        <f t="shared" si="130"/>
        <v>0</v>
      </c>
      <c r="BK105" s="32">
        <f t="shared" si="130"/>
        <v>0</v>
      </c>
      <c r="BL105" s="32">
        <f t="shared" si="130"/>
        <v>0</v>
      </c>
      <c r="BM105" s="32">
        <f t="shared" si="130"/>
        <v>0</v>
      </c>
      <c r="BN105" s="32">
        <f t="shared" si="130"/>
        <v>0</v>
      </c>
      <c r="BO105" s="32">
        <f t="shared" si="130"/>
        <v>0</v>
      </c>
      <c r="BP105" s="32">
        <f t="shared" si="130"/>
        <v>0</v>
      </c>
      <c r="BQ105" s="32">
        <f t="shared" si="130"/>
        <v>0</v>
      </c>
      <c r="BR105" s="32">
        <f t="shared" si="130"/>
        <v>0</v>
      </c>
      <c r="BS105" s="32">
        <f t="shared" si="130"/>
        <v>0</v>
      </c>
      <c r="BT105" s="32">
        <f t="shared" si="130"/>
        <v>0</v>
      </c>
      <c r="BU105" s="32">
        <f t="shared" ref="BU105:CN105" si="131">BU96+BU101+BU102+BU103</f>
        <v>0</v>
      </c>
      <c r="BV105" s="32">
        <f t="shared" si="131"/>
        <v>0</v>
      </c>
      <c r="BW105" s="32">
        <f t="shared" si="131"/>
        <v>0</v>
      </c>
      <c r="BX105" s="32">
        <f t="shared" si="131"/>
        <v>0</v>
      </c>
      <c r="BY105" s="32">
        <f t="shared" si="131"/>
        <v>0</v>
      </c>
      <c r="BZ105" s="32">
        <f t="shared" si="131"/>
        <v>0</v>
      </c>
      <c r="CA105" s="32">
        <f t="shared" si="131"/>
        <v>0</v>
      </c>
      <c r="CB105" s="32">
        <f t="shared" si="131"/>
        <v>0</v>
      </c>
      <c r="CC105" s="32">
        <f t="shared" si="131"/>
        <v>0</v>
      </c>
      <c r="CD105" s="32">
        <f t="shared" si="131"/>
        <v>0</v>
      </c>
      <c r="CE105" s="32">
        <f t="shared" si="131"/>
        <v>0</v>
      </c>
      <c r="CF105" s="32">
        <f t="shared" si="131"/>
        <v>0</v>
      </c>
      <c r="CG105" s="32">
        <f t="shared" si="131"/>
        <v>0</v>
      </c>
      <c r="CH105" s="32">
        <f t="shared" si="131"/>
        <v>0</v>
      </c>
      <c r="CI105" s="32">
        <f t="shared" si="131"/>
        <v>0</v>
      </c>
      <c r="CJ105" s="32">
        <f t="shared" si="131"/>
        <v>0</v>
      </c>
      <c r="CK105" s="32">
        <f t="shared" si="131"/>
        <v>0</v>
      </c>
      <c r="CL105" s="32">
        <f t="shared" si="131"/>
        <v>0</v>
      </c>
      <c r="CM105" s="32">
        <f t="shared" si="131"/>
        <v>0</v>
      </c>
      <c r="CN105" s="32">
        <f t="shared" si="131"/>
        <v>0</v>
      </c>
    </row>
    <row r="106" spans="1:92" x14ac:dyDescent="0.2">
      <c r="A106" s="10"/>
      <c r="B106" s="10"/>
      <c r="C106" s="10" t="s">
        <v>771</v>
      </c>
      <c r="D106" s="10"/>
      <c r="E106" s="10"/>
      <c r="F106" s="10"/>
      <c r="G106" s="10"/>
      <c r="H106" s="12"/>
      <c r="I106" s="12">
        <f>I105</f>
        <v>0</v>
      </c>
      <c r="J106" s="12">
        <f t="shared" ref="J106:AO106" si="132">I106+J105</f>
        <v>0</v>
      </c>
      <c r="K106" s="12">
        <f t="shared" si="132"/>
        <v>0</v>
      </c>
      <c r="L106" s="12">
        <f t="shared" si="132"/>
        <v>-150</v>
      </c>
      <c r="M106" s="12">
        <f t="shared" si="132"/>
        <v>-300</v>
      </c>
      <c r="N106" s="12">
        <f t="shared" si="132"/>
        <v>-450</v>
      </c>
      <c r="O106" s="12">
        <f t="shared" si="132"/>
        <v>-600</v>
      </c>
      <c r="P106" s="12">
        <f t="shared" si="132"/>
        <v>-750</v>
      </c>
      <c r="Q106" s="12">
        <f t="shared" si="132"/>
        <v>-900</v>
      </c>
      <c r="R106" s="12">
        <f t="shared" si="132"/>
        <v>-1000</v>
      </c>
      <c r="S106" s="12">
        <f t="shared" si="132"/>
        <v>-1100</v>
      </c>
      <c r="T106" s="12">
        <f t="shared" si="132"/>
        <v>-1200</v>
      </c>
      <c r="U106" s="12">
        <f t="shared" si="132"/>
        <v>-1802.9202344883106</v>
      </c>
      <c r="V106" s="12">
        <f t="shared" si="132"/>
        <v>-3327.1357724824293</v>
      </c>
      <c r="W106" s="12">
        <f t="shared" si="132"/>
        <v>-3055.8828488350446</v>
      </c>
      <c r="X106" s="12">
        <f t="shared" si="132"/>
        <v>-3112.7993289931628</v>
      </c>
      <c r="Y106" s="12">
        <f t="shared" si="132"/>
        <v>-3547.5861946379259</v>
      </c>
      <c r="Z106" s="12">
        <f t="shared" si="132"/>
        <v>-4298.634644927748</v>
      </c>
      <c r="AA106" s="12">
        <f t="shared" si="132"/>
        <v>-5260.3667764584534</v>
      </c>
      <c r="AB106" s="12">
        <f t="shared" si="132"/>
        <v>-6384.0266233281955</v>
      </c>
      <c r="AC106" s="12">
        <f t="shared" si="132"/>
        <v>-9044.5735740091659</v>
      </c>
      <c r="AD106" s="12">
        <f t="shared" si="132"/>
        <v>-11845.68411506279</v>
      </c>
      <c r="AE106" s="12">
        <f t="shared" si="132"/>
        <v>-12088.032210586889</v>
      </c>
      <c r="AF106" s="12">
        <f t="shared" si="132"/>
        <v>-10013.560466204526</v>
      </c>
      <c r="AG106" s="12">
        <f t="shared" si="132"/>
        <v>-7831.5660112874848</v>
      </c>
      <c r="AH106" s="12">
        <f t="shared" si="132"/>
        <v>-5283.8282576477395</v>
      </c>
      <c r="AI106" s="12">
        <f t="shared" si="132"/>
        <v>-2584.6688116677697</v>
      </c>
      <c r="AJ106" s="12">
        <f t="shared" si="132"/>
        <v>293.90864126099223</v>
      </c>
      <c r="AK106" s="12">
        <f t="shared" si="132"/>
        <v>3385.4752558688469</v>
      </c>
      <c r="AL106" s="12">
        <f t="shared" si="132"/>
        <v>6731.2411955496855</v>
      </c>
      <c r="AM106" s="12">
        <f t="shared" si="132"/>
        <v>10383.580885383348</v>
      </c>
      <c r="AN106" s="12">
        <f t="shared" si="132"/>
        <v>14412.488097805624</v>
      </c>
      <c r="AO106" s="12">
        <f t="shared" si="132"/>
        <v>18918.629181510511</v>
      </c>
      <c r="AP106" s="12">
        <f t="shared" ref="AP106:BU106" si="133">AO106+AP105</f>
        <v>24063.994463026334</v>
      </c>
      <c r="AQ106" s="12">
        <f t="shared" si="133"/>
        <v>30164.140519337034</v>
      </c>
      <c r="AR106" s="12">
        <f t="shared" si="133"/>
        <v>38149.957577026908</v>
      </c>
      <c r="AS106" s="12">
        <f t="shared" si="133"/>
        <v>60058.306574797956</v>
      </c>
      <c r="AT106" s="12">
        <f t="shared" si="133"/>
        <v>62778.838332569001</v>
      </c>
      <c r="AU106" s="12">
        <f t="shared" si="133"/>
        <v>65499.370090340046</v>
      </c>
      <c r="AV106" s="12">
        <f t="shared" si="133"/>
        <v>68219.901848111098</v>
      </c>
      <c r="AW106" s="12">
        <f t="shared" si="133"/>
        <v>70940.433605882135</v>
      </c>
      <c r="AX106" s="12">
        <f t="shared" si="133"/>
        <v>73660.965363653173</v>
      </c>
      <c r="AY106" s="12">
        <f t="shared" si="133"/>
        <v>76381.49712142421</v>
      </c>
      <c r="AZ106" s="12">
        <f t="shared" si="133"/>
        <v>30956.318519195273</v>
      </c>
      <c r="BA106" s="12">
        <f t="shared" si="133"/>
        <v>30956.318519195273</v>
      </c>
      <c r="BB106" s="12">
        <f t="shared" si="133"/>
        <v>30956.318519195273</v>
      </c>
      <c r="BC106" s="12">
        <f t="shared" si="133"/>
        <v>30956.318519195273</v>
      </c>
      <c r="BD106" s="12">
        <f t="shared" si="133"/>
        <v>30956.318519195273</v>
      </c>
      <c r="BE106" s="12">
        <f t="shared" si="133"/>
        <v>30956.318519195273</v>
      </c>
      <c r="BF106" s="12">
        <f t="shared" si="133"/>
        <v>30956.318519195273</v>
      </c>
      <c r="BG106" s="12">
        <f t="shared" si="133"/>
        <v>30956.318519195273</v>
      </c>
      <c r="BH106" s="12">
        <f t="shared" si="133"/>
        <v>30956.318519195273</v>
      </c>
      <c r="BI106" s="12">
        <f t="shared" si="133"/>
        <v>30956.318519195273</v>
      </c>
      <c r="BJ106" s="12">
        <f t="shared" si="133"/>
        <v>30956.318519195273</v>
      </c>
      <c r="BK106" s="12">
        <f t="shared" si="133"/>
        <v>30956.318519195273</v>
      </c>
      <c r="BL106" s="12">
        <f t="shared" si="133"/>
        <v>30956.318519195273</v>
      </c>
      <c r="BM106" s="12">
        <f t="shared" si="133"/>
        <v>30956.318519195273</v>
      </c>
      <c r="BN106" s="12">
        <f t="shared" si="133"/>
        <v>30956.318519195273</v>
      </c>
      <c r="BO106" s="12">
        <f t="shared" si="133"/>
        <v>30956.318519195273</v>
      </c>
      <c r="BP106" s="12">
        <f t="shared" si="133"/>
        <v>30956.318519195273</v>
      </c>
      <c r="BQ106" s="12">
        <f t="shared" si="133"/>
        <v>30956.318519195273</v>
      </c>
      <c r="BR106" s="12">
        <f t="shared" si="133"/>
        <v>30956.318519195273</v>
      </c>
      <c r="BS106" s="12">
        <f t="shared" si="133"/>
        <v>30956.318519195273</v>
      </c>
      <c r="BT106" s="12">
        <f t="shared" si="133"/>
        <v>30956.318519195273</v>
      </c>
      <c r="BU106" s="12">
        <f t="shared" si="133"/>
        <v>30956.318519195273</v>
      </c>
      <c r="BV106" s="12">
        <f t="shared" ref="BV106:CN106" si="134">BU106+BV105</f>
        <v>30956.318519195273</v>
      </c>
      <c r="BW106" s="12">
        <f t="shared" si="134"/>
        <v>30956.318519195273</v>
      </c>
      <c r="BX106" s="12">
        <f t="shared" si="134"/>
        <v>30956.318519195273</v>
      </c>
      <c r="BY106" s="12">
        <f t="shared" si="134"/>
        <v>30956.318519195273</v>
      </c>
      <c r="BZ106" s="12">
        <f t="shared" si="134"/>
        <v>30956.318519195273</v>
      </c>
      <c r="CA106" s="12">
        <f t="shared" si="134"/>
        <v>30956.318519195273</v>
      </c>
      <c r="CB106" s="12">
        <f t="shared" si="134"/>
        <v>30956.318519195273</v>
      </c>
      <c r="CC106" s="12">
        <f t="shared" si="134"/>
        <v>30956.318519195273</v>
      </c>
      <c r="CD106" s="12">
        <f t="shared" si="134"/>
        <v>30956.318519195273</v>
      </c>
      <c r="CE106" s="12">
        <f t="shared" si="134"/>
        <v>30956.318519195273</v>
      </c>
      <c r="CF106" s="12">
        <f t="shared" si="134"/>
        <v>30956.318519195273</v>
      </c>
      <c r="CG106" s="12">
        <f t="shared" si="134"/>
        <v>30956.318519195273</v>
      </c>
      <c r="CH106" s="12">
        <f t="shared" si="134"/>
        <v>30956.318519195273</v>
      </c>
      <c r="CI106" s="12">
        <f t="shared" si="134"/>
        <v>30956.318519195273</v>
      </c>
      <c r="CJ106" s="12">
        <f t="shared" si="134"/>
        <v>30956.318519195273</v>
      </c>
      <c r="CK106" s="12">
        <f t="shared" si="134"/>
        <v>30956.318519195273</v>
      </c>
      <c r="CL106" s="12">
        <f t="shared" si="134"/>
        <v>30956.318519195273</v>
      </c>
      <c r="CM106" s="12">
        <f t="shared" si="134"/>
        <v>30956.318519195273</v>
      </c>
      <c r="CN106" s="12">
        <f t="shared" si="134"/>
        <v>30956.318519195273</v>
      </c>
    </row>
    <row r="107" spans="1:92" x14ac:dyDescent="0.2">
      <c r="A107" s="10"/>
      <c r="B107" s="10"/>
      <c r="C107" s="10" t="s">
        <v>772</v>
      </c>
      <c r="D107" s="10"/>
      <c r="E107" s="10"/>
      <c r="F107" s="10"/>
      <c r="G107" s="10"/>
      <c r="H107" s="12">
        <f>SUM(I107:CN107)</f>
        <v>-57784.463736463214</v>
      </c>
      <c r="I107" s="12">
        <f t="shared" ref="I107:AN107" si="135">MIN(0,I105)</f>
        <v>0</v>
      </c>
      <c r="J107" s="12">
        <f t="shared" si="135"/>
        <v>0</v>
      </c>
      <c r="K107" s="12">
        <f t="shared" si="135"/>
        <v>0</v>
      </c>
      <c r="L107" s="12">
        <f t="shared" si="135"/>
        <v>-150</v>
      </c>
      <c r="M107" s="12">
        <f t="shared" si="135"/>
        <v>-150</v>
      </c>
      <c r="N107" s="12">
        <f t="shared" si="135"/>
        <v>-150</v>
      </c>
      <c r="O107" s="12">
        <f t="shared" si="135"/>
        <v>-150</v>
      </c>
      <c r="P107" s="12">
        <f t="shared" si="135"/>
        <v>-150</v>
      </c>
      <c r="Q107" s="12">
        <f t="shared" si="135"/>
        <v>-150</v>
      </c>
      <c r="R107" s="12">
        <f t="shared" si="135"/>
        <v>-100</v>
      </c>
      <c r="S107" s="12">
        <f t="shared" si="135"/>
        <v>-100</v>
      </c>
      <c r="T107" s="12">
        <f t="shared" si="135"/>
        <v>-100</v>
      </c>
      <c r="U107" s="12">
        <f t="shared" si="135"/>
        <v>-602.9202344883106</v>
      </c>
      <c r="V107" s="12">
        <f t="shared" si="135"/>
        <v>-1524.2155379941187</v>
      </c>
      <c r="W107" s="12">
        <f t="shared" si="135"/>
        <v>0</v>
      </c>
      <c r="X107" s="12">
        <f t="shared" si="135"/>
        <v>-56.916480158118247</v>
      </c>
      <c r="Y107" s="12">
        <f t="shared" si="135"/>
        <v>-434.78686564476311</v>
      </c>
      <c r="Z107" s="12">
        <f t="shared" si="135"/>
        <v>-751.04845028982209</v>
      </c>
      <c r="AA107" s="12">
        <f t="shared" si="135"/>
        <v>-961.73213153070583</v>
      </c>
      <c r="AB107" s="12">
        <f t="shared" si="135"/>
        <v>-1123.6598468697421</v>
      </c>
      <c r="AC107" s="12">
        <f t="shared" si="135"/>
        <v>-2660.54695068097</v>
      </c>
      <c r="AD107" s="12">
        <f t="shared" si="135"/>
        <v>-2801.1105410536238</v>
      </c>
      <c r="AE107" s="12">
        <f t="shared" si="135"/>
        <v>-242.34809552409934</v>
      </c>
      <c r="AF107" s="12">
        <f t="shared" si="135"/>
        <v>0</v>
      </c>
      <c r="AG107" s="12">
        <f t="shared" si="135"/>
        <v>0</v>
      </c>
      <c r="AH107" s="12">
        <f t="shared" si="135"/>
        <v>0</v>
      </c>
      <c r="AI107" s="12">
        <f t="shared" si="135"/>
        <v>0</v>
      </c>
      <c r="AJ107" s="12">
        <f t="shared" si="135"/>
        <v>0</v>
      </c>
      <c r="AK107" s="12">
        <f t="shared" si="135"/>
        <v>0</v>
      </c>
      <c r="AL107" s="12">
        <f t="shared" si="135"/>
        <v>0</v>
      </c>
      <c r="AM107" s="12">
        <f t="shared" si="135"/>
        <v>0</v>
      </c>
      <c r="AN107" s="12">
        <f t="shared" si="135"/>
        <v>0</v>
      </c>
      <c r="AO107" s="12">
        <f t="shared" ref="AO107:BT107" si="136">MIN(0,AO105)</f>
        <v>0</v>
      </c>
      <c r="AP107" s="12">
        <f t="shared" si="136"/>
        <v>0</v>
      </c>
      <c r="AQ107" s="12">
        <f t="shared" si="136"/>
        <v>0</v>
      </c>
      <c r="AR107" s="12">
        <f t="shared" si="136"/>
        <v>0</v>
      </c>
      <c r="AS107" s="12">
        <f t="shared" si="136"/>
        <v>0</v>
      </c>
      <c r="AT107" s="12">
        <f t="shared" si="136"/>
        <v>0</v>
      </c>
      <c r="AU107" s="12">
        <f t="shared" si="136"/>
        <v>0</v>
      </c>
      <c r="AV107" s="12">
        <f t="shared" si="136"/>
        <v>0</v>
      </c>
      <c r="AW107" s="12">
        <f t="shared" si="136"/>
        <v>0</v>
      </c>
      <c r="AX107" s="12">
        <f t="shared" si="136"/>
        <v>0</v>
      </c>
      <c r="AY107" s="12">
        <f t="shared" si="136"/>
        <v>0</v>
      </c>
      <c r="AZ107" s="12">
        <f t="shared" si="136"/>
        <v>-45425.178602228938</v>
      </c>
      <c r="BA107" s="12">
        <f t="shared" si="136"/>
        <v>0</v>
      </c>
      <c r="BB107" s="12">
        <f t="shared" si="136"/>
        <v>0</v>
      </c>
      <c r="BC107" s="12">
        <f t="shared" si="136"/>
        <v>0</v>
      </c>
      <c r="BD107" s="12">
        <f t="shared" si="136"/>
        <v>0</v>
      </c>
      <c r="BE107" s="12">
        <f t="shared" si="136"/>
        <v>0</v>
      </c>
      <c r="BF107" s="12">
        <f t="shared" si="136"/>
        <v>0</v>
      </c>
      <c r="BG107" s="12">
        <f t="shared" si="136"/>
        <v>0</v>
      </c>
      <c r="BH107" s="12">
        <f t="shared" si="136"/>
        <v>0</v>
      </c>
      <c r="BI107" s="12">
        <f t="shared" si="136"/>
        <v>0</v>
      </c>
      <c r="BJ107" s="12">
        <f t="shared" si="136"/>
        <v>0</v>
      </c>
      <c r="BK107" s="12">
        <f t="shared" si="136"/>
        <v>0</v>
      </c>
      <c r="BL107" s="12">
        <f t="shared" si="136"/>
        <v>0</v>
      </c>
      <c r="BM107" s="12">
        <f t="shared" si="136"/>
        <v>0</v>
      </c>
      <c r="BN107" s="12">
        <f t="shared" si="136"/>
        <v>0</v>
      </c>
      <c r="BO107" s="12">
        <f t="shared" si="136"/>
        <v>0</v>
      </c>
      <c r="BP107" s="12">
        <f t="shared" si="136"/>
        <v>0</v>
      </c>
      <c r="BQ107" s="12">
        <f t="shared" si="136"/>
        <v>0</v>
      </c>
      <c r="BR107" s="12">
        <f t="shared" si="136"/>
        <v>0</v>
      </c>
      <c r="BS107" s="12">
        <f t="shared" si="136"/>
        <v>0</v>
      </c>
      <c r="BT107" s="12">
        <f t="shared" si="136"/>
        <v>0</v>
      </c>
      <c r="BU107" s="12">
        <f t="shared" ref="BU107:CN107" si="137">MIN(0,BU105)</f>
        <v>0</v>
      </c>
      <c r="BV107" s="12">
        <f t="shared" si="137"/>
        <v>0</v>
      </c>
      <c r="BW107" s="12">
        <f t="shared" si="137"/>
        <v>0</v>
      </c>
      <c r="BX107" s="12">
        <f t="shared" si="137"/>
        <v>0</v>
      </c>
      <c r="BY107" s="12">
        <f t="shared" si="137"/>
        <v>0</v>
      </c>
      <c r="BZ107" s="12">
        <f t="shared" si="137"/>
        <v>0</v>
      </c>
      <c r="CA107" s="12">
        <f t="shared" si="137"/>
        <v>0</v>
      </c>
      <c r="CB107" s="12">
        <f t="shared" si="137"/>
        <v>0</v>
      </c>
      <c r="CC107" s="12">
        <f t="shared" si="137"/>
        <v>0</v>
      </c>
      <c r="CD107" s="12">
        <f t="shared" si="137"/>
        <v>0</v>
      </c>
      <c r="CE107" s="12">
        <f t="shared" si="137"/>
        <v>0</v>
      </c>
      <c r="CF107" s="12">
        <f t="shared" si="137"/>
        <v>0</v>
      </c>
      <c r="CG107" s="12">
        <f t="shared" si="137"/>
        <v>0</v>
      </c>
      <c r="CH107" s="12">
        <f t="shared" si="137"/>
        <v>0</v>
      </c>
      <c r="CI107" s="12">
        <f t="shared" si="137"/>
        <v>0</v>
      </c>
      <c r="CJ107" s="12">
        <f t="shared" si="137"/>
        <v>0</v>
      </c>
      <c r="CK107" s="12">
        <f t="shared" si="137"/>
        <v>0</v>
      </c>
      <c r="CL107" s="12">
        <f t="shared" si="137"/>
        <v>0</v>
      </c>
      <c r="CM107" s="12">
        <f t="shared" si="137"/>
        <v>0</v>
      </c>
      <c r="CN107" s="12">
        <f t="shared" si="137"/>
        <v>0</v>
      </c>
    </row>
    <row r="108" spans="1:92" x14ac:dyDescent="0.2">
      <c r="A108" s="10"/>
      <c r="B108" s="10"/>
      <c r="C108" s="10" t="s">
        <v>773</v>
      </c>
      <c r="D108" s="10"/>
      <c r="E108" s="10"/>
      <c r="F108" s="10"/>
      <c r="G108" s="10"/>
      <c r="H108" s="12">
        <f>SUM(I108:CN108)</f>
        <v>88740.782255658472</v>
      </c>
      <c r="I108" s="12">
        <f t="shared" ref="I108:AN108" si="138">MAX(0,I105)</f>
        <v>0</v>
      </c>
      <c r="J108" s="12">
        <f t="shared" si="138"/>
        <v>0</v>
      </c>
      <c r="K108" s="12">
        <f t="shared" si="138"/>
        <v>0</v>
      </c>
      <c r="L108" s="12">
        <f t="shared" si="138"/>
        <v>0</v>
      </c>
      <c r="M108" s="12">
        <f t="shared" si="138"/>
        <v>0</v>
      </c>
      <c r="N108" s="12">
        <f t="shared" si="138"/>
        <v>0</v>
      </c>
      <c r="O108" s="12">
        <f t="shared" si="138"/>
        <v>0</v>
      </c>
      <c r="P108" s="12">
        <f t="shared" si="138"/>
        <v>0</v>
      </c>
      <c r="Q108" s="12">
        <f t="shared" si="138"/>
        <v>0</v>
      </c>
      <c r="R108" s="12">
        <f t="shared" si="138"/>
        <v>0</v>
      </c>
      <c r="S108" s="12">
        <f t="shared" si="138"/>
        <v>0</v>
      </c>
      <c r="T108" s="12">
        <f t="shared" si="138"/>
        <v>0</v>
      </c>
      <c r="U108" s="12">
        <f t="shared" si="138"/>
        <v>0</v>
      </c>
      <c r="V108" s="12">
        <f t="shared" si="138"/>
        <v>0</v>
      </c>
      <c r="W108" s="12">
        <f t="shared" si="138"/>
        <v>271.2529236473847</v>
      </c>
      <c r="X108" s="12">
        <f t="shared" si="138"/>
        <v>0</v>
      </c>
      <c r="Y108" s="12">
        <f t="shared" si="138"/>
        <v>0</v>
      </c>
      <c r="Z108" s="12">
        <f t="shared" si="138"/>
        <v>0</v>
      </c>
      <c r="AA108" s="12">
        <f t="shared" si="138"/>
        <v>0</v>
      </c>
      <c r="AB108" s="12">
        <f t="shared" si="138"/>
        <v>0</v>
      </c>
      <c r="AC108" s="12">
        <f t="shared" si="138"/>
        <v>0</v>
      </c>
      <c r="AD108" s="12">
        <f t="shared" si="138"/>
        <v>0</v>
      </c>
      <c r="AE108" s="12">
        <f t="shared" si="138"/>
        <v>0</v>
      </c>
      <c r="AF108" s="12">
        <f t="shared" si="138"/>
        <v>2074.4717443823624</v>
      </c>
      <c r="AG108" s="12">
        <f t="shared" si="138"/>
        <v>2181.9944549170409</v>
      </c>
      <c r="AH108" s="12">
        <f t="shared" si="138"/>
        <v>2547.7377536397457</v>
      </c>
      <c r="AI108" s="12">
        <f t="shared" si="138"/>
        <v>2699.1594459799699</v>
      </c>
      <c r="AJ108" s="12">
        <f t="shared" si="138"/>
        <v>2878.5774529287619</v>
      </c>
      <c r="AK108" s="12">
        <f t="shared" si="138"/>
        <v>3091.5666146078547</v>
      </c>
      <c r="AL108" s="12">
        <f t="shared" si="138"/>
        <v>3345.7659396808385</v>
      </c>
      <c r="AM108" s="12">
        <f t="shared" si="138"/>
        <v>3652.3396898336619</v>
      </c>
      <c r="AN108" s="12">
        <f t="shared" si="138"/>
        <v>4028.9072124222776</v>
      </c>
      <c r="AO108" s="12">
        <f t="shared" ref="AO108:BT108" si="139">MAX(0,AO105)</f>
        <v>4506.141083704887</v>
      </c>
      <c r="AP108" s="12">
        <f t="shared" si="139"/>
        <v>5145.3652815158248</v>
      </c>
      <c r="AQ108" s="12">
        <f t="shared" si="139"/>
        <v>6100.1460563106984</v>
      </c>
      <c r="AR108" s="12">
        <f t="shared" si="139"/>
        <v>7985.8170576898765</v>
      </c>
      <c r="AS108" s="12">
        <f t="shared" si="139"/>
        <v>21908.348997771052</v>
      </c>
      <c r="AT108" s="12">
        <f t="shared" si="139"/>
        <v>2720.5317577710448</v>
      </c>
      <c r="AU108" s="12">
        <f t="shared" si="139"/>
        <v>2720.5317577710448</v>
      </c>
      <c r="AV108" s="12">
        <f t="shared" si="139"/>
        <v>2720.5317577710448</v>
      </c>
      <c r="AW108" s="12">
        <f t="shared" si="139"/>
        <v>2720.5317577710448</v>
      </c>
      <c r="AX108" s="12">
        <f t="shared" si="139"/>
        <v>2720.5317577710448</v>
      </c>
      <c r="AY108" s="12">
        <f t="shared" si="139"/>
        <v>2720.5317577710448</v>
      </c>
      <c r="AZ108" s="12">
        <f t="shared" si="139"/>
        <v>0</v>
      </c>
      <c r="BA108" s="12">
        <f t="shared" si="139"/>
        <v>0</v>
      </c>
      <c r="BB108" s="12">
        <f t="shared" si="139"/>
        <v>0</v>
      </c>
      <c r="BC108" s="12">
        <f t="shared" si="139"/>
        <v>0</v>
      </c>
      <c r="BD108" s="12">
        <f t="shared" si="139"/>
        <v>0</v>
      </c>
      <c r="BE108" s="12">
        <f t="shared" si="139"/>
        <v>0</v>
      </c>
      <c r="BF108" s="12">
        <f t="shared" si="139"/>
        <v>0</v>
      </c>
      <c r="BG108" s="12">
        <f t="shared" si="139"/>
        <v>0</v>
      </c>
      <c r="BH108" s="12">
        <f t="shared" si="139"/>
        <v>0</v>
      </c>
      <c r="BI108" s="12">
        <f t="shared" si="139"/>
        <v>0</v>
      </c>
      <c r="BJ108" s="12">
        <f t="shared" si="139"/>
        <v>0</v>
      </c>
      <c r="BK108" s="12">
        <f t="shared" si="139"/>
        <v>0</v>
      </c>
      <c r="BL108" s="12">
        <f t="shared" si="139"/>
        <v>0</v>
      </c>
      <c r="BM108" s="12">
        <f t="shared" si="139"/>
        <v>0</v>
      </c>
      <c r="BN108" s="12">
        <f t="shared" si="139"/>
        <v>0</v>
      </c>
      <c r="BO108" s="12">
        <f t="shared" si="139"/>
        <v>0</v>
      </c>
      <c r="BP108" s="12">
        <f t="shared" si="139"/>
        <v>0</v>
      </c>
      <c r="BQ108" s="12">
        <f t="shared" si="139"/>
        <v>0</v>
      </c>
      <c r="BR108" s="12">
        <f t="shared" si="139"/>
        <v>0</v>
      </c>
      <c r="BS108" s="12">
        <f t="shared" si="139"/>
        <v>0</v>
      </c>
      <c r="BT108" s="12">
        <f t="shared" si="139"/>
        <v>0</v>
      </c>
      <c r="BU108" s="12">
        <f t="shared" ref="BU108:CN108" si="140">MAX(0,BU105)</f>
        <v>0</v>
      </c>
      <c r="BV108" s="12">
        <f t="shared" si="140"/>
        <v>0</v>
      </c>
      <c r="BW108" s="12">
        <f t="shared" si="140"/>
        <v>0</v>
      </c>
      <c r="BX108" s="12">
        <f t="shared" si="140"/>
        <v>0</v>
      </c>
      <c r="BY108" s="12">
        <f t="shared" si="140"/>
        <v>0</v>
      </c>
      <c r="BZ108" s="12">
        <f t="shared" si="140"/>
        <v>0</v>
      </c>
      <c r="CA108" s="12">
        <f t="shared" si="140"/>
        <v>0</v>
      </c>
      <c r="CB108" s="12">
        <f t="shared" si="140"/>
        <v>0</v>
      </c>
      <c r="CC108" s="12">
        <f t="shared" si="140"/>
        <v>0</v>
      </c>
      <c r="CD108" s="12">
        <f t="shared" si="140"/>
        <v>0</v>
      </c>
      <c r="CE108" s="12">
        <f t="shared" si="140"/>
        <v>0</v>
      </c>
      <c r="CF108" s="12">
        <f t="shared" si="140"/>
        <v>0</v>
      </c>
      <c r="CG108" s="12">
        <f t="shared" si="140"/>
        <v>0</v>
      </c>
      <c r="CH108" s="12">
        <f t="shared" si="140"/>
        <v>0</v>
      </c>
      <c r="CI108" s="12">
        <f t="shared" si="140"/>
        <v>0</v>
      </c>
      <c r="CJ108" s="12">
        <f t="shared" si="140"/>
        <v>0</v>
      </c>
      <c r="CK108" s="12">
        <f t="shared" si="140"/>
        <v>0</v>
      </c>
      <c r="CL108" s="12">
        <f t="shared" si="140"/>
        <v>0</v>
      </c>
      <c r="CM108" s="12">
        <f t="shared" si="140"/>
        <v>0</v>
      </c>
      <c r="CN108" s="12">
        <f t="shared" si="140"/>
        <v>0</v>
      </c>
    </row>
    <row r="109" spans="1:92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</row>
    <row r="110" spans="1:92" x14ac:dyDescent="0.2">
      <c r="A110" s="10"/>
      <c r="B110" s="24" t="s">
        <v>774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</row>
    <row r="111" spans="1:92" x14ac:dyDescent="0.2">
      <c r="A111" s="10"/>
      <c r="B111" s="10"/>
      <c r="C111" s="10" t="s">
        <v>739</v>
      </c>
      <c r="D111" s="10"/>
      <c r="E111" s="10"/>
      <c r="F111" s="10"/>
      <c r="G111" s="10"/>
      <c r="H111" s="10"/>
      <c r="I111" s="218">
        <f>YEAR($D$10)</f>
        <v>2026</v>
      </c>
      <c r="J111" s="218">
        <f t="shared" ref="J111:AB111" si="141">I111+1</f>
        <v>2027</v>
      </c>
      <c r="K111" s="218">
        <f t="shared" si="141"/>
        <v>2028</v>
      </c>
      <c r="L111" s="218">
        <f t="shared" si="141"/>
        <v>2029</v>
      </c>
      <c r="M111" s="218">
        <f t="shared" si="141"/>
        <v>2030</v>
      </c>
      <c r="N111" s="218">
        <f t="shared" si="141"/>
        <v>2031</v>
      </c>
      <c r="O111" s="218">
        <f t="shared" si="141"/>
        <v>2032</v>
      </c>
      <c r="P111" s="218">
        <f t="shared" si="141"/>
        <v>2033</v>
      </c>
      <c r="Q111" s="218">
        <f t="shared" si="141"/>
        <v>2034</v>
      </c>
      <c r="R111" s="218">
        <f t="shared" si="141"/>
        <v>2035</v>
      </c>
      <c r="S111" s="218">
        <f t="shared" si="141"/>
        <v>2036</v>
      </c>
      <c r="T111" s="218">
        <f t="shared" si="141"/>
        <v>2037</v>
      </c>
      <c r="U111" s="218">
        <f t="shared" si="141"/>
        <v>2038</v>
      </c>
      <c r="V111" s="218">
        <f t="shared" si="141"/>
        <v>2039</v>
      </c>
      <c r="W111" s="218">
        <f t="shared" si="141"/>
        <v>2040</v>
      </c>
      <c r="X111" s="218">
        <f t="shared" si="141"/>
        <v>2041</v>
      </c>
      <c r="Y111" s="218">
        <f t="shared" si="141"/>
        <v>2042</v>
      </c>
      <c r="Z111" s="218">
        <f t="shared" si="141"/>
        <v>2043</v>
      </c>
      <c r="AA111" s="218">
        <f t="shared" si="141"/>
        <v>2044</v>
      </c>
      <c r="AB111" s="218">
        <f t="shared" si="141"/>
        <v>2045</v>
      </c>
      <c r="AC111" s="218" t="s">
        <v>28</v>
      </c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</row>
    <row r="112" spans="1:92" x14ac:dyDescent="0.2">
      <c r="A112" s="10"/>
      <c r="B112" s="10"/>
      <c r="C112" s="10" t="s">
        <v>775</v>
      </c>
      <c r="D112" s="10"/>
      <c r="E112" s="10"/>
      <c r="F112" s="10"/>
      <c r="G112" s="10"/>
      <c r="H112" s="12">
        <f>SUM(I112:AB112)</f>
        <v>125900.41439999999</v>
      </c>
      <c r="I112" s="12" cm="1">
        <f t="array" ref="I112">SUMPRODUCT(($I$7:$CN$7=I$111)*$I$80:$CN$80)</f>
        <v>0</v>
      </c>
      <c r="J112" s="12" cm="1">
        <f t="array" ref="J112">SUMPRODUCT(($I$7:$CN$7=J$111)*$I$80:$CN$80)</f>
        <v>28608.109391576654</v>
      </c>
      <c r="K112" s="12" cm="1">
        <f t="array" ref="K112">SUMPRODUCT(($I$7:$CN$7=K$111)*$I$80:$CN$80)</f>
        <v>56071.915248423335</v>
      </c>
      <c r="L112" s="12" cm="1">
        <f t="array" ref="L112">SUMPRODUCT(($I$7:$CN$7=L$111)*$I$80:$CN$80)</f>
        <v>41220.389760000005</v>
      </c>
      <c r="M112" s="12" cm="1">
        <f t="array" ref="M112">SUMPRODUCT(($I$7:$CN$7=M$111)*$I$80:$CN$80)</f>
        <v>0</v>
      </c>
      <c r="N112" s="12" cm="1">
        <f t="array" ref="N112">SUMPRODUCT(($I$7:$CN$7=N$111)*$I$80:$CN$80)</f>
        <v>0</v>
      </c>
      <c r="O112" s="12" cm="1">
        <f t="array" ref="O112">SUMPRODUCT(($I$7:$CN$7=O$111)*$I$80:$CN$80)</f>
        <v>0</v>
      </c>
      <c r="P112" s="12" cm="1">
        <f t="array" ref="P112">SUMPRODUCT(($I$7:$CN$7=P$111)*$I$80:$CN$80)</f>
        <v>0</v>
      </c>
      <c r="Q112" s="12" cm="1">
        <f t="array" ref="Q112">SUMPRODUCT(($I$7:$CN$7=Q$111)*$I$80:$CN$80)</f>
        <v>0</v>
      </c>
      <c r="R112" s="12" cm="1">
        <f t="array" ref="R112">SUMPRODUCT(($I$7:$CN$7=R$111)*$I$80:$CN$80)</f>
        <v>0</v>
      </c>
      <c r="S112" s="12" cm="1">
        <f t="array" ref="S112">SUMPRODUCT(($I$7:$CN$7=S$111)*$I$80:$CN$80)</f>
        <v>0</v>
      </c>
      <c r="T112" s="12" cm="1">
        <f t="array" ref="T112">SUMPRODUCT(($I$7:$CN$7=T$111)*$I$80:$CN$80)</f>
        <v>0</v>
      </c>
      <c r="U112" s="12" cm="1">
        <f t="array" ref="U112">SUMPRODUCT(($I$7:$CN$7=U$111)*$I$80:$CN$80)</f>
        <v>0</v>
      </c>
      <c r="V112" s="12" cm="1">
        <f t="array" ref="V112">SUMPRODUCT(($I$7:$CN$7=V$111)*$I$80:$CN$80)</f>
        <v>0</v>
      </c>
      <c r="W112" s="12" cm="1">
        <f t="array" ref="W112">SUMPRODUCT(($I$7:$CN$7=W$111)*$I$80:$CN$80)</f>
        <v>0</v>
      </c>
      <c r="X112" s="12" cm="1">
        <f t="array" ref="X112">SUMPRODUCT(($I$7:$CN$7=X$111)*$I$80:$CN$80)</f>
        <v>0</v>
      </c>
      <c r="Y112" s="12" cm="1">
        <f t="array" ref="Y112">SUMPRODUCT(($I$7:$CN$7=Y$111)*$I$80:$CN$80)</f>
        <v>0</v>
      </c>
      <c r="Z112" s="12" cm="1">
        <f t="array" ref="Z112">SUMPRODUCT(($I$7:$CN$7=Z$111)*$I$80:$CN$80)</f>
        <v>0</v>
      </c>
      <c r="AA112" s="12" cm="1">
        <f t="array" ref="AA112">SUMPRODUCT(($I$7:$CN$7=AA$111)*$I$80:$CN$80)</f>
        <v>0</v>
      </c>
      <c r="AB112" s="12" cm="1">
        <f t="array" ref="AB112">SUMPRODUCT(($I$7:$CN$7=AB$111)*$I$80:$CN$80)</f>
        <v>0</v>
      </c>
      <c r="AC112" s="12">
        <f>0</f>
        <v>0</v>
      </c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</row>
    <row r="113" spans="1:92" x14ac:dyDescent="0.2">
      <c r="A113" s="10"/>
      <c r="B113" s="10"/>
      <c r="C113" s="10" t="s">
        <v>776</v>
      </c>
      <c r="D113" s="10"/>
      <c r="E113" s="10"/>
      <c r="F113" s="10"/>
      <c r="G113" s="10"/>
      <c r="H113" s="12">
        <f>SUM(I113:AB113)</f>
        <v>-88113.15</v>
      </c>
      <c r="I113" s="12" cm="1">
        <f t="array" ref="I113">SUMPRODUCT(($I$7:$CN$7=I$111)*$I$95:$CN$95)</f>
        <v>-1200</v>
      </c>
      <c r="J113" s="12" cm="1">
        <f t="array" ref="J113">SUMPRODUCT(($I$7:$CN$7=J$111)*$I$95:$CN$95)</f>
        <v>-44896.649999999994</v>
      </c>
      <c r="K113" s="12" cm="1">
        <f t="array" ref="K113">SUMPRODUCT(($I$7:$CN$7=K$111)*$I$95:$CN$95)</f>
        <v>-42016.5</v>
      </c>
      <c r="L113" s="12" cm="1">
        <f t="array" ref="L113">SUMPRODUCT(($I$7:$CN$7=L$111)*$I$95:$CN$95)</f>
        <v>0</v>
      </c>
      <c r="M113" s="12" cm="1">
        <f t="array" ref="M113">SUMPRODUCT(($I$7:$CN$7=M$111)*$I$95:$CN$95)</f>
        <v>0</v>
      </c>
      <c r="N113" s="12" cm="1">
        <f t="array" ref="N113">SUMPRODUCT(($I$7:$CN$7=N$111)*$I$95:$CN$95)</f>
        <v>0</v>
      </c>
      <c r="O113" s="12" cm="1">
        <f t="array" ref="O113">SUMPRODUCT(($I$7:$CN$7=O$111)*$I$95:$CN$95)</f>
        <v>0</v>
      </c>
      <c r="P113" s="12" cm="1">
        <f t="array" ref="P113">SUMPRODUCT(($I$7:$CN$7=P$111)*$I$95:$CN$95)</f>
        <v>0</v>
      </c>
      <c r="Q113" s="12" cm="1">
        <f t="array" ref="Q113">SUMPRODUCT(($I$7:$CN$7=Q$111)*$I$95:$CN$95)</f>
        <v>0</v>
      </c>
      <c r="R113" s="12" cm="1">
        <f t="array" ref="R113">SUMPRODUCT(($I$7:$CN$7=R$111)*$I$95:$CN$95)</f>
        <v>0</v>
      </c>
      <c r="S113" s="12" cm="1">
        <f t="array" ref="S113">SUMPRODUCT(($I$7:$CN$7=S$111)*$I$95:$CN$95)</f>
        <v>0</v>
      </c>
      <c r="T113" s="12" cm="1">
        <f t="array" ref="T113">SUMPRODUCT(($I$7:$CN$7=T$111)*$I$95:$CN$95)</f>
        <v>0</v>
      </c>
      <c r="U113" s="12" cm="1">
        <f t="array" ref="U113">SUMPRODUCT(($I$7:$CN$7=U$111)*$I$95:$CN$95)</f>
        <v>0</v>
      </c>
      <c r="V113" s="12" cm="1">
        <f t="array" ref="V113">SUMPRODUCT(($I$7:$CN$7=V$111)*$I$95:$CN$95)</f>
        <v>0</v>
      </c>
      <c r="W113" s="12" cm="1">
        <f t="array" ref="W113">SUMPRODUCT(($I$7:$CN$7=W$111)*$I$95:$CN$95)</f>
        <v>0</v>
      </c>
      <c r="X113" s="12" cm="1">
        <f t="array" ref="X113">SUMPRODUCT(($I$7:$CN$7=X$111)*$I$95:$CN$95)</f>
        <v>0</v>
      </c>
      <c r="Y113" s="12" cm="1">
        <f t="array" ref="Y113">SUMPRODUCT(($I$7:$CN$7=Y$111)*$I$95:$CN$95)</f>
        <v>0</v>
      </c>
      <c r="Z113" s="12" cm="1">
        <f t="array" ref="Z113">SUMPRODUCT(($I$7:$CN$7=Z$111)*$I$95:$CN$95)</f>
        <v>0</v>
      </c>
      <c r="AA113" s="12" cm="1">
        <f t="array" ref="AA113">SUMPRODUCT(($I$7:$CN$7=AA$111)*$I$95:$CN$95)</f>
        <v>0</v>
      </c>
      <c r="AB113" s="12" cm="1">
        <f t="array" ref="AB113">SUMPRODUCT(($I$7:$CN$7=AB$111)*$I$95:$CN$95)</f>
        <v>0</v>
      </c>
      <c r="AC113" s="12">
        <f>0</f>
        <v>0</v>
      </c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</row>
    <row r="114" spans="1:92" x14ac:dyDescent="0.2">
      <c r="A114" s="10"/>
      <c r="B114" s="10"/>
      <c r="C114" s="10" t="s">
        <v>777</v>
      </c>
      <c r="D114" s="10"/>
      <c r="E114" s="10"/>
      <c r="F114" s="10"/>
      <c r="G114" s="10"/>
      <c r="H114" s="12">
        <f>SUM(I114:AB114)</f>
        <v>37787.2644</v>
      </c>
      <c r="I114" s="12" cm="1">
        <f t="array" ref="I114">SUMPRODUCT(($I$7:$CN$7=I$111)*$I$96:$CN$96)</f>
        <v>-1200</v>
      </c>
      <c r="J114" s="12" cm="1">
        <f t="array" ref="J114">SUMPRODUCT(($I$7:$CN$7=J$111)*$I$96:$CN$96)</f>
        <v>-16288.540608423345</v>
      </c>
      <c r="K114" s="12" cm="1">
        <f t="array" ref="K114">SUMPRODUCT(($I$7:$CN$7=K$111)*$I$96:$CN$96)</f>
        <v>14055.415248423342</v>
      </c>
      <c r="L114" s="12" cm="1">
        <f t="array" ref="L114">SUMPRODUCT(($I$7:$CN$7=L$111)*$I$96:$CN$96)</f>
        <v>41220.389760000005</v>
      </c>
      <c r="M114" s="12" cm="1">
        <f t="array" ref="M114">SUMPRODUCT(($I$7:$CN$7=M$111)*$I$96:$CN$96)</f>
        <v>0</v>
      </c>
      <c r="N114" s="12" cm="1">
        <f t="array" ref="N114">SUMPRODUCT(($I$7:$CN$7=N$111)*$I$96:$CN$96)</f>
        <v>0</v>
      </c>
      <c r="O114" s="12" cm="1">
        <f t="array" ref="O114">SUMPRODUCT(($I$7:$CN$7=O$111)*$I$96:$CN$96)</f>
        <v>0</v>
      </c>
      <c r="P114" s="12" cm="1">
        <f t="array" ref="P114">SUMPRODUCT(($I$7:$CN$7=P$111)*$I$96:$CN$96)</f>
        <v>0</v>
      </c>
      <c r="Q114" s="12" cm="1">
        <f t="array" ref="Q114">SUMPRODUCT(($I$7:$CN$7=Q$111)*$I$96:$CN$96)</f>
        <v>0</v>
      </c>
      <c r="R114" s="12" cm="1">
        <f t="array" ref="R114">SUMPRODUCT(($I$7:$CN$7=R$111)*$I$96:$CN$96)</f>
        <v>0</v>
      </c>
      <c r="S114" s="12" cm="1">
        <f t="array" ref="S114">SUMPRODUCT(($I$7:$CN$7=S$111)*$I$96:$CN$96)</f>
        <v>0</v>
      </c>
      <c r="T114" s="12" cm="1">
        <f t="array" ref="T114">SUMPRODUCT(($I$7:$CN$7=T$111)*$I$96:$CN$96)</f>
        <v>0</v>
      </c>
      <c r="U114" s="12" cm="1">
        <f t="array" ref="U114">SUMPRODUCT(($I$7:$CN$7=U$111)*$I$96:$CN$96)</f>
        <v>0</v>
      </c>
      <c r="V114" s="12" cm="1">
        <f t="array" ref="V114">SUMPRODUCT(($I$7:$CN$7=V$111)*$I$96:$CN$96)</f>
        <v>0</v>
      </c>
      <c r="W114" s="12" cm="1">
        <f t="array" ref="W114">SUMPRODUCT(($I$7:$CN$7=W$111)*$I$96:$CN$96)</f>
        <v>0</v>
      </c>
      <c r="X114" s="12" cm="1">
        <f t="array" ref="X114">SUMPRODUCT(($I$7:$CN$7=X$111)*$I$96:$CN$96)</f>
        <v>0</v>
      </c>
      <c r="Y114" s="12" cm="1">
        <f t="array" ref="Y114">SUMPRODUCT(($I$7:$CN$7=Y$111)*$I$96:$CN$96)</f>
        <v>0</v>
      </c>
      <c r="Z114" s="12" cm="1">
        <f t="array" ref="Z114">SUMPRODUCT(($I$7:$CN$7=Z$111)*$I$96:$CN$96)</f>
        <v>0</v>
      </c>
      <c r="AA114" s="12" cm="1">
        <f t="array" ref="AA114">SUMPRODUCT(($I$7:$CN$7=AA$111)*$I$96:$CN$96)</f>
        <v>0</v>
      </c>
      <c r="AB114" s="12" cm="1">
        <f t="array" ref="AB114">SUMPRODUCT(($I$7:$CN$7=AB$111)*$I$96:$CN$96)</f>
        <v>0</v>
      </c>
      <c r="AC114" s="12">
        <f>0</f>
        <v>0</v>
      </c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</row>
    <row r="115" spans="1:92" x14ac:dyDescent="0.2">
      <c r="A115" s="10"/>
      <c r="B115" s="13"/>
      <c r="C115" s="13" t="str">
        <f>"Cash flow of the adopted scenario ("&amp;LOWER($D$62)&amp;") → MANAGEMENT"</f>
        <v>Fluxo de caixa do cenário adotado (sem alavancagem) → GERENCIAL</v>
      </c>
      <c r="D115" s="13"/>
      <c r="E115" s="13"/>
      <c r="F115" s="13"/>
      <c r="G115" s="13"/>
      <c r="H115" s="14">
        <f>SUM(I115:AB115)</f>
        <v>37787.2644</v>
      </c>
      <c r="I115" s="14" cm="1">
        <f t="array" ref="I115">IF($D$62="Levered",SUMPRODUCT(($I$7:$CN$7=I$111)*$I$105:$CN$105),SUMPRODUCT(($I$7:$CN$7=I$111)*$I$96:$CN$96))</f>
        <v>-1200</v>
      </c>
      <c r="J115" s="14" cm="1">
        <f t="array" ref="J115">IF($D$62="Levered",SUMPRODUCT(($I$7:$CN$7=J$111)*$I$105:$CN$105),SUMPRODUCT(($I$7:$CN$7=J$111)*$I$96:$CN$96))</f>
        <v>-16288.540608423345</v>
      </c>
      <c r="K115" s="14" cm="1">
        <f t="array" ref="K115">IF($D$62="Levered",SUMPRODUCT(($I$7:$CN$7=K$111)*$I$105:$CN$105),SUMPRODUCT(($I$7:$CN$7=K$111)*$I$96:$CN$96))</f>
        <v>14055.415248423342</v>
      </c>
      <c r="L115" s="14" cm="1">
        <f t="array" ref="L115">IF($D$62="Levered",SUMPRODUCT(($I$7:$CN$7=L$111)*$I$105:$CN$105),SUMPRODUCT(($I$7:$CN$7=L$111)*$I$96:$CN$96))</f>
        <v>41220.389760000005</v>
      </c>
      <c r="M115" s="14" cm="1">
        <f t="array" ref="M115">IF($D$62="Levered",SUMPRODUCT(($I$7:$CN$7=M$111)*$I$105:$CN$105),SUMPRODUCT(($I$7:$CN$7=M$111)*$I$96:$CN$96))</f>
        <v>0</v>
      </c>
      <c r="N115" s="14" cm="1">
        <f t="array" ref="N115">IF($D$62="Levered",SUMPRODUCT(($I$7:$CN$7=N$111)*$I$105:$CN$105),SUMPRODUCT(($I$7:$CN$7=N$111)*$I$96:$CN$96))</f>
        <v>0</v>
      </c>
      <c r="O115" s="14" cm="1">
        <f t="array" ref="O115">IF($D$62="Levered",SUMPRODUCT(($I$7:$CN$7=O$111)*$I$105:$CN$105),SUMPRODUCT(($I$7:$CN$7=O$111)*$I$96:$CN$96))</f>
        <v>0</v>
      </c>
      <c r="P115" s="14" cm="1">
        <f t="array" ref="P115">IF($D$62="Levered",SUMPRODUCT(($I$7:$CN$7=P$111)*$I$105:$CN$105),SUMPRODUCT(($I$7:$CN$7=P$111)*$I$96:$CN$96))</f>
        <v>0</v>
      </c>
      <c r="Q115" s="14" cm="1">
        <f t="array" ref="Q115">IF($D$62="Levered",SUMPRODUCT(($I$7:$CN$7=Q$111)*$I$105:$CN$105),SUMPRODUCT(($I$7:$CN$7=Q$111)*$I$96:$CN$96))</f>
        <v>0</v>
      </c>
      <c r="R115" s="14" cm="1">
        <f t="array" ref="R115">IF($D$62="Levered",SUMPRODUCT(($I$7:$CN$7=R$111)*$I$105:$CN$105),SUMPRODUCT(($I$7:$CN$7=R$111)*$I$96:$CN$96))</f>
        <v>0</v>
      </c>
      <c r="S115" s="14" cm="1">
        <f t="array" ref="S115">IF($D$62="Levered",SUMPRODUCT(($I$7:$CN$7=S$111)*$I$105:$CN$105),SUMPRODUCT(($I$7:$CN$7=S$111)*$I$96:$CN$96))</f>
        <v>0</v>
      </c>
      <c r="T115" s="14" cm="1">
        <f t="array" ref="T115">IF($D$62="Levered",SUMPRODUCT(($I$7:$CN$7=T$111)*$I$105:$CN$105),SUMPRODUCT(($I$7:$CN$7=T$111)*$I$96:$CN$96))</f>
        <v>0</v>
      </c>
      <c r="U115" s="14" cm="1">
        <f t="array" ref="U115">IF($D$62="Levered",SUMPRODUCT(($I$7:$CN$7=U$111)*$I$105:$CN$105),SUMPRODUCT(($I$7:$CN$7=U$111)*$I$96:$CN$96))</f>
        <v>0</v>
      </c>
      <c r="V115" s="14" cm="1">
        <f t="array" ref="V115">IF($D$62="Levered",SUMPRODUCT(($I$7:$CN$7=V$111)*$I$105:$CN$105),SUMPRODUCT(($I$7:$CN$7=V$111)*$I$96:$CN$96))</f>
        <v>0</v>
      </c>
      <c r="W115" s="14" cm="1">
        <f t="array" ref="W115">IF($D$62="Levered",SUMPRODUCT(($I$7:$CN$7=W$111)*$I$105:$CN$105),SUMPRODUCT(($I$7:$CN$7=W$111)*$I$96:$CN$96))</f>
        <v>0</v>
      </c>
      <c r="X115" s="14" cm="1">
        <f t="array" ref="X115">IF($D$62="Levered",SUMPRODUCT(($I$7:$CN$7=X$111)*$I$105:$CN$105),SUMPRODUCT(($I$7:$CN$7=X$111)*$I$96:$CN$96))</f>
        <v>0</v>
      </c>
      <c r="Y115" s="14" cm="1">
        <f t="array" ref="Y115">IF($D$62="Levered",SUMPRODUCT(($I$7:$CN$7=Y$111)*$I$105:$CN$105),SUMPRODUCT(($I$7:$CN$7=Y$111)*$I$96:$CN$96))</f>
        <v>0</v>
      </c>
      <c r="Z115" s="14" cm="1">
        <f t="array" ref="Z115">IF($D$62="Levered",SUMPRODUCT(($I$7:$CN$7=Z$111)*$I$105:$CN$105),SUMPRODUCT(($I$7:$CN$7=Z$111)*$I$96:$CN$96))</f>
        <v>0</v>
      </c>
      <c r="AA115" s="14" cm="1">
        <f t="array" ref="AA115">IF($D$62="Levered",SUMPRODUCT(($I$7:$CN$7=AA$111)*$I$105:$CN$105),SUMPRODUCT(($I$7:$CN$7=AA$111)*$I$96:$CN$96))</f>
        <v>0</v>
      </c>
      <c r="AB115" s="14" cm="1">
        <f t="array" ref="AB115">IF($D$62="Levered",SUMPRODUCT(($I$7:$CN$7=AB$111)*$I$105:$CN$105),SUMPRODUCT(($I$7:$CN$7=AB$111)*$I$96:$CN$96))</f>
        <v>0</v>
      </c>
      <c r="AC115" s="14">
        <f>0</f>
        <v>0</v>
      </c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</row>
    <row r="116" spans="1:92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</row>
    <row r="117" spans="1:92" x14ac:dyDescent="0.2">
      <c r="A117" s="10"/>
      <c r="B117" s="24" t="s">
        <v>778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</row>
    <row r="118" spans="1:92" x14ac:dyDescent="0.2">
      <c r="A118" s="10"/>
      <c r="B118" s="10"/>
      <c r="C118" s="10"/>
      <c r="D118" s="101" t="s">
        <v>779</v>
      </c>
      <c r="E118" s="101" t="s">
        <v>780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</row>
    <row r="119" spans="1:92" x14ac:dyDescent="0.2">
      <c r="A119" s="10"/>
      <c r="B119" s="10"/>
      <c r="C119" s="10" t="s">
        <v>429</v>
      </c>
      <c r="D119" s="219">
        <f>$H$69</f>
        <v>142809.00000000006</v>
      </c>
      <c r="E119" s="219">
        <f>$H$69</f>
        <v>142809.00000000006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</row>
    <row r="120" spans="1:92" x14ac:dyDescent="0.2">
      <c r="A120" s="10"/>
      <c r="B120" s="10"/>
      <c r="C120" s="10" t="s">
        <v>781</v>
      </c>
      <c r="D120" s="219">
        <f>$H$75</f>
        <v>142809.00000000003</v>
      </c>
      <c r="E120" s="219">
        <f>$H$75</f>
        <v>142809.00000000003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</row>
    <row r="121" spans="1:92" x14ac:dyDescent="0.2">
      <c r="A121" s="10"/>
      <c r="B121" s="10"/>
      <c r="C121" s="10" t="s">
        <v>782</v>
      </c>
      <c r="D121" s="219">
        <f>$H$80</f>
        <v>125900.41439999999</v>
      </c>
      <c r="E121" s="219">
        <f>$H$80</f>
        <v>125900.41439999999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</row>
    <row r="122" spans="1:92" x14ac:dyDescent="0.2">
      <c r="A122" s="10"/>
      <c r="B122" s="10"/>
      <c r="C122" s="10" t="s">
        <v>783</v>
      </c>
      <c r="D122" s="219">
        <f>-$H$95</f>
        <v>88113.150000000009</v>
      </c>
      <c r="E122" s="219">
        <f>-$H$95-$H$102</f>
        <v>94944.095880804714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</row>
    <row r="123" spans="1:92" x14ac:dyDescent="0.2">
      <c r="A123" s="10"/>
      <c r="B123" s="10"/>
      <c r="C123" s="13" t="s">
        <v>784</v>
      </c>
      <c r="D123" s="73">
        <f>$H$96</f>
        <v>37787.264400000007</v>
      </c>
      <c r="E123" s="73">
        <f>$H$105</f>
        <v>30956.318519195273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</row>
    <row r="124" spans="1:92" x14ac:dyDescent="0.2">
      <c r="A124" s="10"/>
      <c r="B124" s="10"/>
      <c r="C124" s="10" t="s">
        <v>785</v>
      </c>
      <c r="D124" s="220">
        <f>IFERROR(D123/D119,0)</f>
        <v>0.26460002100707936</v>
      </c>
      <c r="E124" s="220">
        <f>IFERROR(E123/E119,0)</f>
        <v>0.21676728020779684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</row>
    <row r="125" spans="1:92" x14ac:dyDescent="0.2">
      <c r="A125" s="10"/>
      <c r="B125" s="10"/>
      <c r="C125" s="13" t="s">
        <v>111</v>
      </c>
      <c r="D125" s="72">
        <f>IFERROR((1+IRR($I$96:$CN$96,0.01))^12-1,"n/a")</f>
        <v>0.97839496588301023</v>
      </c>
      <c r="E125" s="72">
        <f>IFERROR((1+IRR($I$105:$CN$105,0.01))^12-1,"n/a")</f>
        <v>2.7647612834288489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</row>
    <row r="126" spans="1:92" x14ac:dyDescent="0.2">
      <c r="A126" s="10"/>
      <c r="B126" s="10"/>
      <c r="C126" s="10" t="s">
        <v>786</v>
      </c>
      <c r="D126" s="219">
        <f>NPV((1+$D$12)^(1/12)-1,$I$96:$CN$96)</f>
        <v>26627.245750268434</v>
      </c>
      <c r="E126" s="219">
        <f>NPV((1+$D$12)^(1/12)-1,$I$105:$CN$105)</f>
        <v>25359.651766410945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</row>
    <row r="127" spans="1:92" x14ac:dyDescent="0.2">
      <c r="A127" s="10"/>
      <c r="B127" s="10"/>
      <c r="C127" s="13" t="s">
        <v>159</v>
      </c>
      <c r="D127" s="73">
        <f>-MIN(0,MIN($I$97:$CN$97))</f>
        <v>26162.989705907727</v>
      </c>
      <c r="E127" s="73">
        <f>-MIN(0,MIN($I$106:$CN$106))</f>
        <v>12088.032210586889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</row>
    <row r="128" spans="1:92" x14ac:dyDescent="0.2">
      <c r="A128" s="10"/>
      <c r="B128" s="10"/>
      <c r="C128" s="10" t="s">
        <v>787</v>
      </c>
      <c r="D128" s="221">
        <f>INDEX($I$6:$CN$6,MATCH(MIN($I$97:$CN$97),$I$97:$CN$97,0))</f>
        <v>46905</v>
      </c>
      <c r="E128" s="221">
        <f>INDEX($I$6:$CN$6,MATCH(MIN($I$106:$CN$106),$I$106:$CN$106,0))</f>
        <v>46692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</row>
    <row r="129" spans="1:92" x14ac:dyDescent="0.2">
      <c r="A129" s="10"/>
      <c r="B129" s="10"/>
      <c r="C129" s="10" t="s">
        <v>1041</v>
      </c>
      <c r="D129" s="317">
        <f>IF(COUNTIF($I$97:$CN$97,"&lt;0")=COUNT($I$97:$CN$97),"n/a",COUNTIF($I$97:$CN$97,"&lt;0")/12)</f>
        <v>2.75</v>
      </c>
      <c r="E129" s="317">
        <f>IF(COUNTIF($I$106:$CN$106,"&lt;0")=COUNT($I$106:$CN$106),"n/a",COUNTIF($I$106:$CN$106,"&lt;0")/12)</f>
        <v>2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</row>
    <row r="130" spans="1:92" x14ac:dyDescent="0.2">
      <c r="A130" s="10"/>
      <c r="B130" s="10"/>
      <c r="C130" s="10" t="s">
        <v>788</v>
      </c>
      <c r="D130" s="222">
        <f>IFERROR(SUMIF($I$96:$CN$96,"&gt;0")/-SUMIF($I$96:$CN$96,"&lt;0"),0)</f>
        <v>2.4294816359804279</v>
      </c>
      <c r="E130" s="222">
        <f>IFERROR(SUMIF($I$105:$CN$105,"&gt;0")/-SUMIF($I$105:$CN$105,"&lt;0"),0)</f>
        <v>1.5357204431346339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</row>
    <row r="131" spans="1:92" x14ac:dyDescent="0.2">
      <c r="A131" s="10"/>
      <c r="B131" s="10"/>
      <c r="C131" s="10" t="s">
        <v>798</v>
      </c>
      <c r="D131" s="222">
        <f>IFERROR(D123/D127,0)</f>
        <v>1.4443022309284272</v>
      </c>
      <c r="E131" s="222">
        <f>IFERROR(E123/E127,0)</f>
        <v>2.5609063559644754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</row>
    <row r="132" spans="1:92" x14ac:dyDescent="0.2">
      <c r="A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</row>
    <row r="133" spans="1:92" x14ac:dyDescent="0.2">
      <c r="A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</row>
    <row r="134" spans="1:92" x14ac:dyDescent="0.2">
      <c r="A134" s="10"/>
      <c r="B134" s="10"/>
      <c r="C134" s="10" t="s">
        <v>790</v>
      </c>
      <c r="D134" s="219"/>
      <c r="E134" s="219">
        <f>-$H$102</f>
        <v>6830.9458808047075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</row>
    <row r="135" spans="1:92" x14ac:dyDescent="0.2">
      <c r="A135" s="10"/>
      <c r="B135" s="10"/>
      <c r="C135" s="13" t="s">
        <v>810</v>
      </c>
      <c r="D135" s="223" t="str">
        <f>IF($D$62="Unlevered","◄ adopted","")</f>
        <v>◄ adotado</v>
      </c>
      <c r="E135" s="223" t="str">
        <f>IF($D$62="Levered","◄ adopted","")</f>
        <v/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</row>
    <row r="136" spans="1:92" x14ac:dyDescent="0.2">
      <c r="A136" s="10"/>
      <c r="B136" s="24" t="s">
        <v>791</v>
      </c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</row>
    <row r="137" spans="1:92" x14ac:dyDescent="0.2">
      <c r="A137" s="10"/>
      <c r="B137" s="10"/>
      <c r="C137" s="10" t="s">
        <v>792</v>
      </c>
      <c r="D137" s="16" t="str">
        <f>IF(ABS(D31-1)&lt;0.0001,"OK","ERROR")</f>
        <v>OK</v>
      </c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</row>
    <row r="138" spans="1:92" x14ac:dyDescent="0.2">
      <c r="A138" s="10"/>
      <c r="B138" s="10"/>
      <c r="C138" s="10" t="s">
        <v>793</v>
      </c>
      <c r="D138" s="16" t="str">
        <f>IF(ABS(D39-1)&lt;0.0001,"OK","ERROR")</f>
        <v>OK</v>
      </c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</row>
    <row r="139" spans="1:92" x14ac:dyDescent="0.2">
      <c r="A139" s="10"/>
      <c r="B139" s="10"/>
      <c r="C139" s="10" t="s">
        <v>794</v>
      </c>
      <c r="D139" s="16" t="str">
        <f>IF(ABS(H75-H69)&lt;1,"OK","ERROR")</f>
        <v>OK</v>
      </c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</row>
    <row r="140" spans="1:92" x14ac:dyDescent="0.2">
      <c r="A140" s="10"/>
      <c r="B140" s="10"/>
      <c r="C140" s="10" t="s">
        <v>795</v>
      </c>
      <c r="D140" s="16" t="str">
        <f>IF(E32&lt;=$CN$6,"OK","ERROR")</f>
        <v>OK</v>
      </c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</row>
    <row r="141" spans="1:92" x14ac:dyDescent="0.2">
      <c r="A141" s="10"/>
      <c r="B141" s="10"/>
      <c r="C141" s="10" t="s">
        <v>796</v>
      </c>
      <c r="D141" s="16" t="str">
        <f>IF(ABS($CN$104)&lt;1,"OK","ERROR")</f>
        <v>OK</v>
      </c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</row>
    <row r="142" spans="1:92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</row>
    <row r="143" spans="1:92" x14ac:dyDescent="0.2">
      <c r="A143" s="10"/>
      <c r="B143" s="23" t="s">
        <v>799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</row>
  </sheetData>
  <mergeCells count="1">
    <mergeCell ref="D62:F62"/>
  </mergeCells>
  <conditionalFormatting sqref="D137:D141">
    <cfRule type="containsText" dxfId="3" priority="1" operator="containsText" text="ERRO">
      <formula>NOT(ISERROR(SEARCH("ERRO",D137)))</formula>
    </cfRule>
  </conditionalFormatting>
  <dataValidations count="1">
    <dataValidation type="list" allowBlank="1" showInputMessage="1" showErrorMessage="1" sqref="D62" xr:uid="{C4304DB1-DD39-1E45-A87E-A1FDC02C6547}">
      <formula1>"Unlevered,Levered"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3BCBB-3D27-E04F-94D3-45CDD993316A}">
  <dimension ref="A1:AB154"/>
  <sheetViews>
    <sheetView showGridLines="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E9" sqref="E9:E30"/>
    </sheetView>
  </sheetViews>
  <sheetFormatPr baseColWidth="10" defaultRowHeight="15" x14ac:dyDescent="0.2"/>
  <cols>
    <col min="1" max="1" width="1.6640625" customWidth="1"/>
    <col min="2" max="2" width="2.33203125" customWidth="1"/>
    <col min="3" max="3" width="50" customWidth="1"/>
    <col min="4" max="4" width="1.6640625" customWidth="1"/>
    <col min="5" max="5" width="13.33203125" customWidth="1"/>
    <col min="6" max="6" width="1.6640625" customWidth="1"/>
    <col min="7" max="27" width="10.33203125" customWidth="1"/>
  </cols>
  <sheetData>
    <row r="1" spans="1:28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6" x14ac:dyDescent="0.2">
      <c r="A2" s="7"/>
      <c r="B2" s="21" t="s">
        <v>141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x14ac:dyDescent="0.2">
      <c r="A3" s="7"/>
      <c r="B3" s="23" t="s">
        <v>114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2">
      <c r="A6" s="7"/>
      <c r="B6" s="24" t="s">
        <v>1</v>
      </c>
      <c r="C6" s="24"/>
      <c r="D6" s="24"/>
      <c r="E6" s="26" t="s">
        <v>115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7"/>
    </row>
    <row r="7" spans="1:28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24" t="s">
        <v>116</v>
      </c>
      <c r="C8" s="24"/>
      <c r="D8" s="24"/>
      <c r="E8" s="24"/>
      <c r="F8" s="24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7"/>
    </row>
    <row r="9" spans="1:28" x14ac:dyDescent="0.2">
      <c r="A9" s="7"/>
      <c r="B9" s="7"/>
      <c r="C9" s="7" t="s">
        <v>117</v>
      </c>
      <c r="D9" s="7"/>
      <c r="E9" s="58">
        <v>3130</v>
      </c>
      <c r="F9" s="7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7"/>
    </row>
    <row r="10" spans="1:28" x14ac:dyDescent="0.2">
      <c r="A10" s="7"/>
      <c r="B10" s="7"/>
      <c r="C10" s="7" t="s">
        <v>118</v>
      </c>
      <c r="D10" s="7"/>
      <c r="E10" s="58">
        <v>2020</v>
      </c>
      <c r="F10" s="7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7"/>
    </row>
    <row r="11" spans="1:28" x14ac:dyDescent="0.2">
      <c r="A11" s="7"/>
      <c r="B11" s="7"/>
      <c r="C11" s="7" t="s">
        <v>119</v>
      </c>
      <c r="D11" s="7"/>
      <c r="E11" s="58">
        <v>1200</v>
      </c>
      <c r="F11" s="7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7"/>
    </row>
    <row r="12" spans="1:28" x14ac:dyDescent="0.2">
      <c r="A12" s="7"/>
      <c r="B12" s="7"/>
      <c r="C12" s="7" t="s">
        <v>120</v>
      </c>
      <c r="D12" s="7"/>
      <c r="E12" s="57">
        <f>E10+E11</f>
        <v>3220</v>
      </c>
      <c r="F12" s="7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7"/>
    </row>
    <row r="13" spans="1:28" x14ac:dyDescent="0.2">
      <c r="A13" s="7"/>
      <c r="B13" s="7"/>
      <c r="C13" s="7" t="s">
        <v>121</v>
      </c>
      <c r="D13" s="7"/>
      <c r="E13" s="58">
        <v>1750</v>
      </c>
      <c r="F13" s="7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7"/>
    </row>
    <row r="14" spans="1:28" x14ac:dyDescent="0.2">
      <c r="A14" s="7"/>
      <c r="B14" s="7"/>
      <c r="C14" s="7" t="s">
        <v>122</v>
      </c>
      <c r="D14" s="7"/>
      <c r="E14" s="60">
        <v>140</v>
      </c>
      <c r="F14" s="7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7"/>
    </row>
    <row r="15" spans="1:28" x14ac:dyDescent="0.2">
      <c r="A15" s="7"/>
      <c r="B15" s="7"/>
      <c r="C15" s="7" t="s">
        <v>123</v>
      </c>
      <c r="D15" s="7"/>
      <c r="E15" s="57">
        <f>E13*E14*12/1000</f>
        <v>2940</v>
      </c>
      <c r="F15" s="7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7"/>
    </row>
    <row r="16" spans="1:28" x14ac:dyDescent="0.2">
      <c r="A16" s="7"/>
      <c r="B16" s="7"/>
      <c r="C16" s="7" t="s">
        <v>124</v>
      </c>
      <c r="D16" s="7"/>
      <c r="E16" s="39">
        <v>0</v>
      </c>
      <c r="F16" s="7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7"/>
    </row>
    <row r="17" spans="1:28" x14ac:dyDescent="0.2">
      <c r="A17" s="7"/>
      <c r="B17" s="7"/>
      <c r="C17" s="7" t="s">
        <v>125</v>
      </c>
      <c r="D17" s="7"/>
      <c r="E17" s="60">
        <v>6500</v>
      </c>
      <c r="F17" s="7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7"/>
    </row>
    <row r="18" spans="1:28" x14ac:dyDescent="0.2">
      <c r="A18" s="7"/>
      <c r="B18" s="7"/>
      <c r="C18" s="7" t="s">
        <v>126</v>
      </c>
      <c r="D18" s="7"/>
      <c r="E18" s="58">
        <v>0</v>
      </c>
      <c r="F18" s="7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7"/>
    </row>
    <row r="19" spans="1:28" x14ac:dyDescent="0.2">
      <c r="A19" s="7"/>
      <c r="B19" s="7"/>
      <c r="C19" s="7" t="s">
        <v>127</v>
      </c>
      <c r="D19" s="7"/>
      <c r="E19" s="39">
        <v>0.04</v>
      </c>
      <c r="F19" s="7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7"/>
    </row>
    <row r="20" spans="1:28" x14ac:dyDescent="0.2">
      <c r="A20" s="7"/>
      <c r="B20" s="7"/>
      <c r="C20" s="7" t="s">
        <v>128</v>
      </c>
      <c r="D20" s="7"/>
      <c r="E20" s="40">
        <v>2027</v>
      </c>
      <c r="F20" s="7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7"/>
    </row>
    <row r="21" spans="1:28" x14ac:dyDescent="0.2">
      <c r="A21" s="7"/>
      <c r="B21" s="7"/>
      <c r="C21" s="7" t="s">
        <v>51</v>
      </c>
      <c r="D21" s="7"/>
      <c r="E21" s="40">
        <v>2028</v>
      </c>
      <c r="F21" s="7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7"/>
    </row>
    <row r="22" spans="1:28" x14ac:dyDescent="0.2">
      <c r="A22" s="7"/>
      <c r="B22" s="7"/>
      <c r="C22" s="7" t="s">
        <v>48</v>
      </c>
      <c r="D22" s="7"/>
      <c r="E22" s="39">
        <v>0.02</v>
      </c>
      <c r="F22" s="7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7"/>
    </row>
    <row r="23" spans="1:28" x14ac:dyDescent="0.2">
      <c r="A23" s="7"/>
      <c r="B23" s="7"/>
      <c r="C23" s="7" t="s">
        <v>50</v>
      </c>
      <c r="D23" s="7"/>
      <c r="E23" s="40">
        <v>18</v>
      </c>
      <c r="F23" s="7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7"/>
    </row>
    <row r="24" spans="1:28" x14ac:dyDescent="0.2">
      <c r="A24" s="7"/>
      <c r="B24" s="7"/>
      <c r="C24" s="7" t="s">
        <v>55</v>
      </c>
      <c r="D24" s="7"/>
      <c r="E24" s="42">
        <f>MANAGEMENT!$H$6</f>
        <v>0.09</v>
      </c>
      <c r="F24" s="7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7"/>
    </row>
    <row r="25" spans="1:28" x14ac:dyDescent="0.2">
      <c r="A25" s="7"/>
      <c r="B25" s="7"/>
      <c r="C25" s="7" t="s">
        <v>56</v>
      </c>
      <c r="D25" s="7"/>
      <c r="E25" s="39">
        <v>7.0000000000000007E-2</v>
      </c>
      <c r="F25" s="7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7"/>
    </row>
    <row r="26" spans="1:28" x14ac:dyDescent="0.2">
      <c r="A26" s="7"/>
      <c r="B26" s="7"/>
      <c r="C26" s="7" t="s">
        <v>54</v>
      </c>
      <c r="D26" s="7"/>
      <c r="E26" s="53" t="s">
        <v>5</v>
      </c>
      <c r="F26" s="7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7"/>
    </row>
    <row r="27" spans="1:28" x14ac:dyDescent="0.2">
      <c r="A27" s="7"/>
      <c r="B27" s="7"/>
      <c r="C27" s="7" t="s">
        <v>136</v>
      </c>
      <c r="D27" s="7"/>
      <c r="E27" s="58">
        <v>691</v>
      </c>
      <c r="F27" s="7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7"/>
    </row>
    <row r="28" spans="1:28" x14ac:dyDescent="0.2">
      <c r="A28" s="7"/>
      <c r="B28" s="7"/>
      <c r="C28" s="7" t="s">
        <v>137</v>
      </c>
      <c r="D28" s="7"/>
      <c r="E28" s="58">
        <v>6</v>
      </c>
      <c r="F28" s="7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7"/>
    </row>
    <row r="29" spans="1:28" x14ac:dyDescent="0.2">
      <c r="A29" s="7"/>
      <c r="B29" s="7"/>
      <c r="C29" s="7" t="s">
        <v>138</v>
      </c>
      <c r="D29" s="7"/>
      <c r="E29" s="58">
        <v>5</v>
      </c>
      <c r="F29" s="7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7"/>
    </row>
    <row r="30" spans="1:28" x14ac:dyDescent="0.2">
      <c r="A30" s="7"/>
      <c r="B30" s="7"/>
      <c r="C30" s="7" t="s">
        <v>139</v>
      </c>
      <c r="D30" s="7"/>
      <c r="E30" s="39">
        <v>0.5</v>
      </c>
      <c r="F30" s="7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7"/>
    </row>
    <row r="31" spans="1:28" x14ac:dyDescent="0.2">
      <c r="A31" s="7"/>
      <c r="B31" s="7"/>
      <c r="C31" s="7"/>
      <c r="D31" s="7"/>
      <c r="E31" s="7"/>
      <c r="F31" s="7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7"/>
    </row>
    <row r="32" spans="1:28" x14ac:dyDescent="0.2">
      <c r="A32" s="7"/>
      <c r="B32" s="24" t="s">
        <v>129</v>
      </c>
      <c r="C32" s="24"/>
      <c r="D32" s="24"/>
      <c r="E32" s="24"/>
      <c r="F32" s="24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7"/>
    </row>
    <row r="33" spans="1:28" x14ac:dyDescent="0.2">
      <c r="A33" s="7"/>
      <c r="B33" s="7"/>
      <c r="C33" s="7" t="s">
        <v>130</v>
      </c>
      <c r="D33" s="7"/>
      <c r="E33" s="19">
        <f>SUM(G33:Z33)</f>
        <v>0</v>
      </c>
      <c r="F33" s="7"/>
      <c r="G33" s="19">
        <f t="shared" ref="G33:Z33" si="1">IF(G$6=$E$20,$E$18,0)</f>
        <v>0</v>
      </c>
      <c r="H33" s="19">
        <f t="shared" si="1"/>
        <v>0</v>
      </c>
      <c r="I33" s="19">
        <f t="shared" si="1"/>
        <v>0</v>
      </c>
      <c r="J33" s="19">
        <f t="shared" si="1"/>
        <v>0</v>
      </c>
      <c r="K33" s="19">
        <f t="shared" si="1"/>
        <v>0</v>
      </c>
      <c r="L33" s="19">
        <f t="shared" si="1"/>
        <v>0</v>
      </c>
      <c r="M33" s="19">
        <f t="shared" si="1"/>
        <v>0</v>
      </c>
      <c r="N33" s="19">
        <f t="shared" si="1"/>
        <v>0</v>
      </c>
      <c r="O33" s="19">
        <f t="shared" si="1"/>
        <v>0</v>
      </c>
      <c r="P33" s="19">
        <f t="shared" si="1"/>
        <v>0</v>
      </c>
      <c r="Q33" s="19">
        <f t="shared" si="1"/>
        <v>0</v>
      </c>
      <c r="R33" s="19">
        <f t="shared" si="1"/>
        <v>0</v>
      </c>
      <c r="S33" s="19">
        <f t="shared" si="1"/>
        <v>0</v>
      </c>
      <c r="T33" s="19">
        <f t="shared" si="1"/>
        <v>0</v>
      </c>
      <c r="U33" s="19">
        <f t="shared" si="1"/>
        <v>0</v>
      </c>
      <c r="V33" s="19">
        <f t="shared" si="1"/>
        <v>0</v>
      </c>
      <c r="W33" s="19">
        <f t="shared" si="1"/>
        <v>0</v>
      </c>
      <c r="X33" s="19">
        <f t="shared" si="1"/>
        <v>0</v>
      </c>
      <c r="Y33" s="19">
        <f t="shared" si="1"/>
        <v>0</v>
      </c>
      <c r="Z33" s="19">
        <f t="shared" si="1"/>
        <v>0</v>
      </c>
      <c r="AA33" s="19"/>
      <c r="AB33" s="7"/>
    </row>
    <row r="34" spans="1:28" x14ac:dyDescent="0.2">
      <c r="A34" s="7"/>
      <c r="B34" s="7"/>
      <c r="C34" s="7" t="s">
        <v>131</v>
      </c>
      <c r="D34" s="7"/>
      <c r="E34" s="19">
        <f>SUM(G34:Z34)</f>
        <v>20930</v>
      </c>
      <c r="F34" s="7"/>
      <c r="G34" s="19">
        <f t="shared" ref="G34:Z34" si="2">IF(G$6=$E$20,$E$12*$E$17/1000,0)</f>
        <v>0</v>
      </c>
      <c r="H34" s="19">
        <f t="shared" si="2"/>
        <v>20930</v>
      </c>
      <c r="I34" s="19">
        <f t="shared" si="2"/>
        <v>0</v>
      </c>
      <c r="J34" s="19">
        <f t="shared" si="2"/>
        <v>0</v>
      </c>
      <c r="K34" s="19">
        <f t="shared" si="2"/>
        <v>0</v>
      </c>
      <c r="L34" s="19">
        <f t="shared" si="2"/>
        <v>0</v>
      </c>
      <c r="M34" s="19">
        <f t="shared" si="2"/>
        <v>0</v>
      </c>
      <c r="N34" s="19">
        <f t="shared" si="2"/>
        <v>0</v>
      </c>
      <c r="O34" s="19">
        <f t="shared" si="2"/>
        <v>0</v>
      </c>
      <c r="P34" s="19">
        <f t="shared" si="2"/>
        <v>0</v>
      </c>
      <c r="Q34" s="19">
        <f t="shared" si="2"/>
        <v>0</v>
      </c>
      <c r="R34" s="19">
        <f t="shared" si="2"/>
        <v>0</v>
      </c>
      <c r="S34" s="19">
        <f t="shared" si="2"/>
        <v>0</v>
      </c>
      <c r="T34" s="19">
        <f t="shared" si="2"/>
        <v>0</v>
      </c>
      <c r="U34" s="19">
        <f t="shared" si="2"/>
        <v>0</v>
      </c>
      <c r="V34" s="19">
        <f t="shared" si="2"/>
        <v>0</v>
      </c>
      <c r="W34" s="19">
        <f t="shared" si="2"/>
        <v>0</v>
      </c>
      <c r="X34" s="19">
        <f t="shared" si="2"/>
        <v>0</v>
      </c>
      <c r="Y34" s="19">
        <f t="shared" si="2"/>
        <v>0</v>
      </c>
      <c r="Z34" s="19">
        <f t="shared" si="2"/>
        <v>0</v>
      </c>
      <c r="AA34" s="19"/>
      <c r="AB34" s="7"/>
    </row>
    <row r="35" spans="1:28" x14ac:dyDescent="0.2">
      <c r="A35" s="7"/>
      <c r="B35" s="7"/>
      <c r="C35" s="7" t="s">
        <v>105</v>
      </c>
      <c r="D35" s="7"/>
      <c r="E35" s="19">
        <f>SUM(G35:Z35)</f>
        <v>837.2</v>
      </c>
      <c r="F35" s="7"/>
      <c r="G35" s="19">
        <f t="shared" ref="G35:Z35" si="3">G34*$E$19</f>
        <v>0</v>
      </c>
      <c r="H35" s="19">
        <f t="shared" si="3"/>
        <v>837.2</v>
      </c>
      <c r="I35" s="19">
        <f t="shared" si="3"/>
        <v>0</v>
      </c>
      <c r="J35" s="19">
        <f t="shared" si="3"/>
        <v>0</v>
      </c>
      <c r="K35" s="19">
        <f t="shared" si="3"/>
        <v>0</v>
      </c>
      <c r="L35" s="19">
        <f t="shared" si="3"/>
        <v>0</v>
      </c>
      <c r="M35" s="19">
        <f t="shared" si="3"/>
        <v>0</v>
      </c>
      <c r="N35" s="19">
        <f t="shared" si="3"/>
        <v>0</v>
      </c>
      <c r="O35" s="19">
        <f t="shared" si="3"/>
        <v>0</v>
      </c>
      <c r="P35" s="19">
        <f t="shared" si="3"/>
        <v>0</v>
      </c>
      <c r="Q35" s="19">
        <f t="shared" si="3"/>
        <v>0</v>
      </c>
      <c r="R35" s="19">
        <f t="shared" si="3"/>
        <v>0</v>
      </c>
      <c r="S35" s="19">
        <f t="shared" si="3"/>
        <v>0</v>
      </c>
      <c r="T35" s="19">
        <f t="shared" si="3"/>
        <v>0</v>
      </c>
      <c r="U35" s="19">
        <f t="shared" si="3"/>
        <v>0</v>
      </c>
      <c r="V35" s="19">
        <f t="shared" si="3"/>
        <v>0</v>
      </c>
      <c r="W35" s="19">
        <f t="shared" si="3"/>
        <v>0</v>
      </c>
      <c r="X35" s="19">
        <f t="shared" si="3"/>
        <v>0</v>
      </c>
      <c r="Y35" s="19">
        <f t="shared" si="3"/>
        <v>0</v>
      </c>
      <c r="Z35" s="19">
        <f t="shared" si="3"/>
        <v>0</v>
      </c>
      <c r="AA35" s="19"/>
      <c r="AB35" s="7"/>
    </row>
    <row r="36" spans="1:28" x14ac:dyDescent="0.2">
      <c r="A36" s="7"/>
      <c r="B36" s="29" t="s">
        <v>132</v>
      </c>
      <c r="C36" s="29"/>
      <c r="D36" s="29"/>
      <c r="E36" s="30">
        <f>SUM(G36:Z36)</f>
        <v>21767.200000000001</v>
      </c>
      <c r="F36" s="29"/>
      <c r="G36" s="30">
        <f t="shared" ref="G36:Z36" si="4">SUM(G33:G35)</f>
        <v>0</v>
      </c>
      <c r="H36" s="30">
        <f t="shared" si="4"/>
        <v>21767.200000000001</v>
      </c>
      <c r="I36" s="30">
        <f t="shared" si="4"/>
        <v>0</v>
      </c>
      <c r="J36" s="30">
        <f t="shared" si="4"/>
        <v>0</v>
      </c>
      <c r="K36" s="30">
        <f t="shared" si="4"/>
        <v>0</v>
      </c>
      <c r="L36" s="30">
        <f t="shared" si="4"/>
        <v>0</v>
      </c>
      <c r="M36" s="30">
        <f t="shared" si="4"/>
        <v>0</v>
      </c>
      <c r="N36" s="30">
        <f t="shared" si="4"/>
        <v>0</v>
      </c>
      <c r="O36" s="30">
        <f t="shared" si="4"/>
        <v>0</v>
      </c>
      <c r="P36" s="30">
        <f t="shared" si="4"/>
        <v>0</v>
      </c>
      <c r="Q36" s="30">
        <f t="shared" si="4"/>
        <v>0</v>
      </c>
      <c r="R36" s="30">
        <f t="shared" si="4"/>
        <v>0</v>
      </c>
      <c r="S36" s="30">
        <f t="shared" si="4"/>
        <v>0</v>
      </c>
      <c r="T36" s="30">
        <f t="shared" si="4"/>
        <v>0</v>
      </c>
      <c r="U36" s="30">
        <f t="shared" si="4"/>
        <v>0</v>
      </c>
      <c r="V36" s="30">
        <f t="shared" si="4"/>
        <v>0</v>
      </c>
      <c r="W36" s="30">
        <f t="shared" si="4"/>
        <v>0</v>
      </c>
      <c r="X36" s="30">
        <f t="shared" si="4"/>
        <v>0</v>
      </c>
      <c r="Y36" s="30">
        <f t="shared" si="4"/>
        <v>0</v>
      </c>
      <c r="Z36" s="30">
        <f t="shared" si="4"/>
        <v>0</v>
      </c>
      <c r="AA36" s="30"/>
      <c r="AB36" s="7"/>
    </row>
    <row r="37" spans="1:28" x14ac:dyDescent="0.2">
      <c r="A37" s="7"/>
      <c r="B37" s="7"/>
      <c r="C37" s="7"/>
      <c r="D37" s="7"/>
      <c r="E37" s="7"/>
      <c r="F37" s="7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7"/>
    </row>
    <row r="38" spans="1:28" x14ac:dyDescent="0.2">
      <c r="A38" s="7"/>
      <c r="B38" s="24" t="s">
        <v>74</v>
      </c>
      <c r="C38" s="24"/>
      <c r="D38" s="24"/>
      <c r="E38" s="24"/>
      <c r="F38" s="24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7"/>
    </row>
    <row r="39" spans="1:28" x14ac:dyDescent="0.2">
      <c r="A39" s="7"/>
      <c r="B39" s="7"/>
      <c r="C39" s="7" t="s">
        <v>133</v>
      </c>
      <c r="D39" s="7"/>
      <c r="E39" s="7"/>
      <c r="F39" s="7"/>
      <c r="G39" s="59">
        <v>0</v>
      </c>
      <c r="H39" s="59">
        <v>0</v>
      </c>
      <c r="I39" s="59">
        <v>0.7</v>
      </c>
      <c r="J39" s="59">
        <v>0.85</v>
      </c>
      <c r="K39" s="59">
        <v>1</v>
      </c>
      <c r="L39" s="59">
        <v>1</v>
      </c>
      <c r="M39" s="59">
        <v>1</v>
      </c>
      <c r="N39" s="59">
        <v>1</v>
      </c>
      <c r="O39" s="59">
        <v>1</v>
      </c>
      <c r="P39" s="59">
        <v>1</v>
      </c>
      <c r="Q39" s="59">
        <v>1</v>
      </c>
      <c r="R39" s="59">
        <v>1</v>
      </c>
      <c r="S39" s="59">
        <v>1</v>
      </c>
      <c r="T39" s="59">
        <v>1</v>
      </c>
      <c r="U39" s="59">
        <v>1</v>
      </c>
      <c r="V39" s="59">
        <v>1</v>
      </c>
      <c r="W39" s="59">
        <v>1</v>
      </c>
      <c r="X39" s="59">
        <v>1</v>
      </c>
      <c r="Y39" s="59">
        <v>1</v>
      </c>
      <c r="Z39" s="59">
        <v>1</v>
      </c>
      <c r="AA39" s="19"/>
      <c r="AB39" s="7"/>
    </row>
    <row r="40" spans="1:28" x14ac:dyDescent="0.2">
      <c r="A40" s="7"/>
      <c r="B40" s="29" t="s">
        <v>3</v>
      </c>
      <c r="C40" s="29"/>
      <c r="D40" s="29"/>
      <c r="E40" s="29"/>
      <c r="F40" s="29"/>
      <c r="G40" s="30">
        <f t="shared" ref="G40:Z40" si="5">G41+G42+G43</f>
        <v>0</v>
      </c>
      <c r="H40" s="30">
        <f t="shared" si="5"/>
        <v>0</v>
      </c>
      <c r="I40" s="30">
        <f t="shared" si="5"/>
        <v>2638.44</v>
      </c>
      <c r="J40" s="30">
        <f t="shared" si="5"/>
        <v>2499</v>
      </c>
      <c r="K40" s="30">
        <f t="shared" si="5"/>
        <v>2940</v>
      </c>
      <c r="L40" s="30">
        <f t="shared" si="5"/>
        <v>2940</v>
      </c>
      <c r="M40" s="30">
        <f t="shared" si="5"/>
        <v>2940</v>
      </c>
      <c r="N40" s="30">
        <f t="shared" si="5"/>
        <v>3230.2200000000003</v>
      </c>
      <c r="O40" s="30">
        <f t="shared" si="5"/>
        <v>2940</v>
      </c>
      <c r="P40" s="30">
        <f t="shared" si="5"/>
        <v>2940</v>
      </c>
      <c r="Q40" s="30">
        <f t="shared" si="5"/>
        <v>2940</v>
      </c>
      <c r="R40" s="30">
        <f t="shared" si="5"/>
        <v>2940</v>
      </c>
      <c r="S40" s="30">
        <f t="shared" si="5"/>
        <v>3230.2200000000003</v>
      </c>
      <c r="T40" s="30">
        <f t="shared" si="5"/>
        <v>2940</v>
      </c>
      <c r="U40" s="30">
        <f t="shared" si="5"/>
        <v>2940</v>
      </c>
      <c r="V40" s="30">
        <f t="shared" si="5"/>
        <v>2940</v>
      </c>
      <c r="W40" s="30">
        <f t="shared" si="5"/>
        <v>2940</v>
      </c>
      <c r="X40" s="30">
        <f t="shared" si="5"/>
        <v>3230.2200000000003</v>
      </c>
      <c r="Y40" s="30">
        <f t="shared" si="5"/>
        <v>2940</v>
      </c>
      <c r="Z40" s="30">
        <f t="shared" si="5"/>
        <v>2940</v>
      </c>
      <c r="AA40" s="30"/>
      <c r="AB40" s="7"/>
    </row>
    <row r="41" spans="1:28" x14ac:dyDescent="0.2">
      <c r="A41" s="7"/>
      <c r="B41" s="7"/>
      <c r="C41" s="7" t="s">
        <v>134</v>
      </c>
      <c r="D41" s="7"/>
      <c r="E41" s="7"/>
      <c r="F41" s="7"/>
      <c r="G41" s="19">
        <f t="shared" ref="G41:Z41" si="6">IF(G$6&gt;=$E$21,$E$15*G39,0)</f>
        <v>0</v>
      </c>
      <c r="H41" s="19">
        <f t="shared" si="6"/>
        <v>0</v>
      </c>
      <c r="I41" s="19">
        <f t="shared" si="6"/>
        <v>2058</v>
      </c>
      <c r="J41" s="19">
        <f t="shared" si="6"/>
        <v>2499</v>
      </c>
      <c r="K41" s="19">
        <f t="shared" si="6"/>
        <v>2940</v>
      </c>
      <c r="L41" s="19">
        <f t="shared" si="6"/>
        <v>2940</v>
      </c>
      <c r="M41" s="19">
        <f t="shared" si="6"/>
        <v>2940</v>
      </c>
      <c r="N41" s="19">
        <f t="shared" si="6"/>
        <v>2940</v>
      </c>
      <c r="O41" s="19">
        <f t="shared" si="6"/>
        <v>2940</v>
      </c>
      <c r="P41" s="19">
        <f t="shared" si="6"/>
        <v>2940</v>
      </c>
      <c r="Q41" s="19">
        <f t="shared" si="6"/>
        <v>2940</v>
      </c>
      <c r="R41" s="19">
        <f t="shared" si="6"/>
        <v>2940</v>
      </c>
      <c r="S41" s="19">
        <f t="shared" si="6"/>
        <v>2940</v>
      </c>
      <c r="T41" s="19">
        <f t="shared" si="6"/>
        <v>2940</v>
      </c>
      <c r="U41" s="19">
        <f t="shared" si="6"/>
        <v>2940</v>
      </c>
      <c r="V41" s="19">
        <f t="shared" si="6"/>
        <v>2940</v>
      </c>
      <c r="W41" s="19">
        <f t="shared" si="6"/>
        <v>2940</v>
      </c>
      <c r="X41" s="19">
        <f t="shared" si="6"/>
        <v>2940</v>
      </c>
      <c r="Y41" s="19">
        <f t="shared" si="6"/>
        <v>2940</v>
      </c>
      <c r="Z41" s="19">
        <f t="shared" si="6"/>
        <v>2940</v>
      </c>
      <c r="AA41" s="19"/>
      <c r="AB41" s="7"/>
    </row>
    <row r="42" spans="1:28" x14ac:dyDescent="0.2">
      <c r="A42" s="7"/>
      <c r="B42" s="7"/>
      <c r="C42" s="7" t="s">
        <v>135</v>
      </c>
      <c r="D42" s="7"/>
      <c r="E42" s="7"/>
      <c r="F42" s="7"/>
      <c r="G42" s="19">
        <f t="shared" ref="G42:Z42" si="7">G41*$E$16</f>
        <v>0</v>
      </c>
      <c r="H42" s="19">
        <f t="shared" si="7"/>
        <v>0</v>
      </c>
      <c r="I42" s="19">
        <f t="shared" si="7"/>
        <v>0</v>
      </c>
      <c r="J42" s="19">
        <f t="shared" si="7"/>
        <v>0</v>
      </c>
      <c r="K42" s="19">
        <f t="shared" si="7"/>
        <v>0</v>
      </c>
      <c r="L42" s="19">
        <f t="shared" si="7"/>
        <v>0</v>
      </c>
      <c r="M42" s="19">
        <f t="shared" si="7"/>
        <v>0</v>
      </c>
      <c r="N42" s="19">
        <f t="shared" si="7"/>
        <v>0</v>
      </c>
      <c r="O42" s="19">
        <f t="shared" si="7"/>
        <v>0</v>
      </c>
      <c r="P42" s="19">
        <f t="shared" si="7"/>
        <v>0</v>
      </c>
      <c r="Q42" s="19">
        <f t="shared" si="7"/>
        <v>0</v>
      </c>
      <c r="R42" s="19">
        <f t="shared" si="7"/>
        <v>0</v>
      </c>
      <c r="S42" s="19">
        <f t="shared" si="7"/>
        <v>0</v>
      </c>
      <c r="T42" s="19">
        <f t="shared" si="7"/>
        <v>0</v>
      </c>
      <c r="U42" s="19">
        <f t="shared" si="7"/>
        <v>0</v>
      </c>
      <c r="V42" s="19">
        <f t="shared" si="7"/>
        <v>0</v>
      </c>
      <c r="W42" s="19">
        <f t="shared" si="7"/>
        <v>0</v>
      </c>
      <c r="X42" s="19">
        <f t="shared" si="7"/>
        <v>0</v>
      </c>
      <c r="Y42" s="19">
        <f t="shared" si="7"/>
        <v>0</v>
      </c>
      <c r="Z42" s="19">
        <f t="shared" si="7"/>
        <v>0</v>
      </c>
      <c r="AA42" s="19"/>
      <c r="AB42" s="7"/>
    </row>
    <row r="43" spans="1:28" x14ac:dyDescent="0.2">
      <c r="A43" s="7"/>
      <c r="B43" s="7"/>
      <c r="C43" s="7" t="s">
        <v>140</v>
      </c>
      <c r="D43" s="7"/>
      <c r="E43" s="7"/>
      <c r="F43" s="7"/>
      <c r="G43" s="19">
        <f t="shared" ref="G43:Z43" si="8">IF(G$6=$E$21,$E$27*$E$14*$E$28/1000,IF(AND(G$6&gt;$E$21,MOD(G$6-$E$21,$E$29)=0),$E$27*$E$14*$E$28/1000*$E$30,0))</f>
        <v>0</v>
      </c>
      <c r="H43" s="19">
        <f t="shared" si="8"/>
        <v>0</v>
      </c>
      <c r="I43" s="19">
        <f t="shared" si="8"/>
        <v>580.44000000000005</v>
      </c>
      <c r="J43" s="19">
        <f t="shared" si="8"/>
        <v>0</v>
      </c>
      <c r="K43" s="19">
        <f t="shared" si="8"/>
        <v>0</v>
      </c>
      <c r="L43" s="19">
        <f t="shared" si="8"/>
        <v>0</v>
      </c>
      <c r="M43" s="19">
        <f t="shared" si="8"/>
        <v>0</v>
      </c>
      <c r="N43" s="19">
        <f t="shared" si="8"/>
        <v>290.22000000000003</v>
      </c>
      <c r="O43" s="19">
        <f t="shared" si="8"/>
        <v>0</v>
      </c>
      <c r="P43" s="19">
        <f t="shared" si="8"/>
        <v>0</v>
      </c>
      <c r="Q43" s="19">
        <f t="shared" si="8"/>
        <v>0</v>
      </c>
      <c r="R43" s="19">
        <f t="shared" si="8"/>
        <v>0</v>
      </c>
      <c r="S43" s="19">
        <f t="shared" si="8"/>
        <v>290.22000000000003</v>
      </c>
      <c r="T43" s="19">
        <f t="shared" si="8"/>
        <v>0</v>
      </c>
      <c r="U43" s="19">
        <f t="shared" si="8"/>
        <v>0</v>
      </c>
      <c r="V43" s="19">
        <f t="shared" si="8"/>
        <v>0</v>
      </c>
      <c r="W43" s="19">
        <f t="shared" si="8"/>
        <v>0</v>
      </c>
      <c r="X43" s="19">
        <f t="shared" si="8"/>
        <v>290.22000000000003</v>
      </c>
      <c r="Y43" s="19">
        <f t="shared" si="8"/>
        <v>0</v>
      </c>
      <c r="Z43" s="19">
        <f t="shared" si="8"/>
        <v>0</v>
      </c>
      <c r="AA43" s="19"/>
      <c r="AB43" s="7"/>
    </row>
    <row r="44" spans="1:28" x14ac:dyDescent="0.2">
      <c r="A44" s="7"/>
      <c r="B44" s="29" t="s">
        <v>6</v>
      </c>
      <c r="C44" s="29"/>
      <c r="D44" s="29"/>
      <c r="E44" s="29"/>
      <c r="F44" s="29"/>
      <c r="G44" s="30">
        <f t="shared" ref="G44:Z44" si="9">G45+G46</f>
        <v>0</v>
      </c>
      <c r="H44" s="30">
        <f t="shared" si="9"/>
        <v>0</v>
      </c>
      <c r="I44" s="30">
        <f t="shared" si="9"/>
        <v>-96.303060000000002</v>
      </c>
      <c r="J44" s="30">
        <f t="shared" si="9"/>
        <v>-91.213499999999996</v>
      </c>
      <c r="K44" s="30">
        <f t="shared" si="9"/>
        <v>-107.31</v>
      </c>
      <c r="L44" s="30">
        <f t="shared" si="9"/>
        <v>-107.31</v>
      </c>
      <c r="M44" s="30">
        <f t="shared" si="9"/>
        <v>-107.31</v>
      </c>
      <c r="N44" s="30">
        <f t="shared" si="9"/>
        <v>-117.90303</v>
      </c>
      <c r="O44" s="30">
        <f t="shared" si="9"/>
        <v>-107.31</v>
      </c>
      <c r="P44" s="30">
        <f t="shared" si="9"/>
        <v>-107.31</v>
      </c>
      <c r="Q44" s="30">
        <f t="shared" si="9"/>
        <v>-107.31</v>
      </c>
      <c r="R44" s="30">
        <f t="shared" si="9"/>
        <v>-107.31</v>
      </c>
      <c r="S44" s="30">
        <f t="shared" si="9"/>
        <v>-117.90303</v>
      </c>
      <c r="T44" s="30">
        <f t="shared" si="9"/>
        <v>-107.31</v>
      </c>
      <c r="U44" s="30">
        <f t="shared" si="9"/>
        <v>-107.31</v>
      </c>
      <c r="V44" s="30">
        <f t="shared" si="9"/>
        <v>-107.31</v>
      </c>
      <c r="W44" s="30">
        <f t="shared" si="9"/>
        <v>-107.31</v>
      </c>
      <c r="X44" s="30">
        <f t="shared" si="9"/>
        <v>-117.90303</v>
      </c>
      <c r="Y44" s="30">
        <f t="shared" si="9"/>
        <v>-107.31</v>
      </c>
      <c r="Z44" s="30">
        <f t="shared" si="9"/>
        <v>-107.31</v>
      </c>
      <c r="AA44" s="30"/>
      <c r="AB44" s="7"/>
    </row>
    <row r="45" spans="1:28" x14ac:dyDescent="0.2">
      <c r="A45" s="7"/>
      <c r="B45" s="7"/>
      <c r="C45" s="7" t="s">
        <v>106</v>
      </c>
      <c r="D45" s="7"/>
      <c r="E45" s="7"/>
      <c r="F45" s="7"/>
      <c r="G45" s="19">
        <f t="shared" ref="G45:Z45" si="10">-G40*0.65%</f>
        <v>0</v>
      </c>
      <c r="H45" s="19">
        <f t="shared" si="10"/>
        <v>0</v>
      </c>
      <c r="I45" s="19">
        <f t="shared" si="10"/>
        <v>-17.14986</v>
      </c>
      <c r="J45" s="19">
        <f t="shared" si="10"/>
        <v>-16.243500000000001</v>
      </c>
      <c r="K45" s="19">
        <f t="shared" si="10"/>
        <v>-19.110000000000003</v>
      </c>
      <c r="L45" s="19">
        <f t="shared" si="10"/>
        <v>-19.110000000000003</v>
      </c>
      <c r="M45" s="19">
        <f t="shared" si="10"/>
        <v>-19.110000000000003</v>
      </c>
      <c r="N45" s="19">
        <f t="shared" si="10"/>
        <v>-20.996430000000004</v>
      </c>
      <c r="O45" s="19">
        <f t="shared" si="10"/>
        <v>-19.110000000000003</v>
      </c>
      <c r="P45" s="19">
        <f t="shared" si="10"/>
        <v>-19.110000000000003</v>
      </c>
      <c r="Q45" s="19">
        <f t="shared" si="10"/>
        <v>-19.110000000000003</v>
      </c>
      <c r="R45" s="19">
        <f t="shared" si="10"/>
        <v>-19.110000000000003</v>
      </c>
      <c r="S45" s="19">
        <f t="shared" si="10"/>
        <v>-20.996430000000004</v>
      </c>
      <c r="T45" s="19">
        <f t="shared" si="10"/>
        <v>-19.110000000000003</v>
      </c>
      <c r="U45" s="19">
        <f t="shared" si="10"/>
        <v>-19.110000000000003</v>
      </c>
      <c r="V45" s="19">
        <f t="shared" si="10"/>
        <v>-19.110000000000003</v>
      </c>
      <c r="W45" s="19">
        <f t="shared" si="10"/>
        <v>-19.110000000000003</v>
      </c>
      <c r="X45" s="19">
        <f t="shared" si="10"/>
        <v>-20.996430000000004</v>
      </c>
      <c r="Y45" s="19">
        <f t="shared" si="10"/>
        <v>-19.110000000000003</v>
      </c>
      <c r="Z45" s="19">
        <f t="shared" si="10"/>
        <v>-19.110000000000003</v>
      </c>
      <c r="AA45" s="19"/>
      <c r="AB45" s="7"/>
    </row>
    <row r="46" spans="1:28" x14ac:dyDescent="0.2">
      <c r="A46" s="7"/>
      <c r="B46" s="7"/>
      <c r="C46" s="7" t="s">
        <v>107</v>
      </c>
      <c r="D46" s="7"/>
      <c r="E46" s="7"/>
      <c r="F46" s="7"/>
      <c r="G46" s="19">
        <f t="shared" ref="G46:Z46" si="11">-G40*3%</f>
        <v>0</v>
      </c>
      <c r="H46" s="19">
        <f t="shared" si="11"/>
        <v>0</v>
      </c>
      <c r="I46" s="19">
        <f t="shared" si="11"/>
        <v>-79.153199999999998</v>
      </c>
      <c r="J46" s="19">
        <f t="shared" si="11"/>
        <v>-74.97</v>
      </c>
      <c r="K46" s="19">
        <f t="shared" si="11"/>
        <v>-88.2</v>
      </c>
      <c r="L46" s="19">
        <f t="shared" si="11"/>
        <v>-88.2</v>
      </c>
      <c r="M46" s="19">
        <f t="shared" si="11"/>
        <v>-88.2</v>
      </c>
      <c r="N46" s="19">
        <f t="shared" si="11"/>
        <v>-96.906599999999997</v>
      </c>
      <c r="O46" s="19">
        <f t="shared" si="11"/>
        <v>-88.2</v>
      </c>
      <c r="P46" s="19">
        <f t="shared" si="11"/>
        <v>-88.2</v>
      </c>
      <c r="Q46" s="19">
        <f t="shared" si="11"/>
        <v>-88.2</v>
      </c>
      <c r="R46" s="19">
        <f t="shared" si="11"/>
        <v>-88.2</v>
      </c>
      <c r="S46" s="19">
        <f t="shared" si="11"/>
        <v>-96.906599999999997</v>
      </c>
      <c r="T46" s="19">
        <f t="shared" si="11"/>
        <v>-88.2</v>
      </c>
      <c r="U46" s="19">
        <f t="shared" si="11"/>
        <v>-88.2</v>
      </c>
      <c r="V46" s="19">
        <f t="shared" si="11"/>
        <v>-88.2</v>
      </c>
      <c r="W46" s="19">
        <f t="shared" si="11"/>
        <v>-88.2</v>
      </c>
      <c r="X46" s="19">
        <f t="shared" si="11"/>
        <v>-96.906599999999997</v>
      </c>
      <c r="Y46" s="19">
        <f t="shared" si="11"/>
        <v>-88.2</v>
      </c>
      <c r="Z46" s="19">
        <f t="shared" si="11"/>
        <v>-88.2</v>
      </c>
      <c r="AA46" s="19"/>
      <c r="AB46" s="7"/>
    </row>
    <row r="47" spans="1:28" x14ac:dyDescent="0.2">
      <c r="A47" s="7"/>
      <c r="B47" s="29" t="s">
        <v>7</v>
      </c>
      <c r="C47" s="29"/>
      <c r="D47" s="29"/>
      <c r="E47" s="29"/>
      <c r="F47" s="29"/>
      <c r="G47" s="30">
        <f t="shared" ref="G47:Z47" si="12">G40+G44</f>
        <v>0</v>
      </c>
      <c r="H47" s="30">
        <f t="shared" si="12"/>
        <v>0</v>
      </c>
      <c r="I47" s="30">
        <f t="shared" si="12"/>
        <v>2542.1369399999999</v>
      </c>
      <c r="J47" s="30">
        <f t="shared" si="12"/>
        <v>2407.7865000000002</v>
      </c>
      <c r="K47" s="30">
        <f t="shared" si="12"/>
        <v>2832.69</v>
      </c>
      <c r="L47" s="30">
        <f t="shared" si="12"/>
        <v>2832.69</v>
      </c>
      <c r="M47" s="30">
        <f t="shared" si="12"/>
        <v>2832.69</v>
      </c>
      <c r="N47" s="30">
        <f t="shared" si="12"/>
        <v>3112.3169700000003</v>
      </c>
      <c r="O47" s="30">
        <f t="shared" si="12"/>
        <v>2832.69</v>
      </c>
      <c r="P47" s="30">
        <f t="shared" si="12"/>
        <v>2832.69</v>
      </c>
      <c r="Q47" s="30">
        <f t="shared" si="12"/>
        <v>2832.69</v>
      </c>
      <c r="R47" s="30">
        <f t="shared" si="12"/>
        <v>2832.69</v>
      </c>
      <c r="S47" s="30">
        <f t="shared" si="12"/>
        <v>3112.3169700000003</v>
      </c>
      <c r="T47" s="30">
        <f t="shared" si="12"/>
        <v>2832.69</v>
      </c>
      <c r="U47" s="30">
        <f t="shared" si="12"/>
        <v>2832.69</v>
      </c>
      <c r="V47" s="30">
        <f t="shared" si="12"/>
        <v>2832.69</v>
      </c>
      <c r="W47" s="30">
        <f t="shared" si="12"/>
        <v>2832.69</v>
      </c>
      <c r="X47" s="30">
        <f t="shared" si="12"/>
        <v>3112.3169700000003</v>
      </c>
      <c r="Y47" s="30">
        <f t="shared" si="12"/>
        <v>2832.69</v>
      </c>
      <c r="Z47" s="30">
        <f t="shared" si="12"/>
        <v>2832.69</v>
      </c>
      <c r="AA47" s="30"/>
      <c r="AB47" s="7"/>
    </row>
    <row r="48" spans="1:28" x14ac:dyDescent="0.2">
      <c r="A48" s="7"/>
      <c r="B48" s="7"/>
      <c r="C48" s="7" t="s">
        <v>79</v>
      </c>
      <c r="D48" s="7"/>
      <c r="E48" s="7"/>
      <c r="F48" s="7"/>
      <c r="G48" s="19">
        <f t="shared" ref="G48:Z48" si="13">-$E$22*G40</f>
        <v>0</v>
      </c>
      <c r="H48" s="19">
        <f t="shared" si="13"/>
        <v>0</v>
      </c>
      <c r="I48" s="19">
        <f t="shared" si="13"/>
        <v>-52.768799999999999</v>
      </c>
      <c r="J48" s="19">
        <f t="shared" si="13"/>
        <v>-49.980000000000004</v>
      </c>
      <c r="K48" s="19">
        <f t="shared" si="13"/>
        <v>-58.800000000000004</v>
      </c>
      <c r="L48" s="19">
        <f t="shared" si="13"/>
        <v>-58.800000000000004</v>
      </c>
      <c r="M48" s="19">
        <f t="shared" si="13"/>
        <v>-58.800000000000004</v>
      </c>
      <c r="N48" s="19">
        <f t="shared" si="13"/>
        <v>-64.604400000000012</v>
      </c>
      <c r="O48" s="19">
        <f t="shared" si="13"/>
        <v>-58.800000000000004</v>
      </c>
      <c r="P48" s="19">
        <f t="shared" si="13"/>
        <v>-58.800000000000004</v>
      </c>
      <c r="Q48" s="19">
        <f t="shared" si="13"/>
        <v>-58.800000000000004</v>
      </c>
      <c r="R48" s="19">
        <f t="shared" si="13"/>
        <v>-58.800000000000004</v>
      </c>
      <c r="S48" s="19">
        <f t="shared" si="13"/>
        <v>-64.604400000000012</v>
      </c>
      <c r="T48" s="19">
        <f t="shared" si="13"/>
        <v>-58.800000000000004</v>
      </c>
      <c r="U48" s="19">
        <f t="shared" si="13"/>
        <v>-58.800000000000004</v>
      </c>
      <c r="V48" s="19">
        <f t="shared" si="13"/>
        <v>-58.800000000000004</v>
      </c>
      <c r="W48" s="19">
        <f t="shared" si="13"/>
        <v>-58.800000000000004</v>
      </c>
      <c r="X48" s="19">
        <f t="shared" si="13"/>
        <v>-64.604400000000012</v>
      </c>
      <c r="Y48" s="19">
        <f t="shared" si="13"/>
        <v>-58.800000000000004</v>
      </c>
      <c r="Z48" s="19">
        <f t="shared" si="13"/>
        <v>-58.800000000000004</v>
      </c>
      <c r="AA48" s="19"/>
      <c r="AB48" s="7"/>
    </row>
    <row r="49" spans="1:28" x14ac:dyDescent="0.2">
      <c r="A49" s="7"/>
      <c r="B49" s="29" t="s">
        <v>9</v>
      </c>
      <c r="C49" s="29"/>
      <c r="D49" s="29"/>
      <c r="E49" s="29"/>
      <c r="F49" s="29"/>
      <c r="G49" s="30">
        <f t="shared" ref="G49:Z49" si="14">G47+G48</f>
        <v>0</v>
      </c>
      <c r="H49" s="30">
        <f t="shared" si="14"/>
        <v>0</v>
      </c>
      <c r="I49" s="30">
        <f t="shared" si="14"/>
        <v>2489.36814</v>
      </c>
      <c r="J49" s="30">
        <f t="shared" si="14"/>
        <v>2357.8065000000001</v>
      </c>
      <c r="K49" s="30">
        <f t="shared" si="14"/>
        <v>2773.89</v>
      </c>
      <c r="L49" s="30">
        <f t="shared" si="14"/>
        <v>2773.89</v>
      </c>
      <c r="M49" s="30">
        <f t="shared" si="14"/>
        <v>2773.89</v>
      </c>
      <c r="N49" s="30">
        <f t="shared" si="14"/>
        <v>3047.7125700000001</v>
      </c>
      <c r="O49" s="30">
        <f t="shared" si="14"/>
        <v>2773.89</v>
      </c>
      <c r="P49" s="30">
        <f t="shared" si="14"/>
        <v>2773.89</v>
      </c>
      <c r="Q49" s="30">
        <f t="shared" si="14"/>
        <v>2773.89</v>
      </c>
      <c r="R49" s="30">
        <f t="shared" si="14"/>
        <v>2773.89</v>
      </c>
      <c r="S49" s="30">
        <f t="shared" si="14"/>
        <v>3047.7125700000001</v>
      </c>
      <c r="T49" s="30">
        <f t="shared" si="14"/>
        <v>2773.89</v>
      </c>
      <c r="U49" s="30">
        <f t="shared" si="14"/>
        <v>2773.89</v>
      </c>
      <c r="V49" s="30">
        <f t="shared" si="14"/>
        <v>2773.89</v>
      </c>
      <c r="W49" s="30">
        <f t="shared" si="14"/>
        <v>2773.89</v>
      </c>
      <c r="X49" s="30">
        <f t="shared" si="14"/>
        <v>3047.7125700000001</v>
      </c>
      <c r="Y49" s="30">
        <f t="shared" si="14"/>
        <v>2773.89</v>
      </c>
      <c r="Z49" s="30">
        <f t="shared" si="14"/>
        <v>2773.89</v>
      </c>
      <c r="AA49" s="30"/>
      <c r="AB49" s="7"/>
    </row>
    <row r="50" spans="1:28" x14ac:dyDescent="0.2">
      <c r="A50" s="7"/>
      <c r="B50" s="7"/>
      <c r="C50" s="7" t="s">
        <v>10</v>
      </c>
      <c r="D50" s="7"/>
      <c r="E50" s="7"/>
      <c r="F50" s="7"/>
      <c r="G50" s="33" t="str">
        <f t="shared" ref="G50:Z50" si="15">IFERROR(G49/G47,"n/a")</f>
        <v>n/a</v>
      </c>
      <c r="H50" s="33" t="str">
        <f t="shared" si="15"/>
        <v>n/a</v>
      </c>
      <c r="I50" s="33">
        <f t="shared" si="15"/>
        <v>0.97924234561494561</v>
      </c>
      <c r="J50" s="33">
        <f t="shared" si="15"/>
        <v>0.9792423456149455</v>
      </c>
      <c r="K50" s="33">
        <f t="shared" si="15"/>
        <v>0.9792423456149455</v>
      </c>
      <c r="L50" s="33">
        <f t="shared" si="15"/>
        <v>0.9792423456149455</v>
      </c>
      <c r="M50" s="33">
        <f t="shared" si="15"/>
        <v>0.9792423456149455</v>
      </c>
      <c r="N50" s="33">
        <f t="shared" si="15"/>
        <v>0.9792423456149455</v>
      </c>
      <c r="O50" s="33">
        <f t="shared" si="15"/>
        <v>0.9792423456149455</v>
      </c>
      <c r="P50" s="33">
        <f t="shared" si="15"/>
        <v>0.9792423456149455</v>
      </c>
      <c r="Q50" s="33">
        <f t="shared" si="15"/>
        <v>0.9792423456149455</v>
      </c>
      <c r="R50" s="33">
        <f t="shared" si="15"/>
        <v>0.9792423456149455</v>
      </c>
      <c r="S50" s="33">
        <f t="shared" si="15"/>
        <v>0.9792423456149455</v>
      </c>
      <c r="T50" s="33">
        <f t="shared" si="15"/>
        <v>0.9792423456149455</v>
      </c>
      <c r="U50" s="33">
        <f t="shared" si="15"/>
        <v>0.9792423456149455</v>
      </c>
      <c r="V50" s="33">
        <f t="shared" si="15"/>
        <v>0.9792423456149455</v>
      </c>
      <c r="W50" s="33">
        <f t="shared" si="15"/>
        <v>0.9792423456149455</v>
      </c>
      <c r="X50" s="33">
        <f t="shared" si="15"/>
        <v>0.9792423456149455</v>
      </c>
      <c r="Y50" s="33">
        <f t="shared" si="15"/>
        <v>0.9792423456149455</v>
      </c>
      <c r="Z50" s="33">
        <f t="shared" si="15"/>
        <v>0.9792423456149455</v>
      </c>
      <c r="AA50" s="19"/>
      <c r="AB50" s="7"/>
    </row>
    <row r="51" spans="1:28" x14ac:dyDescent="0.2">
      <c r="A51" s="7"/>
      <c r="B51" s="7"/>
      <c r="C51" s="7" t="s">
        <v>81</v>
      </c>
      <c r="D51" s="7"/>
      <c r="E51" s="7"/>
      <c r="F51" s="7"/>
      <c r="G51" s="19">
        <f t="shared" ref="G51:Z51" si="16">IF(AND(G$6&gt;=$E$21,G$6&lt;$E$21+$E$23),-$E$36/$E$23,0)</f>
        <v>0</v>
      </c>
      <c r="H51" s="19">
        <f t="shared" si="16"/>
        <v>0</v>
      </c>
      <c r="I51" s="19">
        <f t="shared" si="16"/>
        <v>-1209.288888888889</v>
      </c>
      <c r="J51" s="19">
        <f t="shared" si="16"/>
        <v>-1209.288888888889</v>
      </c>
      <c r="K51" s="19">
        <f t="shared" si="16"/>
        <v>-1209.288888888889</v>
      </c>
      <c r="L51" s="19">
        <f t="shared" si="16"/>
        <v>-1209.288888888889</v>
      </c>
      <c r="M51" s="19">
        <f t="shared" si="16"/>
        <v>-1209.288888888889</v>
      </c>
      <c r="N51" s="19">
        <f t="shared" si="16"/>
        <v>-1209.288888888889</v>
      </c>
      <c r="O51" s="19">
        <f t="shared" si="16"/>
        <v>-1209.288888888889</v>
      </c>
      <c r="P51" s="19">
        <f t="shared" si="16"/>
        <v>-1209.288888888889</v>
      </c>
      <c r="Q51" s="19">
        <f t="shared" si="16"/>
        <v>-1209.288888888889</v>
      </c>
      <c r="R51" s="19">
        <f t="shared" si="16"/>
        <v>-1209.288888888889</v>
      </c>
      <c r="S51" s="19">
        <f t="shared" si="16"/>
        <v>-1209.288888888889</v>
      </c>
      <c r="T51" s="19">
        <f t="shared" si="16"/>
        <v>-1209.288888888889</v>
      </c>
      <c r="U51" s="19">
        <f t="shared" si="16"/>
        <v>-1209.288888888889</v>
      </c>
      <c r="V51" s="19">
        <f t="shared" si="16"/>
        <v>-1209.288888888889</v>
      </c>
      <c r="W51" s="19">
        <f t="shared" si="16"/>
        <v>-1209.288888888889</v>
      </c>
      <c r="X51" s="19">
        <f t="shared" si="16"/>
        <v>-1209.288888888889</v>
      </c>
      <c r="Y51" s="19">
        <f t="shared" si="16"/>
        <v>-1209.288888888889</v>
      </c>
      <c r="Z51" s="19">
        <f t="shared" si="16"/>
        <v>-1209.288888888889</v>
      </c>
      <c r="AA51" s="19"/>
      <c r="AB51" s="7"/>
    </row>
    <row r="52" spans="1:28" x14ac:dyDescent="0.2">
      <c r="A52" s="7"/>
      <c r="B52" s="29" t="s">
        <v>11</v>
      </c>
      <c r="C52" s="29"/>
      <c r="D52" s="29"/>
      <c r="E52" s="29"/>
      <c r="F52" s="29"/>
      <c r="G52" s="30">
        <f t="shared" ref="G52:Z52" si="17">G49+G51</f>
        <v>0</v>
      </c>
      <c r="H52" s="30">
        <f t="shared" si="17"/>
        <v>0</v>
      </c>
      <c r="I52" s="30">
        <f t="shared" si="17"/>
        <v>1280.079251111111</v>
      </c>
      <c r="J52" s="30">
        <f t="shared" si="17"/>
        <v>1148.5176111111111</v>
      </c>
      <c r="K52" s="30">
        <f t="shared" si="17"/>
        <v>1564.6011111111109</v>
      </c>
      <c r="L52" s="30">
        <f t="shared" si="17"/>
        <v>1564.6011111111109</v>
      </c>
      <c r="M52" s="30">
        <f t="shared" si="17"/>
        <v>1564.6011111111109</v>
      </c>
      <c r="N52" s="30">
        <f t="shared" si="17"/>
        <v>1838.4236811111111</v>
      </c>
      <c r="O52" s="30">
        <f t="shared" si="17"/>
        <v>1564.6011111111109</v>
      </c>
      <c r="P52" s="30">
        <f t="shared" si="17"/>
        <v>1564.6011111111109</v>
      </c>
      <c r="Q52" s="30">
        <f t="shared" si="17"/>
        <v>1564.6011111111109</v>
      </c>
      <c r="R52" s="30">
        <f t="shared" si="17"/>
        <v>1564.6011111111109</v>
      </c>
      <c r="S52" s="30">
        <f t="shared" si="17"/>
        <v>1838.4236811111111</v>
      </c>
      <c r="T52" s="30">
        <f t="shared" si="17"/>
        <v>1564.6011111111109</v>
      </c>
      <c r="U52" s="30">
        <f t="shared" si="17"/>
        <v>1564.6011111111109</v>
      </c>
      <c r="V52" s="30">
        <f t="shared" si="17"/>
        <v>1564.6011111111109</v>
      </c>
      <c r="W52" s="30">
        <f t="shared" si="17"/>
        <v>1564.6011111111109</v>
      </c>
      <c r="X52" s="30">
        <f t="shared" si="17"/>
        <v>1838.4236811111111</v>
      </c>
      <c r="Y52" s="30">
        <f t="shared" si="17"/>
        <v>1564.6011111111109</v>
      </c>
      <c r="Z52" s="30">
        <f t="shared" si="17"/>
        <v>1564.6011111111109</v>
      </c>
      <c r="AA52" s="30"/>
      <c r="AB52" s="7"/>
    </row>
    <row r="53" spans="1:28" x14ac:dyDescent="0.2">
      <c r="A53" s="7"/>
      <c r="B53" s="7"/>
      <c r="C53" s="7" t="s">
        <v>13</v>
      </c>
      <c r="D53" s="7"/>
      <c r="E53" s="7"/>
      <c r="F53" s="7"/>
      <c r="G53" s="19">
        <f t="shared" ref="G53:Z53" si="18">-(G59+G60)</f>
        <v>0</v>
      </c>
      <c r="H53" s="19">
        <f t="shared" si="18"/>
        <v>0</v>
      </c>
      <c r="I53" s="19">
        <f t="shared" si="18"/>
        <v>-187.0752</v>
      </c>
      <c r="J53" s="19">
        <f t="shared" si="18"/>
        <v>-175.92000000000002</v>
      </c>
      <c r="K53" s="19">
        <f t="shared" si="18"/>
        <v>-211.20000000000002</v>
      </c>
      <c r="L53" s="19">
        <f t="shared" si="18"/>
        <v>-211.20000000000002</v>
      </c>
      <c r="M53" s="19">
        <f t="shared" si="18"/>
        <v>-211.20000000000002</v>
      </c>
      <c r="N53" s="19">
        <f t="shared" si="18"/>
        <v>-234.41760000000005</v>
      </c>
      <c r="O53" s="19">
        <f t="shared" si="18"/>
        <v>-211.20000000000002</v>
      </c>
      <c r="P53" s="19">
        <f t="shared" si="18"/>
        <v>-211.20000000000002</v>
      </c>
      <c r="Q53" s="19">
        <f t="shared" si="18"/>
        <v>-211.20000000000002</v>
      </c>
      <c r="R53" s="19">
        <f t="shared" si="18"/>
        <v>-211.20000000000002</v>
      </c>
      <c r="S53" s="19">
        <f t="shared" si="18"/>
        <v>-234.41760000000005</v>
      </c>
      <c r="T53" s="19">
        <f t="shared" si="18"/>
        <v>-211.20000000000002</v>
      </c>
      <c r="U53" s="19">
        <f t="shared" si="18"/>
        <v>-211.20000000000002</v>
      </c>
      <c r="V53" s="19">
        <f t="shared" si="18"/>
        <v>-211.20000000000002</v>
      </c>
      <c r="W53" s="19">
        <f t="shared" si="18"/>
        <v>-211.20000000000002</v>
      </c>
      <c r="X53" s="19">
        <f t="shared" si="18"/>
        <v>-234.41760000000005</v>
      </c>
      <c r="Y53" s="19">
        <f t="shared" si="18"/>
        <v>-211.20000000000002</v>
      </c>
      <c r="Z53" s="19">
        <f t="shared" si="18"/>
        <v>-211.20000000000002</v>
      </c>
      <c r="AA53" s="19"/>
      <c r="AB53" s="7"/>
    </row>
    <row r="54" spans="1:28" x14ac:dyDescent="0.2">
      <c r="A54" s="7"/>
      <c r="B54" s="7"/>
      <c r="C54" s="7" t="s">
        <v>14</v>
      </c>
      <c r="D54" s="7"/>
      <c r="E54" s="7"/>
      <c r="F54" s="7"/>
      <c r="G54" s="19">
        <f t="shared" ref="G54:Z54" si="19">-G61</f>
        <v>0</v>
      </c>
      <c r="H54" s="19">
        <f t="shared" si="19"/>
        <v>0</v>
      </c>
      <c r="I54" s="19">
        <f t="shared" si="19"/>
        <v>-75.987071999999998</v>
      </c>
      <c r="J54" s="19">
        <f t="shared" si="19"/>
        <v>-71.971199999999996</v>
      </c>
      <c r="K54" s="19">
        <f t="shared" si="19"/>
        <v>-84.671999999999997</v>
      </c>
      <c r="L54" s="19">
        <f t="shared" si="19"/>
        <v>-84.671999999999997</v>
      </c>
      <c r="M54" s="19">
        <f t="shared" si="19"/>
        <v>-84.671999999999997</v>
      </c>
      <c r="N54" s="19">
        <f t="shared" si="19"/>
        <v>-93.03033600000002</v>
      </c>
      <c r="O54" s="19">
        <f t="shared" si="19"/>
        <v>-84.671999999999997</v>
      </c>
      <c r="P54" s="19">
        <f t="shared" si="19"/>
        <v>-84.671999999999997</v>
      </c>
      <c r="Q54" s="19">
        <f t="shared" si="19"/>
        <v>-84.671999999999997</v>
      </c>
      <c r="R54" s="19">
        <f t="shared" si="19"/>
        <v>-84.671999999999997</v>
      </c>
      <c r="S54" s="19">
        <f t="shared" si="19"/>
        <v>-93.03033600000002</v>
      </c>
      <c r="T54" s="19">
        <f t="shared" si="19"/>
        <v>-84.671999999999997</v>
      </c>
      <c r="U54" s="19">
        <f t="shared" si="19"/>
        <v>-84.671999999999997</v>
      </c>
      <c r="V54" s="19">
        <f t="shared" si="19"/>
        <v>-84.671999999999997</v>
      </c>
      <c r="W54" s="19">
        <f t="shared" si="19"/>
        <v>-84.671999999999997</v>
      </c>
      <c r="X54" s="19">
        <f t="shared" si="19"/>
        <v>-93.03033600000002</v>
      </c>
      <c r="Y54" s="19">
        <f t="shared" si="19"/>
        <v>-84.671999999999997</v>
      </c>
      <c r="Z54" s="19">
        <f t="shared" si="19"/>
        <v>-84.671999999999997</v>
      </c>
      <c r="AA54" s="19"/>
      <c r="AB54" s="7"/>
    </row>
    <row r="55" spans="1:28" x14ac:dyDescent="0.2">
      <c r="A55" s="7"/>
      <c r="B55" s="29" t="s">
        <v>16</v>
      </c>
      <c r="C55" s="29"/>
      <c r="D55" s="29"/>
      <c r="E55" s="29"/>
      <c r="F55" s="29"/>
      <c r="G55" s="30">
        <f t="shared" ref="G55:Z55" si="20">G52+G53+G54</f>
        <v>0</v>
      </c>
      <c r="H55" s="30">
        <f t="shared" si="20"/>
        <v>0</v>
      </c>
      <c r="I55" s="30">
        <f t="shared" si="20"/>
        <v>1017.016979111111</v>
      </c>
      <c r="J55" s="30">
        <f t="shared" si="20"/>
        <v>900.62641111111111</v>
      </c>
      <c r="K55" s="30">
        <f t="shared" si="20"/>
        <v>1268.7291111111108</v>
      </c>
      <c r="L55" s="30">
        <f t="shared" si="20"/>
        <v>1268.7291111111108</v>
      </c>
      <c r="M55" s="30">
        <f t="shared" si="20"/>
        <v>1268.7291111111108</v>
      </c>
      <c r="N55" s="30">
        <f t="shared" si="20"/>
        <v>1510.9757451111111</v>
      </c>
      <c r="O55" s="30">
        <f t="shared" si="20"/>
        <v>1268.7291111111108</v>
      </c>
      <c r="P55" s="30">
        <f t="shared" si="20"/>
        <v>1268.7291111111108</v>
      </c>
      <c r="Q55" s="30">
        <f t="shared" si="20"/>
        <v>1268.7291111111108</v>
      </c>
      <c r="R55" s="30">
        <f t="shared" si="20"/>
        <v>1268.7291111111108</v>
      </c>
      <c r="S55" s="30">
        <f t="shared" si="20"/>
        <v>1510.9757451111111</v>
      </c>
      <c r="T55" s="30">
        <f t="shared" si="20"/>
        <v>1268.7291111111108</v>
      </c>
      <c r="U55" s="30">
        <f t="shared" si="20"/>
        <v>1268.7291111111108</v>
      </c>
      <c r="V55" s="30">
        <f t="shared" si="20"/>
        <v>1268.7291111111108</v>
      </c>
      <c r="W55" s="30">
        <f t="shared" si="20"/>
        <v>1268.7291111111108</v>
      </c>
      <c r="X55" s="30">
        <f t="shared" si="20"/>
        <v>1510.9757451111111</v>
      </c>
      <c r="Y55" s="30">
        <f t="shared" si="20"/>
        <v>1268.7291111111108</v>
      </c>
      <c r="Z55" s="30">
        <f t="shared" si="20"/>
        <v>1268.7291111111108</v>
      </c>
      <c r="AA55" s="30"/>
      <c r="AB55" s="7"/>
    </row>
    <row r="56" spans="1:28" x14ac:dyDescent="0.2">
      <c r="A56" s="7"/>
      <c r="B56" s="7"/>
      <c r="C56" s="7"/>
      <c r="D56" s="7"/>
      <c r="E56" s="7"/>
      <c r="F56" s="7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7"/>
    </row>
    <row r="57" spans="1:28" x14ac:dyDescent="0.2">
      <c r="A57" s="7"/>
      <c r="B57" s="24" t="s">
        <v>108</v>
      </c>
      <c r="C57" s="24"/>
      <c r="D57" s="24"/>
      <c r="E57" s="24"/>
      <c r="F57" s="24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7"/>
    </row>
    <row r="58" spans="1:28" x14ac:dyDescent="0.2">
      <c r="A58" s="7"/>
      <c r="B58" s="7"/>
      <c r="C58" s="7" t="s">
        <v>86</v>
      </c>
      <c r="D58" s="7"/>
      <c r="E58" s="7"/>
      <c r="F58" s="7"/>
      <c r="G58" s="19">
        <f t="shared" ref="G58:Z58" si="21">G40*32%</f>
        <v>0</v>
      </c>
      <c r="H58" s="19">
        <f t="shared" si="21"/>
        <v>0</v>
      </c>
      <c r="I58" s="19">
        <f t="shared" si="21"/>
        <v>844.30079999999998</v>
      </c>
      <c r="J58" s="19">
        <f t="shared" si="21"/>
        <v>799.68000000000006</v>
      </c>
      <c r="K58" s="19">
        <f t="shared" si="21"/>
        <v>940.80000000000007</v>
      </c>
      <c r="L58" s="19">
        <f t="shared" si="21"/>
        <v>940.80000000000007</v>
      </c>
      <c r="M58" s="19">
        <f t="shared" si="21"/>
        <v>940.80000000000007</v>
      </c>
      <c r="N58" s="19">
        <f t="shared" si="21"/>
        <v>1033.6704000000002</v>
      </c>
      <c r="O58" s="19">
        <f t="shared" si="21"/>
        <v>940.80000000000007</v>
      </c>
      <c r="P58" s="19">
        <f t="shared" si="21"/>
        <v>940.80000000000007</v>
      </c>
      <c r="Q58" s="19">
        <f t="shared" si="21"/>
        <v>940.80000000000007</v>
      </c>
      <c r="R58" s="19">
        <f t="shared" si="21"/>
        <v>940.80000000000007</v>
      </c>
      <c r="S58" s="19">
        <f t="shared" si="21"/>
        <v>1033.6704000000002</v>
      </c>
      <c r="T58" s="19">
        <f t="shared" si="21"/>
        <v>940.80000000000007</v>
      </c>
      <c r="U58" s="19">
        <f t="shared" si="21"/>
        <v>940.80000000000007</v>
      </c>
      <c r="V58" s="19">
        <f t="shared" si="21"/>
        <v>940.80000000000007</v>
      </c>
      <c r="W58" s="19">
        <f t="shared" si="21"/>
        <v>940.80000000000007</v>
      </c>
      <c r="X58" s="19">
        <f t="shared" si="21"/>
        <v>1033.6704000000002</v>
      </c>
      <c r="Y58" s="19">
        <f t="shared" si="21"/>
        <v>940.80000000000007</v>
      </c>
      <c r="Z58" s="19">
        <f t="shared" si="21"/>
        <v>940.80000000000007</v>
      </c>
      <c r="AA58" s="19"/>
      <c r="AB58" s="7"/>
    </row>
    <row r="59" spans="1:28" x14ac:dyDescent="0.2">
      <c r="A59" s="7"/>
      <c r="B59" s="7"/>
      <c r="C59" s="7" t="s">
        <v>25</v>
      </c>
      <c r="D59" s="7"/>
      <c r="E59" s="7"/>
      <c r="F59" s="7"/>
      <c r="G59" s="19">
        <f t="shared" ref="G59:Z59" si="22">G58*15%</f>
        <v>0</v>
      </c>
      <c r="H59" s="19">
        <f t="shared" si="22"/>
        <v>0</v>
      </c>
      <c r="I59" s="19">
        <f t="shared" si="22"/>
        <v>126.64511999999999</v>
      </c>
      <c r="J59" s="19">
        <f t="shared" si="22"/>
        <v>119.952</v>
      </c>
      <c r="K59" s="19">
        <f t="shared" si="22"/>
        <v>141.12</v>
      </c>
      <c r="L59" s="19">
        <f t="shared" si="22"/>
        <v>141.12</v>
      </c>
      <c r="M59" s="19">
        <f t="shared" si="22"/>
        <v>141.12</v>
      </c>
      <c r="N59" s="19">
        <f t="shared" si="22"/>
        <v>155.05056000000002</v>
      </c>
      <c r="O59" s="19">
        <f t="shared" si="22"/>
        <v>141.12</v>
      </c>
      <c r="P59" s="19">
        <f t="shared" si="22"/>
        <v>141.12</v>
      </c>
      <c r="Q59" s="19">
        <f t="shared" si="22"/>
        <v>141.12</v>
      </c>
      <c r="R59" s="19">
        <f t="shared" si="22"/>
        <v>141.12</v>
      </c>
      <c r="S59" s="19">
        <f t="shared" si="22"/>
        <v>155.05056000000002</v>
      </c>
      <c r="T59" s="19">
        <f t="shared" si="22"/>
        <v>141.12</v>
      </c>
      <c r="U59" s="19">
        <f t="shared" si="22"/>
        <v>141.12</v>
      </c>
      <c r="V59" s="19">
        <f t="shared" si="22"/>
        <v>141.12</v>
      </c>
      <c r="W59" s="19">
        <f t="shared" si="22"/>
        <v>141.12</v>
      </c>
      <c r="X59" s="19">
        <f t="shared" si="22"/>
        <v>155.05056000000002</v>
      </c>
      <c r="Y59" s="19">
        <f t="shared" si="22"/>
        <v>141.12</v>
      </c>
      <c r="Z59" s="19">
        <f t="shared" si="22"/>
        <v>141.12</v>
      </c>
      <c r="AA59" s="19"/>
      <c r="AB59" s="7"/>
    </row>
    <row r="60" spans="1:28" x14ac:dyDescent="0.2">
      <c r="A60" s="7"/>
      <c r="B60" s="7"/>
      <c r="C60" s="7" t="s">
        <v>87</v>
      </c>
      <c r="D60" s="7"/>
      <c r="E60" s="7"/>
      <c r="F60" s="7"/>
      <c r="G60" s="19">
        <f t="shared" ref="G60:Z60" si="23">IF(G58&lt;240,0,(G58-240)*10%)</f>
        <v>0</v>
      </c>
      <c r="H60" s="19">
        <f t="shared" si="23"/>
        <v>0</v>
      </c>
      <c r="I60" s="19">
        <f t="shared" si="23"/>
        <v>60.430080000000004</v>
      </c>
      <c r="J60" s="19">
        <f t="shared" si="23"/>
        <v>55.968000000000011</v>
      </c>
      <c r="K60" s="19">
        <f t="shared" si="23"/>
        <v>70.080000000000013</v>
      </c>
      <c r="L60" s="19">
        <f t="shared" si="23"/>
        <v>70.080000000000013</v>
      </c>
      <c r="M60" s="19">
        <f t="shared" si="23"/>
        <v>70.080000000000013</v>
      </c>
      <c r="N60" s="19">
        <f t="shared" si="23"/>
        <v>79.367040000000031</v>
      </c>
      <c r="O60" s="19">
        <f t="shared" si="23"/>
        <v>70.080000000000013</v>
      </c>
      <c r="P60" s="19">
        <f t="shared" si="23"/>
        <v>70.080000000000013</v>
      </c>
      <c r="Q60" s="19">
        <f t="shared" si="23"/>
        <v>70.080000000000013</v>
      </c>
      <c r="R60" s="19">
        <f t="shared" si="23"/>
        <v>70.080000000000013</v>
      </c>
      <c r="S60" s="19">
        <f t="shared" si="23"/>
        <v>79.367040000000031</v>
      </c>
      <c r="T60" s="19">
        <f t="shared" si="23"/>
        <v>70.080000000000013</v>
      </c>
      <c r="U60" s="19">
        <f t="shared" si="23"/>
        <v>70.080000000000013</v>
      </c>
      <c r="V60" s="19">
        <f t="shared" si="23"/>
        <v>70.080000000000013</v>
      </c>
      <c r="W60" s="19">
        <f t="shared" si="23"/>
        <v>70.080000000000013</v>
      </c>
      <c r="X60" s="19">
        <f t="shared" si="23"/>
        <v>79.367040000000031</v>
      </c>
      <c r="Y60" s="19">
        <f t="shared" si="23"/>
        <v>70.080000000000013</v>
      </c>
      <c r="Z60" s="19">
        <f t="shared" si="23"/>
        <v>70.080000000000013</v>
      </c>
      <c r="AA60" s="19"/>
      <c r="AB60" s="7"/>
    </row>
    <row r="61" spans="1:28" x14ac:dyDescent="0.2">
      <c r="A61" s="7"/>
      <c r="B61" s="7"/>
      <c r="C61" s="7" t="s">
        <v>26</v>
      </c>
      <c r="D61" s="7"/>
      <c r="E61" s="7"/>
      <c r="F61" s="7"/>
      <c r="G61" s="19">
        <f t="shared" ref="G61:Z61" si="24">G58*9%</f>
        <v>0</v>
      </c>
      <c r="H61" s="19">
        <f t="shared" si="24"/>
        <v>0</v>
      </c>
      <c r="I61" s="19">
        <f t="shared" si="24"/>
        <v>75.987071999999998</v>
      </c>
      <c r="J61" s="19">
        <f t="shared" si="24"/>
        <v>71.971199999999996</v>
      </c>
      <c r="K61" s="19">
        <f t="shared" si="24"/>
        <v>84.671999999999997</v>
      </c>
      <c r="L61" s="19">
        <f t="shared" si="24"/>
        <v>84.671999999999997</v>
      </c>
      <c r="M61" s="19">
        <f t="shared" si="24"/>
        <v>84.671999999999997</v>
      </c>
      <c r="N61" s="19">
        <f t="shared" si="24"/>
        <v>93.03033600000002</v>
      </c>
      <c r="O61" s="19">
        <f t="shared" si="24"/>
        <v>84.671999999999997</v>
      </c>
      <c r="P61" s="19">
        <f t="shared" si="24"/>
        <v>84.671999999999997</v>
      </c>
      <c r="Q61" s="19">
        <f t="shared" si="24"/>
        <v>84.671999999999997</v>
      </c>
      <c r="R61" s="19">
        <f t="shared" si="24"/>
        <v>84.671999999999997</v>
      </c>
      <c r="S61" s="19">
        <f t="shared" si="24"/>
        <v>93.03033600000002</v>
      </c>
      <c r="T61" s="19">
        <f t="shared" si="24"/>
        <v>84.671999999999997</v>
      </c>
      <c r="U61" s="19">
        <f t="shared" si="24"/>
        <v>84.671999999999997</v>
      </c>
      <c r="V61" s="19">
        <f t="shared" si="24"/>
        <v>84.671999999999997</v>
      </c>
      <c r="W61" s="19">
        <f t="shared" si="24"/>
        <v>84.671999999999997</v>
      </c>
      <c r="X61" s="19">
        <f t="shared" si="24"/>
        <v>93.03033600000002</v>
      </c>
      <c r="Y61" s="19">
        <f t="shared" si="24"/>
        <v>84.671999999999997</v>
      </c>
      <c r="Z61" s="19">
        <f t="shared" si="24"/>
        <v>84.671999999999997</v>
      </c>
      <c r="AA61" s="19"/>
      <c r="AB61" s="7"/>
    </row>
    <row r="62" spans="1:28" x14ac:dyDescent="0.2">
      <c r="A62" s="7"/>
      <c r="B62" s="7"/>
      <c r="C62" s="7"/>
      <c r="D62" s="7"/>
      <c r="E62" s="7"/>
      <c r="F62" s="7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7"/>
    </row>
    <row r="63" spans="1:28" x14ac:dyDescent="0.2">
      <c r="A63" s="7"/>
      <c r="B63" s="24" t="s">
        <v>15</v>
      </c>
      <c r="C63" s="24"/>
      <c r="D63" s="24"/>
      <c r="E63" s="24"/>
      <c r="F63" s="24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7"/>
    </row>
    <row r="64" spans="1:28" x14ac:dyDescent="0.2">
      <c r="A64" s="7"/>
      <c r="B64" s="7"/>
      <c r="C64" s="7" t="s">
        <v>9</v>
      </c>
      <c r="D64" s="7"/>
      <c r="E64" s="7"/>
      <c r="F64" s="7"/>
      <c r="G64" s="19">
        <f t="shared" ref="G64:Z64" si="25">G49</f>
        <v>0</v>
      </c>
      <c r="H64" s="19">
        <f t="shared" si="25"/>
        <v>0</v>
      </c>
      <c r="I64" s="19">
        <f t="shared" si="25"/>
        <v>2489.36814</v>
      </c>
      <c r="J64" s="19">
        <f t="shared" si="25"/>
        <v>2357.8065000000001</v>
      </c>
      <c r="K64" s="19">
        <f t="shared" si="25"/>
        <v>2773.89</v>
      </c>
      <c r="L64" s="19">
        <f t="shared" si="25"/>
        <v>2773.89</v>
      </c>
      <c r="M64" s="19">
        <f t="shared" si="25"/>
        <v>2773.89</v>
      </c>
      <c r="N64" s="19">
        <f t="shared" si="25"/>
        <v>3047.7125700000001</v>
      </c>
      <c r="O64" s="19">
        <f t="shared" si="25"/>
        <v>2773.89</v>
      </c>
      <c r="P64" s="19">
        <f t="shared" si="25"/>
        <v>2773.89</v>
      </c>
      <c r="Q64" s="19">
        <f t="shared" si="25"/>
        <v>2773.89</v>
      </c>
      <c r="R64" s="19">
        <f t="shared" si="25"/>
        <v>2773.89</v>
      </c>
      <c r="S64" s="19">
        <f t="shared" si="25"/>
        <v>3047.7125700000001</v>
      </c>
      <c r="T64" s="19">
        <f t="shared" si="25"/>
        <v>2773.89</v>
      </c>
      <c r="U64" s="19">
        <f t="shared" si="25"/>
        <v>2773.89</v>
      </c>
      <c r="V64" s="19">
        <f t="shared" si="25"/>
        <v>2773.89</v>
      </c>
      <c r="W64" s="19">
        <f t="shared" si="25"/>
        <v>2773.89</v>
      </c>
      <c r="X64" s="19">
        <f t="shared" si="25"/>
        <v>3047.7125700000001</v>
      </c>
      <c r="Y64" s="19">
        <f t="shared" si="25"/>
        <v>2773.89</v>
      </c>
      <c r="Z64" s="19">
        <f t="shared" si="25"/>
        <v>2773.89</v>
      </c>
      <c r="AA64" s="19"/>
      <c r="AB64" s="7"/>
    </row>
    <row r="65" spans="1:28" x14ac:dyDescent="0.2">
      <c r="A65" s="7"/>
      <c r="B65" s="7"/>
      <c r="C65" s="7" t="s">
        <v>109</v>
      </c>
      <c r="D65" s="7"/>
      <c r="E65" s="7"/>
      <c r="F65" s="7"/>
      <c r="G65" s="19">
        <f t="shared" ref="G65:Z65" si="26">G53+G54</f>
        <v>0</v>
      </c>
      <c r="H65" s="19">
        <f t="shared" si="26"/>
        <v>0</v>
      </c>
      <c r="I65" s="19">
        <f t="shared" si="26"/>
        <v>-263.06227200000001</v>
      </c>
      <c r="J65" s="19">
        <f t="shared" si="26"/>
        <v>-247.89120000000003</v>
      </c>
      <c r="K65" s="19">
        <f t="shared" si="26"/>
        <v>-295.87200000000001</v>
      </c>
      <c r="L65" s="19">
        <f t="shared" si="26"/>
        <v>-295.87200000000001</v>
      </c>
      <c r="M65" s="19">
        <f t="shared" si="26"/>
        <v>-295.87200000000001</v>
      </c>
      <c r="N65" s="19">
        <f t="shared" si="26"/>
        <v>-327.44793600000008</v>
      </c>
      <c r="O65" s="19">
        <f t="shared" si="26"/>
        <v>-295.87200000000001</v>
      </c>
      <c r="P65" s="19">
        <f t="shared" si="26"/>
        <v>-295.87200000000001</v>
      </c>
      <c r="Q65" s="19">
        <f t="shared" si="26"/>
        <v>-295.87200000000001</v>
      </c>
      <c r="R65" s="19">
        <f t="shared" si="26"/>
        <v>-295.87200000000001</v>
      </c>
      <c r="S65" s="19">
        <f t="shared" si="26"/>
        <v>-327.44793600000008</v>
      </c>
      <c r="T65" s="19">
        <f t="shared" si="26"/>
        <v>-295.87200000000001</v>
      </c>
      <c r="U65" s="19">
        <f t="shared" si="26"/>
        <v>-295.87200000000001</v>
      </c>
      <c r="V65" s="19">
        <f t="shared" si="26"/>
        <v>-295.87200000000001</v>
      </c>
      <c r="W65" s="19">
        <f t="shared" si="26"/>
        <v>-295.87200000000001</v>
      </c>
      <c r="X65" s="19">
        <f t="shared" si="26"/>
        <v>-327.44793600000008</v>
      </c>
      <c r="Y65" s="19">
        <f t="shared" si="26"/>
        <v>-295.87200000000001</v>
      </c>
      <c r="Z65" s="19">
        <f t="shared" si="26"/>
        <v>-295.87200000000001</v>
      </c>
      <c r="AA65" s="19"/>
      <c r="AB65" s="7"/>
    </row>
    <row r="66" spans="1:28" x14ac:dyDescent="0.2">
      <c r="A66" s="7"/>
      <c r="B66" s="7"/>
      <c r="C66" s="7" t="s">
        <v>110</v>
      </c>
      <c r="D66" s="7"/>
      <c r="E66" s="7"/>
      <c r="F66" s="7"/>
      <c r="G66" s="19">
        <f t="shared" ref="G66:Z66" si="27">-G36</f>
        <v>0</v>
      </c>
      <c r="H66" s="19">
        <f t="shared" si="27"/>
        <v>-21767.200000000001</v>
      </c>
      <c r="I66" s="19">
        <f t="shared" si="27"/>
        <v>0</v>
      </c>
      <c r="J66" s="19">
        <f t="shared" si="27"/>
        <v>0</v>
      </c>
      <c r="K66" s="19">
        <f t="shared" si="27"/>
        <v>0</v>
      </c>
      <c r="L66" s="19">
        <f t="shared" si="27"/>
        <v>0</v>
      </c>
      <c r="M66" s="19">
        <f t="shared" si="27"/>
        <v>0</v>
      </c>
      <c r="N66" s="19">
        <f t="shared" si="27"/>
        <v>0</v>
      </c>
      <c r="O66" s="19">
        <f t="shared" si="27"/>
        <v>0</v>
      </c>
      <c r="P66" s="19">
        <f t="shared" si="27"/>
        <v>0</v>
      </c>
      <c r="Q66" s="19">
        <f t="shared" si="27"/>
        <v>0</v>
      </c>
      <c r="R66" s="19">
        <f t="shared" si="27"/>
        <v>0</v>
      </c>
      <c r="S66" s="19">
        <f t="shared" si="27"/>
        <v>0</v>
      </c>
      <c r="T66" s="19">
        <f t="shared" si="27"/>
        <v>0</v>
      </c>
      <c r="U66" s="19">
        <f t="shared" si="27"/>
        <v>0</v>
      </c>
      <c r="V66" s="19">
        <f t="shared" si="27"/>
        <v>0</v>
      </c>
      <c r="W66" s="19">
        <f t="shared" si="27"/>
        <v>0</v>
      </c>
      <c r="X66" s="19">
        <f t="shared" si="27"/>
        <v>0</v>
      </c>
      <c r="Y66" s="19">
        <f t="shared" si="27"/>
        <v>0</v>
      </c>
      <c r="Z66" s="19">
        <f t="shared" si="27"/>
        <v>0</v>
      </c>
      <c r="AA66" s="19"/>
      <c r="AB66" s="7"/>
    </row>
    <row r="67" spans="1:28" x14ac:dyDescent="0.2">
      <c r="A67" s="7"/>
      <c r="B67" s="31" t="s">
        <v>22</v>
      </c>
      <c r="C67" s="31"/>
      <c r="D67" s="31"/>
      <c r="E67" s="31"/>
      <c r="F67" s="31"/>
      <c r="G67" s="32">
        <f t="shared" ref="G67:Z67" si="28">SUM(G64:G66)</f>
        <v>0</v>
      </c>
      <c r="H67" s="32">
        <f t="shared" si="28"/>
        <v>-21767.200000000001</v>
      </c>
      <c r="I67" s="32">
        <f t="shared" si="28"/>
        <v>2226.3058679999999</v>
      </c>
      <c r="J67" s="32">
        <f t="shared" si="28"/>
        <v>2109.9153000000001</v>
      </c>
      <c r="K67" s="32">
        <f t="shared" si="28"/>
        <v>2478.018</v>
      </c>
      <c r="L67" s="32">
        <f t="shared" si="28"/>
        <v>2478.018</v>
      </c>
      <c r="M67" s="32">
        <f t="shared" si="28"/>
        <v>2478.018</v>
      </c>
      <c r="N67" s="32">
        <f t="shared" si="28"/>
        <v>2720.2646340000001</v>
      </c>
      <c r="O67" s="32">
        <f t="shared" si="28"/>
        <v>2478.018</v>
      </c>
      <c r="P67" s="32">
        <f t="shared" si="28"/>
        <v>2478.018</v>
      </c>
      <c r="Q67" s="32">
        <f t="shared" si="28"/>
        <v>2478.018</v>
      </c>
      <c r="R67" s="32">
        <f t="shared" si="28"/>
        <v>2478.018</v>
      </c>
      <c r="S67" s="32">
        <f t="shared" si="28"/>
        <v>2720.2646340000001</v>
      </c>
      <c r="T67" s="32">
        <f t="shared" si="28"/>
        <v>2478.018</v>
      </c>
      <c r="U67" s="32">
        <f t="shared" si="28"/>
        <v>2478.018</v>
      </c>
      <c r="V67" s="32">
        <f t="shared" si="28"/>
        <v>2478.018</v>
      </c>
      <c r="W67" s="32">
        <f t="shared" si="28"/>
        <v>2478.018</v>
      </c>
      <c r="X67" s="32">
        <f t="shared" si="28"/>
        <v>2720.2646340000001</v>
      </c>
      <c r="Y67" s="32">
        <f t="shared" si="28"/>
        <v>2478.018</v>
      </c>
      <c r="Z67" s="32">
        <f t="shared" si="28"/>
        <v>2478.018</v>
      </c>
      <c r="AA67" s="32">
        <f>Z67/$E$25</f>
        <v>35400.257142857139</v>
      </c>
      <c r="AB67" s="7"/>
    </row>
    <row r="68" spans="1:28" x14ac:dyDescent="0.2">
      <c r="A68" s="7"/>
      <c r="B68" s="7"/>
      <c r="C68" s="7" t="s">
        <v>101</v>
      </c>
      <c r="D68" s="7"/>
      <c r="E68" s="7"/>
      <c r="F68" s="7"/>
      <c r="G68" s="19">
        <f>G67</f>
        <v>0</v>
      </c>
      <c r="H68" s="19">
        <f t="shared" ref="H68:AA68" si="29">G68+H67</f>
        <v>-21767.200000000001</v>
      </c>
      <c r="I68" s="19">
        <f t="shared" si="29"/>
        <v>-19540.894132000001</v>
      </c>
      <c r="J68" s="19">
        <f t="shared" si="29"/>
        <v>-17430.978832000001</v>
      </c>
      <c r="K68" s="19">
        <f t="shared" si="29"/>
        <v>-14952.960832000001</v>
      </c>
      <c r="L68" s="19">
        <f t="shared" si="29"/>
        <v>-12474.942832000001</v>
      </c>
      <c r="M68" s="19">
        <f t="shared" si="29"/>
        <v>-9996.9248320000006</v>
      </c>
      <c r="N68" s="19">
        <f t="shared" si="29"/>
        <v>-7276.6601980000005</v>
      </c>
      <c r="O68" s="19">
        <f t="shared" si="29"/>
        <v>-4798.6421980000005</v>
      </c>
      <c r="P68" s="19">
        <f t="shared" si="29"/>
        <v>-2320.6241980000004</v>
      </c>
      <c r="Q68" s="19">
        <f t="shared" si="29"/>
        <v>157.3938019999996</v>
      </c>
      <c r="R68" s="19">
        <f t="shared" si="29"/>
        <v>2635.4118019999996</v>
      </c>
      <c r="S68" s="19">
        <f t="shared" si="29"/>
        <v>5355.6764359999997</v>
      </c>
      <c r="T68" s="19">
        <f t="shared" si="29"/>
        <v>7833.6944359999998</v>
      </c>
      <c r="U68" s="19">
        <f t="shared" si="29"/>
        <v>10311.712436</v>
      </c>
      <c r="V68" s="19">
        <f t="shared" si="29"/>
        <v>12789.730436</v>
      </c>
      <c r="W68" s="19">
        <f t="shared" si="29"/>
        <v>15267.748436</v>
      </c>
      <c r="X68" s="19">
        <f t="shared" si="29"/>
        <v>17988.013070000001</v>
      </c>
      <c r="Y68" s="19">
        <f t="shared" si="29"/>
        <v>20466.031070000001</v>
      </c>
      <c r="Z68" s="19">
        <f t="shared" si="29"/>
        <v>22944.049070000001</v>
      </c>
      <c r="AA68" s="19">
        <f t="shared" si="29"/>
        <v>58344.30621285714</v>
      </c>
      <c r="AB68" s="7"/>
    </row>
    <row r="69" spans="1:28" x14ac:dyDescent="0.2">
      <c r="A69" s="7"/>
      <c r="B69" s="7"/>
      <c r="C69" s="7"/>
      <c r="D69" s="7"/>
      <c r="E69" s="7"/>
      <c r="F69" s="7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7"/>
    </row>
    <row r="70" spans="1:28" x14ac:dyDescent="0.2">
      <c r="A70" s="7"/>
      <c r="B70" s="24" t="s">
        <v>142</v>
      </c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7"/>
    </row>
    <row r="71" spans="1:28" x14ac:dyDescent="0.2">
      <c r="A71" s="7"/>
      <c r="B71" s="10"/>
      <c r="C71" s="23" t="s">
        <v>143</v>
      </c>
      <c r="D71" s="23"/>
      <c r="E71" s="23"/>
      <c r="F71" s="23"/>
      <c r="G71" s="66">
        <f>G67</f>
        <v>0</v>
      </c>
      <c r="H71" s="66">
        <f t="shared" ref="H71:Z71" si="30">G71+H67</f>
        <v>-21767.200000000001</v>
      </c>
      <c r="I71" s="66">
        <f t="shared" si="30"/>
        <v>-19540.894132000001</v>
      </c>
      <c r="J71" s="66">
        <f t="shared" si="30"/>
        <v>-17430.978832000001</v>
      </c>
      <c r="K71" s="66">
        <f t="shared" si="30"/>
        <v>-14952.960832000001</v>
      </c>
      <c r="L71" s="66">
        <f t="shared" si="30"/>
        <v>-12474.942832000001</v>
      </c>
      <c r="M71" s="66">
        <f t="shared" si="30"/>
        <v>-9996.9248320000006</v>
      </c>
      <c r="N71" s="66">
        <f t="shared" si="30"/>
        <v>-7276.6601980000005</v>
      </c>
      <c r="O71" s="66">
        <f t="shared" si="30"/>
        <v>-4798.6421980000005</v>
      </c>
      <c r="P71" s="66">
        <f t="shared" si="30"/>
        <v>-2320.6241980000004</v>
      </c>
      <c r="Q71" s="66">
        <f t="shared" si="30"/>
        <v>157.3938019999996</v>
      </c>
      <c r="R71" s="66">
        <f t="shared" si="30"/>
        <v>2635.4118019999996</v>
      </c>
      <c r="S71" s="66">
        <f t="shared" si="30"/>
        <v>5355.6764359999997</v>
      </c>
      <c r="T71" s="66">
        <f t="shared" si="30"/>
        <v>7833.6944359999998</v>
      </c>
      <c r="U71" s="66">
        <f t="shared" si="30"/>
        <v>10311.712436</v>
      </c>
      <c r="V71" s="66">
        <f t="shared" si="30"/>
        <v>12789.730436</v>
      </c>
      <c r="W71" s="66">
        <f t="shared" si="30"/>
        <v>15267.748436</v>
      </c>
      <c r="X71" s="66">
        <f t="shared" si="30"/>
        <v>17988.013070000001</v>
      </c>
      <c r="Y71" s="66">
        <f t="shared" si="30"/>
        <v>20466.031070000001</v>
      </c>
      <c r="Z71" s="66">
        <f t="shared" si="30"/>
        <v>22944.049070000001</v>
      </c>
      <c r="AA71" s="66"/>
      <c r="AB71" s="7"/>
    </row>
    <row r="72" spans="1:28" x14ac:dyDescent="0.2">
      <c r="A72" s="7"/>
      <c r="B72" s="10"/>
      <c r="C72" s="23" t="s">
        <v>144</v>
      </c>
      <c r="D72" s="23"/>
      <c r="E72" s="23"/>
      <c r="F72" s="23"/>
      <c r="G72" s="67">
        <f t="shared" ref="G72:AA72" si="31">1/(1+$E$24)^(COLUMN(G72)-COLUMN($G$72))</f>
        <v>1</v>
      </c>
      <c r="H72" s="67">
        <f t="shared" si="31"/>
        <v>0.9174311926605504</v>
      </c>
      <c r="I72" s="67">
        <f t="shared" si="31"/>
        <v>0.84167999326655996</v>
      </c>
      <c r="J72" s="67">
        <f t="shared" si="31"/>
        <v>0.77218348006106419</v>
      </c>
      <c r="K72" s="67">
        <f t="shared" si="31"/>
        <v>0.7084252110651964</v>
      </c>
      <c r="L72" s="67">
        <f t="shared" si="31"/>
        <v>0.64993138629834524</v>
      </c>
      <c r="M72" s="67">
        <f t="shared" si="31"/>
        <v>0.5962673268792158</v>
      </c>
      <c r="N72" s="67">
        <f t="shared" si="31"/>
        <v>0.54703424484331731</v>
      </c>
      <c r="O72" s="67">
        <f t="shared" si="31"/>
        <v>0.50186627967276809</v>
      </c>
      <c r="P72" s="67">
        <f t="shared" si="31"/>
        <v>0.46042777951630098</v>
      </c>
      <c r="Q72" s="67">
        <f t="shared" si="31"/>
        <v>0.42241080689568894</v>
      </c>
      <c r="R72" s="67">
        <f t="shared" si="31"/>
        <v>0.38753285036301738</v>
      </c>
      <c r="S72" s="67">
        <f t="shared" si="31"/>
        <v>0.35553472510368567</v>
      </c>
      <c r="T72" s="67">
        <f t="shared" si="31"/>
        <v>0.32617864688411524</v>
      </c>
      <c r="U72" s="67">
        <f t="shared" si="31"/>
        <v>0.29924646503129837</v>
      </c>
      <c r="V72" s="67">
        <f t="shared" si="31"/>
        <v>0.27453804131311776</v>
      </c>
      <c r="W72" s="67">
        <f t="shared" si="31"/>
        <v>0.2518697626725851</v>
      </c>
      <c r="X72" s="67">
        <f t="shared" si="31"/>
        <v>0.23107317676383954</v>
      </c>
      <c r="Y72" s="67">
        <f t="shared" si="31"/>
        <v>0.21199374015031147</v>
      </c>
      <c r="Z72" s="67">
        <f t="shared" si="31"/>
        <v>0.19448966986267105</v>
      </c>
      <c r="AA72" s="67">
        <f t="shared" si="31"/>
        <v>0.17843088978226704</v>
      </c>
      <c r="AB72" s="7"/>
    </row>
    <row r="73" spans="1:28" x14ac:dyDescent="0.2">
      <c r="A73" s="7"/>
      <c r="B73" s="10"/>
      <c r="C73" s="23" t="s">
        <v>145</v>
      </c>
      <c r="D73" s="23"/>
      <c r="E73" s="23"/>
      <c r="F73" s="23"/>
      <c r="G73" s="66">
        <f t="shared" ref="G73:AA73" si="32">G67*G72</f>
        <v>0</v>
      </c>
      <c r="H73" s="66">
        <f t="shared" si="32"/>
        <v>-19969.908256880732</v>
      </c>
      <c r="I73" s="66">
        <f t="shared" si="32"/>
        <v>1873.8371079875428</v>
      </c>
      <c r="J73" s="66">
        <f t="shared" si="32"/>
        <v>1629.2417389880843</v>
      </c>
      <c r="K73" s="66">
        <f t="shared" si="32"/>
        <v>1755.4904246733558</v>
      </c>
      <c r="L73" s="66">
        <f t="shared" si="32"/>
        <v>1610.541674012253</v>
      </c>
      <c r="M73" s="66">
        <f t="shared" si="32"/>
        <v>1477.5611688185807</v>
      </c>
      <c r="N73" s="66">
        <f t="shared" si="32"/>
        <v>1488.0779098341729</v>
      </c>
      <c r="O73" s="66">
        <f t="shared" si="32"/>
        <v>1243.6336746221534</v>
      </c>
      <c r="P73" s="66">
        <f t="shared" si="32"/>
        <v>1140.9483253414251</v>
      </c>
      <c r="Q73" s="66">
        <f t="shared" si="32"/>
        <v>1046.7415828820413</v>
      </c>
      <c r="R73" s="66">
        <f t="shared" si="32"/>
        <v>960.31337879086357</v>
      </c>
      <c r="S73" s="66">
        <f t="shared" si="32"/>
        <v>967.1485388584681</v>
      </c>
      <c r="T73" s="66">
        <f t="shared" si="32"/>
        <v>808.27655819448148</v>
      </c>
      <c r="U73" s="66">
        <f t="shared" si="32"/>
        <v>741.53812678392796</v>
      </c>
      <c r="V73" s="66">
        <f t="shared" si="32"/>
        <v>680.31020805864944</v>
      </c>
      <c r="W73" s="66">
        <f t="shared" si="32"/>
        <v>624.13780555839401</v>
      </c>
      <c r="X73" s="66">
        <f t="shared" si="32"/>
        <v>628.58019061670325</v>
      </c>
      <c r="Y73" s="66">
        <f t="shared" si="32"/>
        <v>525.32430397979454</v>
      </c>
      <c r="Z73" s="66">
        <f t="shared" si="32"/>
        <v>481.94890273375637</v>
      </c>
      <c r="AA73" s="66">
        <f t="shared" si="32"/>
        <v>6316.4993805210534</v>
      </c>
      <c r="AB73" s="7"/>
    </row>
    <row r="74" spans="1:28" x14ac:dyDescent="0.2">
      <c r="A74" s="7"/>
      <c r="B74" s="7"/>
      <c r="C74" s="23" t="s">
        <v>146</v>
      </c>
      <c r="D74" s="23"/>
      <c r="E74" s="23"/>
      <c r="F74" s="23"/>
      <c r="G74" s="66">
        <f>G73</f>
        <v>0</v>
      </c>
      <c r="H74" s="66">
        <f t="shared" ref="H74:Z74" si="33">G74+H73</f>
        <v>-19969.908256880732</v>
      </c>
      <c r="I74" s="66">
        <f t="shared" si="33"/>
        <v>-18096.071148893188</v>
      </c>
      <c r="J74" s="66">
        <f t="shared" si="33"/>
        <v>-16466.829409905105</v>
      </c>
      <c r="K74" s="66">
        <f t="shared" si="33"/>
        <v>-14711.338985231749</v>
      </c>
      <c r="L74" s="66">
        <f t="shared" si="33"/>
        <v>-13100.797311219496</v>
      </c>
      <c r="M74" s="66">
        <f t="shared" si="33"/>
        <v>-11623.236142400916</v>
      </c>
      <c r="N74" s="66">
        <f t="shared" si="33"/>
        <v>-10135.158232566742</v>
      </c>
      <c r="O74" s="66">
        <f t="shared" si="33"/>
        <v>-8891.5245579445891</v>
      </c>
      <c r="P74" s="66">
        <f t="shared" si="33"/>
        <v>-7750.5762326031636</v>
      </c>
      <c r="Q74" s="66">
        <f t="shared" si="33"/>
        <v>-6703.8346497211223</v>
      </c>
      <c r="R74" s="66">
        <f t="shared" si="33"/>
        <v>-5743.5212709302587</v>
      </c>
      <c r="S74" s="66">
        <f t="shared" si="33"/>
        <v>-4776.3727320717908</v>
      </c>
      <c r="T74" s="66">
        <f t="shared" si="33"/>
        <v>-3968.0961738773094</v>
      </c>
      <c r="U74" s="66">
        <f t="shared" si="33"/>
        <v>-3226.5580470933814</v>
      </c>
      <c r="V74" s="66">
        <f t="shared" si="33"/>
        <v>-2546.2478390347319</v>
      </c>
      <c r="W74" s="66">
        <f t="shared" si="33"/>
        <v>-1922.1100334763378</v>
      </c>
      <c r="X74" s="66">
        <f t="shared" si="33"/>
        <v>-1293.5298428596345</v>
      </c>
      <c r="Y74" s="66">
        <f t="shared" si="33"/>
        <v>-768.20553887983999</v>
      </c>
      <c r="Z74" s="66">
        <f t="shared" si="33"/>
        <v>-286.25663614608362</v>
      </c>
      <c r="AA74" s="66"/>
      <c r="AB74" s="7"/>
    </row>
    <row r="75" spans="1:28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 spans="1:28" x14ac:dyDescent="0.2">
      <c r="B76" s="81" t="s">
        <v>149</v>
      </c>
      <c r="C76" s="81"/>
      <c r="D76" s="81"/>
      <c r="E76" s="81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 spans="1:28" x14ac:dyDescent="0.2">
      <c r="B77" s="10"/>
      <c r="C77" s="10" t="s">
        <v>150</v>
      </c>
      <c r="D77" s="10"/>
      <c r="E77" s="76">
        <f>IRR($G$67:$AA$67)</f>
        <v>0.12012134148717601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28" x14ac:dyDescent="0.2">
      <c r="B78" s="10"/>
      <c r="C78" s="10" t="s">
        <v>151</v>
      </c>
      <c r="D78" s="10"/>
      <c r="E78" s="76">
        <f>IFERROR(IRR($G$67:$Z$67),"n/a")</f>
        <v>8.7894626529008368E-2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 spans="1:28" x14ac:dyDescent="0.2">
      <c r="B79" s="10"/>
      <c r="C79" s="10" t="s">
        <v>152</v>
      </c>
      <c r="D79" s="10"/>
      <c r="E79" s="76">
        <f>$E$24</f>
        <v>0.09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 spans="1:28" x14ac:dyDescent="0.2">
      <c r="B80" s="10"/>
      <c r="C80" s="10" t="s">
        <v>153</v>
      </c>
      <c r="D80" s="10"/>
      <c r="E80" s="77">
        <f>SUM($G$73:$AA$73)</f>
        <v>6030.2427443749693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 spans="2:27" x14ac:dyDescent="0.2">
      <c r="B81" s="10"/>
      <c r="C81" s="10" t="s">
        <v>154</v>
      </c>
      <c r="D81" s="10"/>
      <c r="E81" s="77">
        <f>SUM($G$73:$Z$73)</f>
        <v>-286.25663614608362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 spans="2:27" x14ac:dyDescent="0.2">
      <c r="B82" s="10"/>
      <c r="C82" s="10" t="s">
        <v>155</v>
      </c>
      <c r="D82" s="10"/>
      <c r="E82" s="77">
        <f>$AA$73</f>
        <v>6316.4993805210534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 spans="2:27" x14ac:dyDescent="0.2">
      <c r="B83" s="10"/>
      <c r="C83" s="10" t="s">
        <v>156</v>
      </c>
      <c r="D83" s="10"/>
      <c r="E83" s="78">
        <f>SUMIF($G$73:$AA$73,"&gt;0")/-SUMIF($G$73:$AA$73,"&lt;0")</f>
        <v>1.3019664720941933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 spans="2:27" x14ac:dyDescent="0.2">
      <c r="B84" s="10"/>
      <c r="C84" s="10"/>
      <c r="D84" s="10"/>
      <c r="E84" s="79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 spans="2:27" x14ac:dyDescent="0.2">
      <c r="B85" s="81" t="s">
        <v>157</v>
      </c>
      <c r="C85" s="81"/>
      <c r="D85" s="81"/>
      <c r="E85" s="83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 spans="2:27" x14ac:dyDescent="0.2">
      <c r="B86" s="10"/>
      <c r="C86" s="10" t="s">
        <v>158</v>
      </c>
      <c r="D86" s="10"/>
      <c r="E86" s="77">
        <f>-SUMIF($G$67:$Z$67,"&lt;0")</f>
        <v>21767.200000000001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 spans="2:27" x14ac:dyDescent="0.2">
      <c r="B87" s="10"/>
      <c r="C87" s="10" t="s">
        <v>159</v>
      </c>
      <c r="D87" s="10"/>
      <c r="E87" s="77">
        <f>-MIN(0,MIN($G$71:$Z$71))</f>
        <v>21767.200000000001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 spans="2:27" x14ac:dyDescent="0.2">
      <c r="B88" s="10"/>
      <c r="C88" s="10" t="s">
        <v>160</v>
      </c>
      <c r="D88" s="10"/>
      <c r="E88" s="63">
        <f>INDEX($G$6:$Z$6,MATCH(MIN($G$71:$Z$71),$G$71:$Z$71,0))</f>
        <v>2027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 spans="2:27" x14ac:dyDescent="0.2">
      <c r="B89" s="10"/>
      <c r="C89" s="10" t="s">
        <v>161</v>
      </c>
      <c r="D89" s="10"/>
      <c r="E89" s="63">
        <f>COUNTIF($G$67:$Z$67,"&lt;0")</f>
        <v>1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 spans="2:27" x14ac:dyDescent="0.2">
      <c r="B90" s="10"/>
      <c r="C90" s="10" t="s">
        <v>1041</v>
      </c>
      <c r="D90" s="10"/>
      <c r="E90" s="315">
        <f>IF(COUNTIF($G$71:$Z$71,"&lt;0")=COUNT($G$71:$Z$71),"&gt; 20 years",COUNTIF($G$71:$Z$71,"&lt;0"))</f>
        <v>9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 spans="2:27" x14ac:dyDescent="0.2">
      <c r="B91" s="10"/>
      <c r="C91" s="10"/>
      <c r="D91" s="10"/>
      <c r="E91" s="79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 spans="2:27" x14ac:dyDescent="0.2">
      <c r="B92" s="81" t="s">
        <v>162</v>
      </c>
      <c r="C92" s="81"/>
      <c r="D92" s="81"/>
      <c r="E92" s="83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2:27" x14ac:dyDescent="0.2">
      <c r="B93" s="10"/>
      <c r="C93" s="10" t="s">
        <v>163</v>
      </c>
      <c r="D93" s="10"/>
      <c r="E93" s="77">
        <f>SUMIF($G$67:$Z$67,"&gt;0")</f>
        <v>44711.249069999991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 spans="2:27" x14ac:dyDescent="0.2">
      <c r="B94" s="10"/>
      <c r="C94" s="10" t="s">
        <v>164</v>
      </c>
      <c r="D94" s="10"/>
      <c r="E94" s="77">
        <f>SUM($G$67:$Z$67)</f>
        <v>22944.049070000001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 spans="2:27" x14ac:dyDescent="0.2">
      <c r="B95" s="10"/>
      <c r="C95" s="10" t="s">
        <v>165</v>
      </c>
      <c r="D95" s="10"/>
      <c r="E95" s="78">
        <f>E93/E86</f>
        <v>2.0540652481715602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 spans="2:27" x14ac:dyDescent="0.2">
      <c r="B96" s="10"/>
      <c r="C96" s="10" t="s">
        <v>166</v>
      </c>
      <c r="D96" s="10"/>
      <c r="E96" s="78">
        <f>(E93+$AA$67)/E86</f>
        <v>3.6803771827730314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 spans="2:27" x14ac:dyDescent="0.2">
      <c r="B97" s="10"/>
      <c r="C97" s="10" t="s">
        <v>167</v>
      </c>
      <c r="D97" s="10"/>
      <c r="E97" s="77">
        <f>IFERROR(AVERAGEIF($G$67:$Z$67,"&gt;0"),0)</f>
        <v>2483.9582816666662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 spans="2:27" x14ac:dyDescent="0.2">
      <c r="B98" s="10"/>
      <c r="C98" s="10" t="s">
        <v>168</v>
      </c>
      <c r="D98" s="10"/>
      <c r="E98" s="76">
        <f>IFERROR(E97/E87,"n/a")</f>
        <v>0.11411473600953113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 spans="2:27" x14ac:dyDescent="0.2">
      <c r="B99" s="10"/>
      <c r="C99" s="10"/>
      <c r="D99" s="10"/>
      <c r="E99" s="79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 spans="2:27" x14ac:dyDescent="0.2"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 spans="2:27" x14ac:dyDescent="0.2"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 spans="2:27" x14ac:dyDescent="0.2"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 spans="2:27" x14ac:dyDescent="0.2"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 spans="2:27" x14ac:dyDescent="0.2"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 spans="2:27" x14ac:dyDescent="0.2"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 spans="2:27" x14ac:dyDescent="0.2">
      <c r="B106" s="84" t="s">
        <v>1031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8" spans="2:27" x14ac:dyDescent="0.2">
      <c r="B108" s="24" t="s">
        <v>1045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 spans="2:27" x14ac:dyDescent="0.2">
      <c r="B109" s="322" t="s">
        <v>1069</v>
      </c>
    </row>
    <row r="110" spans="2:27" x14ac:dyDescent="0.2">
      <c r="C110" t="s">
        <v>1046</v>
      </c>
      <c r="E110" s="327">
        <f>'CONVENTION CENTER'!$E$65</f>
        <v>0.18</v>
      </c>
    </row>
    <row r="111" spans="2:27" x14ac:dyDescent="0.2">
      <c r="C111" t="s">
        <v>1061</v>
      </c>
      <c r="E111" s="326">
        <v>3</v>
      </c>
    </row>
    <row r="112" spans="2:27" x14ac:dyDescent="0.2">
      <c r="C112" t="s">
        <v>1047</v>
      </c>
      <c r="E112" s="327">
        <f>'CONVENTION CENTER'!$E$68</f>
        <v>0.04</v>
      </c>
    </row>
    <row r="113" spans="2:27" x14ac:dyDescent="0.2">
      <c r="C113" t="s">
        <v>1048</v>
      </c>
      <c r="E113" s="327">
        <f>'CONVENTION CENTER'!$E$69</f>
        <v>0.03</v>
      </c>
    </row>
    <row r="114" spans="2:27" x14ac:dyDescent="0.2">
      <c r="C114" t="s">
        <v>1063</v>
      </c>
      <c r="E114" s="314">
        <f>INDEX($G$49:$Z$49,MATCH($E$115+1,$G$6:$Z$6,0))</f>
        <v>2773.89</v>
      </c>
    </row>
    <row r="115" spans="2:27" x14ac:dyDescent="0.2">
      <c r="C115" t="s">
        <v>1062</v>
      </c>
      <c r="E115" s="330">
        <f>$E$21+$E$111-1</f>
        <v>2030</v>
      </c>
    </row>
    <row r="117" spans="2:27" x14ac:dyDescent="0.2">
      <c r="B117" s="24" t="s">
        <v>1049</v>
      </c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 spans="2:27" x14ac:dyDescent="0.2">
      <c r="C118" t="s">
        <v>1064</v>
      </c>
      <c r="E118" s="314" cm="1">
        <f t="array" ref="E118">(SUMPRODUCT($G$36:$Z$36,1/(1+$E$110)^($G$6:$Z$6-$G$6))-SUMPRODUCT(($G$6:$Z$6&lt;=$E$115)*($G$64:$Z$64+$G$65:$Z$65),1/(1+$E$110)^($G$6:$Z$6-$G$6)))*(1+$E$110)^($E$115-$G$6)/(1-$E$112-$E$113)</f>
        <v>29781.268608383652</v>
      </c>
    </row>
    <row r="119" spans="2:27" x14ac:dyDescent="0.2">
      <c r="C119" t="s">
        <v>568</v>
      </c>
      <c r="E119" s="328">
        <f>ROUNDUP($E$118,-2)</f>
        <v>29800</v>
      </c>
    </row>
    <row r="120" spans="2:27" x14ac:dyDescent="0.2">
      <c r="C120" t="s">
        <v>569</v>
      </c>
      <c r="E120" s="314">
        <f>$E$119*1000/$E$12</f>
        <v>9254.6583850931675</v>
      </c>
    </row>
    <row r="121" spans="2:27" x14ac:dyDescent="0.2">
      <c r="C121" t="s">
        <v>570</v>
      </c>
      <c r="E121" s="314">
        <f>$E$36*1000/$E$12</f>
        <v>6760</v>
      </c>
    </row>
    <row r="122" spans="2:27" x14ac:dyDescent="0.2">
      <c r="C122" t="s">
        <v>489</v>
      </c>
      <c r="E122" s="320">
        <f>($E$119*(1-$E$112-$E$113)-$E$36)/$E$119</f>
        <v>0.19955704697986562</v>
      </c>
    </row>
    <row r="123" spans="2:27" x14ac:dyDescent="0.2">
      <c r="C123" t="s">
        <v>1065</v>
      </c>
      <c r="E123" s="320">
        <f>$E$114/$E$119</f>
        <v>9.3083557046979862E-2</v>
      </c>
    </row>
    <row r="124" spans="2:27" x14ac:dyDescent="0.2">
      <c r="C124" t="s">
        <v>1050</v>
      </c>
      <c r="E124" s="320">
        <f>$E$25</f>
        <v>7.0000000000000007E-2</v>
      </c>
    </row>
    <row r="126" spans="2:27" x14ac:dyDescent="0.2">
      <c r="B126" s="24" t="s">
        <v>1051</v>
      </c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 spans="2:27" x14ac:dyDescent="0.2">
      <c r="C127" t="s">
        <v>1066</v>
      </c>
      <c r="E127" s="314">
        <f t="shared" ref="E127:E132" si="34">SUM(G127:Z127)</f>
        <v>29800</v>
      </c>
      <c r="F127" s="314"/>
      <c r="G127" s="314">
        <f>$E$119*(G$6=$E$115)</f>
        <v>0</v>
      </c>
      <c r="H127" s="314">
        <f t="shared" ref="H127:Z127" si="35">$E$119*(H$6=$E$115)</f>
        <v>0</v>
      </c>
      <c r="I127" s="314">
        <f t="shared" si="35"/>
        <v>0</v>
      </c>
      <c r="J127" s="314">
        <f t="shared" si="35"/>
        <v>0</v>
      </c>
      <c r="K127" s="314">
        <f t="shared" si="35"/>
        <v>29800</v>
      </c>
      <c r="L127" s="314">
        <f t="shared" si="35"/>
        <v>0</v>
      </c>
      <c r="M127" s="314">
        <f t="shared" si="35"/>
        <v>0</v>
      </c>
      <c r="N127" s="314">
        <f t="shared" si="35"/>
        <v>0</v>
      </c>
      <c r="O127" s="314">
        <f t="shared" si="35"/>
        <v>0</v>
      </c>
      <c r="P127" s="314">
        <f t="shared" si="35"/>
        <v>0</v>
      </c>
      <c r="Q127" s="314">
        <f t="shared" si="35"/>
        <v>0</v>
      </c>
      <c r="R127" s="314">
        <f t="shared" si="35"/>
        <v>0</v>
      </c>
      <c r="S127" s="314">
        <f t="shared" si="35"/>
        <v>0</v>
      </c>
      <c r="T127" s="314">
        <f t="shared" si="35"/>
        <v>0</v>
      </c>
      <c r="U127" s="314">
        <f t="shared" si="35"/>
        <v>0</v>
      </c>
      <c r="V127" s="314">
        <f t="shared" si="35"/>
        <v>0</v>
      </c>
      <c r="W127" s="314">
        <f t="shared" si="35"/>
        <v>0</v>
      </c>
      <c r="X127" s="314">
        <f t="shared" si="35"/>
        <v>0</v>
      </c>
      <c r="Y127" s="314">
        <f t="shared" si="35"/>
        <v>0</v>
      </c>
      <c r="Z127" s="314">
        <f t="shared" si="35"/>
        <v>0</v>
      </c>
    </row>
    <row r="128" spans="2:27" x14ac:dyDescent="0.2">
      <c r="C128" t="s">
        <v>492</v>
      </c>
      <c r="E128" s="314">
        <f t="shared" si="34"/>
        <v>-1192</v>
      </c>
      <c r="F128" s="314"/>
      <c r="G128" s="314">
        <f>-G127*$E$112</f>
        <v>0</v>
      </c>
      <c r="H128" s="314">
        <f>-H127*$E$112</f>
        <v>0</v>
      </c>
      <c r="I128" s="314">
        <f t="shared" ref="I128:Z128" si="36">-I127*$E$112</f>
        <v>0</v>
      </c>
      <c r="J128" s="314">
        <f t="shared" si="36"/>
        <v>0</v>
      </c>
      <c r="K128" s="314">
        <f t="shared" si="36"/>
        <v>-1192</v>
      </c>
      <c r="L128" s="314">
        <f t="shared" si="36"/>
        <v>0</v>
      </c>
      <c r="M128" s="314">
        <f t="shared" si="36"/>
        <v>0</v>
      </c>
      <c r="N128" s="314">
        <f t="shared" si="36"/>
        <v>0</v>
      </c>
      <c r="O128" s="314">
        <f t="shared" si="36"/>
        <v>0</v>
      </c>
      <c r="P128" s="314">
        <f t="shared" si="36"/>
        <v>0</v>
      </c>
      <c r="Q128" s="314">
        <f t="shared" si="36"/>
        <v>0</v>
      </c>
      <c r="R128" s="314">
        <f t="shared" si="36"/>
        <v>0</v>
      </c>
      <c r="S128" s="314">
        <f t="shared" si="36"/>
        <v>0</v>
      </c>
      <c r="T128" s="314">
        <f t="shared" si="36"/>
        <v>0</v>
      </c>
      <c r="U128" s="314">
        <f t="shared" si="36"/>
        <v>0</v>
      </c>
      <c r="V128" s="314">
        <f t="shared" si="36"/>
        <v>0</v>
      </c>
      <c r="W128" s="314">
        <f t="shared" si="36"/>
        <v>0</v>
      </c>
      <c r="X128" s="314">
        <f t="shared" si="36"/>
        <v>0</v>
      </c>
      <c r="Y128" s="314">
        <f t="shared" si="36"/>
        <v>0</v>
      </c>
      <c r="Z128" s="314">
        <f t="shared" si="36"/>
        <v>0</v>
      </c>
    </row>
    <row r="129" spans="2:27" x14ac:dyDescent="0.2">
      <c r="C129" t="s">
        <v>478</v>
      </c>
      <c r="E129" s="314">
        <f t="shared" si="34"/>
        <v>-894</v>
      </c>
      <c r="F129" s="314"/>
      <c r="G129" s="314">
        <f>-G127*$E$113</f>
        <v>0</v>
      </c>
      <c r="H129" s="314">
        <f>-H127*$E$113</f>
        <v>0</v>
      </c>
      <c r="I129" s="314">
        <f t="shared" ref="I129:Z129" si="37">-I127*$E$113</f>
        <v>0</v>
      </c>
      <c r="J129" s="314">
        <f t="shared" si="37"/>
        <v>0</v>
      </c>
      <c r="K129" s="314">
        <f t="shared" si="37"/>
        <v>-894</v>
      </c>
      <c r="L129" s="314">
        <f t="shared" si="37"/>
        <v>0</v>
      </c>
      <c r="M129" s="314">
        <f t="shared" si="37"/>
        <v>0</v>
      </c>
      <c r="N129" s="314">
        <f t="shared" si="37"/>
        <v>0</v>
      </c>
      <c r="O129" s="314">
        <f t="shared" si="37"/>
        <v>0</v>
      </c>
      <c r="P129" s="314">
        <f t="shared" si="37"/>
        <v>0</v>
      </c>
      <c r="Q129" s="314">
        <f t="shared" si="37"/>
        <v>0</v>
      </c>
      <c r="R129" s="314">
        <f t="shared" si="37"/>
        <v>0</v>
      </c>
      <c r="S129" s="314">
        <f t="shared" si="37"/>
        <v>0</v>
      </c>
      <c r="T129" s="314">
        <f t="shared" si="37"/>
        <v>0</v>
      </c>
      <c r="U129" s="314">
        <f t="shared" si="37"/>
        <v>0</v>
      </c>
      <c r="V129" s="314">
        <f t="shared" si="37"/>
        <v>0</v>
      </c>
      <c r="W129" s="314">
        <f t="shared" si="37"/>
        <v>0</v>
      </c>
      <c r="X129" s="314">
        <f t="shared" si="37"/>
        <v>0</v>
      </c>
      <c r="Y129" s="314">
        <f t="shared" si="37"/>
        <v>0</v>
      </c>
      <c r="Z129" s="314">
        <f t="shared" si="37"/>
        <v>0</v>
      </c>
    </row>
    <row r="130" spans="2:27" x14ac:dyDescent="0.2">
      <c r="C130" t="s">
        <v>1067</v>
      </c>
      <c r="E130" s="314">
        <f t="shared" si="34"/>
        <v>6814.2391680000001</v>
      </c>
      <c r="F130" s="314"/>
      <c r="G130" s="314">
        <f>IF(G$6&lt;=$E$115,G64+G65,0)</f>
        <v>0</v>
      </c>
      <c r="H130" s="314">
        <f t="shared" ref="H130:Z130" si="38">IF(H$6&lt;=$E$115,H64+H65,0)</f>
        <v>0</v>
      </c>
      <c r="I130" s="314">
        <f t="shared" si="38"/>
        <v>2226.3058679999999</v>
      </c>
      <c r="J130" s="314">
        <f t="shared" si="38"/>
        <v>2109.9153000000001</v>
      </c>
      <c r="K130" s="314">
        <f t="shared" si="38"/>
        <v>2478.018</v>
      </c>
      <c r="L130" s="314">
        <f t="shared" si="38"/>
        <v>0</v>
      </c>
      <c r="M130" s="314">
        <f t="shared" si="38"/>
        <v>0</v>
      </c>
      <c r="N130" s="314">
        <f t="shared" si="38"/>
        <v>0</v>
      </c>
      <c r="O130" s="314">
        <f t="shared" si="38"/>
        <v>0</v>
      </c>
      <c r="P130" s="314">
        <f t="shared" si="38"/>
        <v>0</v>
      </c>
      <c r="Q130" s="314">
        <f t="shared" si="38"/>
        <v>0</v>
      </c>
      <c r="R130" s="314">
        <f t="shared" si="38"/>
        <v>0</v>
      </c>
      <c r="S130" s="314">
        <f t="shared" si="38"/>
        <v>0</v>
      </c>
      <c r="T130" s="314">
        <f t="shared" si="38"/>
        <v>0</v>
      </c>
      <c r="U130" s="314">
        <f t="shared" si="38"/>
        <v>0</v>
      </c>
      <c r="V130" s="314">
        <f t="shared" si="38"/>
        <v>0</v>
      </c>
      <c r="W130" s="314">
        <f t="shared" si="38"/>
        <v>0</v>
      </c>
      <c r="X130" s="314">
        <f t="shared" si="38"/>
        <v>0</v>
      </c>
      <c r="Y130" s="314">
        <f t="shared" si="38"/>
        <v>0</v>
      </c>
      <c r="Z130" s="314">
        <f t="shared" si="38"/>
        <v>0</v>
      </c>
    </row>
    <row r="131" spans="2:27" x14ac:dyDescent="0.2">
      <c r="C131" t="s">
        <v>1052</v>
      </c>
      <c r="E131" s="314">
        <f t="shared" si="34"/>
        <v>-21767.200000000001</v>
      </c>
      <c r="F131" s="314"/>
      <c r="G131" s="314">
        <f>-G36</f>
        <v>0</v>
      </c>
      <c r="H131" s="314">
        <f>-H36</f>
        <v>-21767.200000000001</v>
      </c>
      <c r="I131" s="314">
        <f t="shared" ref="I131:Z131" si="39">-I36</f>
        <v>0</v>
      </c>
      <c r="J131" s="314">
        <f t="shared" si="39"/>
        <v>0</v>
      </c>
      <c r="K131" s="314">
        <f t="shared" si="39"/>
        <v>0</v>
      </c>
      <c r="L131" s="314">
        <f t="shared" si="39"/>
        <v>0</v>
      </c>
      <c r="M131" s="314">
        <f t="shared" si="39"/>
        <v>0</v>
      </c>
      <c r="N131" s="314">
        <f t="shared" si="39"/>
        <v>0</v>
      </c>
      <c r="O131" s="314">
        <f t="shared" si="39"/>
        <v>0</v>
      </c>
      <c r="P131" s="314">
        <f t="shared" si="39"/>
        <v>0</v>
      </c>
      <c r="Q131" s="314">
        <f t="shared" si="39"/>
        <v>0</v>
      </c>
      <c r="R131" s="314">
        <f t="shared" si="39"/>
        <v>0</v>
      </c>
      <c r="S131" s="314">
        <f t="shared" si="39"/>
        <v>0</v>
      </c>
      <c r="T131" s="314">
        <f t="shared" si="39"/>
        <v>0</v>
      </c>
      <c r="U131" s="314">
        <f t="shared" si="39"/>
        <v>0</v>
      </c>
      <c r="V131" s="314">
        <f t="shared" si="39"/>
        <v>0</v>
      </c>
      <c r="W131" s="314">
        <f t="shared" si="39"/>
        <v>0</v>
      </c>
      <c r="X131" s="314">
        <f t="shared" si="39"/>
        <v>0</v>
      </c>
      <c r="Y131" s="314">
        <f t="shared" si="39"/>
        <v>0</v>
      </c>
      <c r="Z131" s="314">
        <f t="shared" si="39"/>
        <v>0</v>
      </c>
    </row>
    <row r="132" spans="2:27" x14ac:dyDescent="0.2">
      <c r="B132" s="31" t="s">
        <v>1053</v>
      </c>
      <c r="C132" s="31"/>
      <c r="D132" s="31"/>
      <c r="E132" s="32">
        <f t="shared" si="34"/>
        <v>12761.039167999999</v>
      </c>
      <c r="F132" s="32"/>
      <c r="G132" s="32">
        <f>SUM(G127:G131)</f>
        <v>0</v>
      </c>
      <c r="H132" s="32">
        <f t="shared" ref="H132:Z132" si="40">SUM(H127:H131)</f>
        <v>-21767.200000000001</v>
      </c>
      <c r="I132" s="32">
        <f t="shared" si="40"/>
        <v>2226.3058679999999</v>
      </c>
      <c r="J132" s="32">
        <f t="shared" si="40"/>
        <v>2109.9153000000001</v>
      </c>
      <c r="K132" s="32">
        <f t="shared" si="40"/>
        <v>30192.018</v>
      </c>
      <c r="L132" s="32">
        <f t="shared" si="40"/>
        <v>0</v>
      </c>
      <c r="M132" s="32">
        <f t="shared" si="40"/>
        <v>0</v>
      </c>
      <c r="N132" s="32">
        <f t="shared" si="40"/>
        <v>0</v>
      </c>
      <c r="O132" s="32">
        <f t="shared" si="40"/>
        <v>0</v>
      </c>
      <c r="P132" s="32">
        <f t="shared" si="40"/>
        <v>0</v>
      </c>
      <c r="Q132" s="32">
        <f t="shared" si="40"/>
        <v>0</v>
      </c>
      <c r="R132" s="32">
        <f t="shared" si="40"/>
        <v>0</v>
      </c>
      <c r="S132" s="32">
        <f t="shared" si="40"/>
        <v>0</v>
      </c>
      <c r="T132" s="32">
        <f t="shared" si="40"/>
        <v>0</v>
      </c>
      <c r="U132" s="32">
        <f t="shared" si="40"/>
        <v>0</v>
      </c>
      <c r="V132" s="32">
        <f t="shared" si="40"/>
        <v>0</v>
      </c>
      <c r="W132" s="32">
        <f t="shared" si="40"/>
        <v>0</v>
      </c>
      <c r="X132" s="32">
        <f t="shared" si="40"/>
        <v>0</v>
      </c>
      <c r="Y132" s="32">
        <f t="shared" si="40"/>
        <v>0</v>
      </c>
      <c r="Z132" s="32">
        <f t="shared" si="40"/>
        <v>0</v>
      </c>
      <c r="AA132" s="32"/>
    </row>
    <row r="133" spans="2:27" x14ac:dyDescent="0.2">
      <c r="C133" t="s">
        <v>101</v>
      </c>
      <c r="E133" s="314"/>
      <c r="F133" s="314"/>
      <c r="G133" s="314">
        <f>G132</f>
        <v>0</v>
      </c>
      <c r="H133" s="314">
        <f>G133+H132</f>
        <v>-21767.200000000001</v>
      </c>
      <c r="I133" s="314">
        <f t="shared" ref="I133:Z133" si="41">H133+I132</f>
        <v>-19540.894132000001</v>
      </c>
      <c r="J133" s="314">
        <f t="shared" si="41"/>
        <v>-17430.978832000001</v>
      </c>
      <c r="K133" s="314">
        <f t="shared" si="41"/>
        <v>12761.039167999999</v>
      </c>
      <c r="L133" s="314">
        <f t="shared" si="41"/>
        <v>12761.039167999999</v>
      </c>
      <c r="M133" s="314">
        <f t="shared" si="41"/>
        <v>12761.039167999999</v>
      </c>
      <c r="N133" s="314">
        <f t="shared" si="41"/>
        <v>12761.039167999999</v>
      </c>
      <c r="O133" s="314">
        <f t="shared" si="41"/>
        <v>12761.039167999999</v>
      </c>
      <c r="P133" s="314">
        <f t="shared" si="41"/>
        <v>12761.039167999999</v>
      </c>
      <c r="Q133" s="314">
        <f t="shared" si="41"/>
        <v>12761.039167999999</v>
      </c>
      <c r="R133" s="314">
        <f t="shared" si="41"/>
        <v>12761.039167999999</v>
      </c>
      <c r="S133" s="314">
        <f t="shared" si="41"/>
        <v>12761.039167999999</v>
      </c>
      <c r="T133" s="314">
        <f t="shared" si="41"/>
        <v>12761.039167999999</v>
      </c>
      <c r="U133" s="314">
        <f t="shared" si="41"/>
        <v>12761.039167999999</v>
      </c>
      <c r="V133" s="314">
        <f t="shared" si="41"/>
        <v>12761.039167999999</v>
      </c>
      <c r="W133" s="314">
        <f t="shared" si="41"/>
        <v>12761.039167999999</v>
      </c>
      <c r="X133" s="314">
        <f t="shared" si="41"/>
        <v>12761.039167999999</v>
      </c>
      <c r="Y133" s="314">
        <f t="shared" si="41"/>
        <v>12761.039167999999</v>
      </c>
      <c r="Z133" s="314">
        <f t="shared" si="41"/>
        <v>12761.039167999999</v>
      </c>
    </row>
    <row r="134" spans="2:27" x14ac:dyDescent="0.2">
      <c r="C134" t="s">
        <v>144</v>
      </c>
      <c r="G134" s="323">
        <f>G72</f>
        <v>1</v>
      </c>
      <c r="H134" s="323">
        <f t="shared" ref="H134:Z134" si="42">H72</f>
        <v>0.9174311926605504</v>
      </c>
      <c r="I134" s="323">
        <f t="shared" si="42"/>
        <v>0.84167999326655996</v>
      </c>
      <c r="J134" s="323">
        <f t="shared" si="42"/>
        <v>0.77218348006106419</v>
      </c>
      <c r="K134" s="323">
        <f t="shared" si="42"/>
        <v>0.7084252110651964</v>
      </c>
      <c r="L134" s="323">
        <f t="shared" si="42"/>
        <v>0.64993138629834524</v>
      </c>
      <c r="M134" s="323">
        <f t="shared" si="42"/>
        <v>0.5962673268792158</v>
      </c>
      <c r="N134" s="323">
        <f t="shared" si="42"/>
        <v>0.54703424484331731</v>
      </c>
      <c r="O134" s="323">
        <f t="shared" si="42"/>
        <v>0.50186627967276809</v>
      </c>
      <c r="P134" s="323">
        <f t="shared" si="42"/>
        <v>0.46042777951630098</v>
      </c>
      <c r="Q134" s="323">
        <f t="shared" si="42"/>
        <v>0.42241080689568894</v>
      </c>
      <c r="R134" s="323">
        <f t="shared" si="42"/>
        <v>0.38753285036301738</v>
      </c>
      <c r="S134" s="323">
        <f t="shared" si="42"/>
        <v>0.35553472510368567</v>
      </c>
      <c r="T134" s="323">
        <f t="shared" si="42"/>
        <v>0.32617864688411524</v>
      </c>
      <c r="U134" s="323">
        <f t="shared" si="42"/>
        <v>0.29924646503129837</v>
      </c>
      <c r="V134" s="323">
        <f t="shared" si="42"/>
        <v>0.27453804131311776</v>
      </c>
      <c r="W134" s="323">
        <f t="shared" si="42"/>
        <v>0.2518697626725851</v>
      </c>
      <c r="X134" s="323">
        <f t="shared" si="42"/>
        <v>0.23107317676383954</v>
      </c>
      <c r="Y134" s="323">
        <f t="shared" si="42"/>
        <v>0.21199374015031147</v>
      </c>
      <c r="Z134" s="323">
        <f t="shared" si="42"/>
        <v>0.19448966986267105</v>
      </c>
    </row>
    <row r="135" spans="2:27" x14ac:dyDescent="0.2">
      <c r="C135" t="s">
        <v>145</v>
      </c>
      <c r="G135" s="314">
        <f>G132*G134</f>
        <v>0</v>
      </c>
      <c r="H135" s="314">
        <f>H132*H134</f>
        <v>-19969.908256880732</v>
      </c>
      <c r="I135" s="314">
        <f t="shared" ref="I135:Z135" si="43">I132*I134</f>
        <v>1873.8371079875428</v>
      </c>
      <c r="J135" s="314">
        <f t="shared" si="43"/>
        <v>1629.2417389880843</v>
      </c>
      <c r="K135" s="314">
        <f t="shared" si="43"/>
        <v>21388.78672413421</v>
      </c>
      <c r="L135" s="314">
        <f t="shared" si="43"/>
        <v>0</v>
      </c>
      <c r="M135" s="314">
        <f t="shared" si="43"/>
        <v>0</v>
      </c>
      <c r="N135" s="314">
        <f t="shared" si="43"/>
        <v>0</v>
      </c>
      <c r="O135" s="314">
        <f t="shared" si="43"/>
        <v>0</v>
      </c>
      <c r="P135" s="314">
        <f t="shared" si="43"/>
        <v>0</v>
      </c>
      <c r="Q135" s="314">
        <f t="shared" si="43"/>
        <v>0</v>
      </c>
      <c r="R135" s="314">
        <f t="shared" si="43"/>
        <v>0</v>
      </c>
      <c r="S135" s="314">
        <f t="shared" si="43"/>
        <v>0</v>
      </c>
      <c r="T135" s="314">
        <f t="shared" si="43"/>
        <v>0</v>
      </c>
      <c r="U135" s="314">
        <f t="shared" si="43"/>
        <v>0</v>
      </c>
      <c r="V135" s="314">
        <f t="shared" si="43"/>
        <v>0</v>
      </c>
      <c r="W135" s="314">
        <f t="shared" si="43"/>
        <v>0</v>
      </c>
      <c r="X135" s="314">
        <f t="shared" si="43"/>
        <v>0</v>
      </c>
      <c r="Y135" s="314">
        <f t="shared" si="43"/>
        <v>0</v>
      </c>
      <c r="Z135" s="314">
        <f t="shared" si="43"/>
        <v>0</v>
      </c>
    </row>
    <row r="137" spans="2:27" x14ac:dyDescent="0.2">
      <c r="B137" s="24" t="s">
        <v>1054</v>
      </c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 spans="2:27" x14ac:dyDescent="0.2">
      <c r="C138" t="s">
        <v>111</v>
      </c>
      <c r="E138" s="329">
        <f>IFERROR(IRR($G$132:$Z$132),"n/a")</f>
        <v>0.18020843150487265</v>
      </c>
    </row>
    <row r="139" spans="2:27" x14ac:dyDescent="0.2">
      <c r="C139" t="s">
        <v>152</v>
      </c>
      <c r="E139" s="320">
        <f>$E$24</f>
        <v>0.09</v>
      </c>
    </row>
    <row r="140" spans="2:27" x14ac:dyDescent="0.2">
      <c r="C140" t="s">
        <v>104</v>
      </c>
      <c r="E140" s="314">
        <f>SUM($G$135:$Z$135)</f>
        <v>4921.9573142291047</v>
      </c>
    </row>
    <row r="141" spans="2:27" x14ac:dyDescent="0.2">
      <c r="C141" t="s">
        <v>158</v>
      </c>
      <c r="E141" s="314">
        <f>-SUMIF($G$132:$Z$132,"&lt;0")</f>
        <v>21767.200000000001</v>
      </c>
    </row>
    <row r="142" spans="2:27" x14ac:dyDescent="0.2">
      <c r="C142" t="s">
        <v>159</v>
      </c>
      <c r="E142" s="314">
        <f>-MIN(0,MIN($G$133:$Z$133))</f>
        <v>21767.200000000001</v>
      </c>
    </row>
    <row r="143" spans="2:27" x14ac:dyDescent="0.2">
      <c r="C143" t="s">
        <v>1041</v>
      </c>
      <c r="E143">
        <f>IF(COUNTIF($G$133:$Z$133,"&lt;0")=COUNT($G$133:$Z$133),"&gt; 20 years",COUNTIF($G$133:$Z$133,"&lt;0"))</f>
        <v>3</v>
      </c>
    </row>
    <row r="144" spans="2:27" x14ac:dyDescent="0.2">
      <c r="C144" t="s">
        <v>587</v>
      </c>
      <c r="E144" s="314">
        <f>SUM($G$132:$Z$132)</f>
        <v>12761.039167999999</v>
      </c>
    </row>
    <row r="145" spans="2:27" x14ac:dyDescent="0.2">
      <c r="C145" t="s">
        <v>588</v>
      </c>
      <c r="E145" s="324">
        <f>SUMIF($G$132:$Z$132,"&gt;0")/$E$141</f>
        <v>1.5862508346502995</v>
      </c>
    </row>
    <row r="147" spans="2:27" x14ac:dyDescent="0.2">
      <c r="B147" s="24" t="s">
        <v>1055</v>
      </c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 spans="2:27" x14ac:dyDescent="0.2">
      <c r="C148" s="325" t="s">
        <v>181</v>
      </c>
      <c r="D148" s="325"/>
      <c r="E148" s="325"/>
      <c r="F148" s="325"/>
      <c r="G148" s="325" t="s">
        <v>1056</v>
      </c>
      <c r="H148" s="325" t="s">
        <v>1057</v>
      </c>
      <c r="I148" s="325" t="s">
        <v>348</v>
      </c>
    </row>
    <row r="149" spans="2:27" x14ac:dyDescent="0.2">
      <c r="C149" t="s">
        <v>1058</v>
      </c>
      <c r="G149" s="320">
        <f>$E$77</f>
        <v>0.12012134148717601</v>
      </c>
      <c r="H149" s="320">
        <f>$E$138</f>
        <v>0.18020843150487265</v>
      </c>
      <c r="I149" s="320">
        <f t="shared" ref="I149:I154" si="44">H149-G149</f>
        <v>6.0087090017696632E-2</v>
      </c>
    </row>
    <row r="150" spans="2:27" x14ac:dyDescent="0.2">
      <c r="C150" t="s">
        <v>1059</v>
      </c>
      <c r="G150" s="314">
        <f>$E$80</f>
        <v>6030.2427443749693</v>
      </c>
      <c r="H150" s="314">
        <f>$E$140</f>
        <v>4921.9573142291047</v>
      </c>
      <c r="I150" s="314">
        <f t="shared" si="44"/>
        <v>-1108.2854301458647</v>
      </c>
    </row>
    <row r="151" spans="2:27" x14ac:dyDescent="0.2">
      <c r="C151" t="s">
        <v>182</v>
      </c>
      <c r="G151" s="314">
        <f>$E$86</f>
        <v>21767.200000000001</v>
      </c>
      <c r="H151" s="314">
        <f>$E$141</f>
        <v>21767.200000000001</v>
      </c>
      <c r="I151" s="314">
        <f t="shared" si="44"/>
        <v>0</v>
      </c>
    </row>
    <row r="152" spans="2:27" x14ac:dyDescent="0.2">
      <c r="C152" t="s">
        <v>159</v>
      </c>
      <c r="G152" s="314">
        <f>$E$87</f>
        <v>21767.200000000001</v>
      </c>
      <c r="H152" s="314">
        <f>$E$142</f>
        <v>21767.200000000001</v>
      </c>
      <c r="I152" s="314">
        <f t="shared" si="44"/>
        <v>0</v>
      </c>
    </row>
    <row r="153" spans="2:27" x14ac:dyDescent="0.2">
      <c r="C153" t="s">
        <v>1060</v>
      </c>
      <c r="G153" s="321">
        <f>$E$90</f>
        <v>9</v>
      </c>
      <c r="H153">
        <f>$E$143</f>
        <v>3</v>
      </c>
      <c r="I153" s="321">
        <f t="shared" si="44"/>
        <v>-6</v>
      </c>
    </row>
    <row r="154" spans="2:27" x14ac:dyDescent="0.2">
      <c r="C154" t="s">
        <v>993</v>
      </c>
      <c r="G154" s="314">
        <f>$E$94</f>
        <v>22944.049070000001</v>
      </c>
      <c r="H154" s="314">
        <f>$E$144</f>
        <v>12761.039167999999</v>
      </c>
      <c r="I154" s="314">
        <f t="shared" si="44"/>
        <v>-10183.009902000002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94F8-EADE-4D43-9C13-68792754D2FC}">
  <dimension ref="A1:AB217"/>
  <sheetViews>
    <sheetView showGridLines="0" zoomScale="125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E53" sqref="E53"/>
    </sheetView>
  </sheetViews>
  <sheetFormatPr baseColWidth="10" defaultRowHeight="15" outlineLevelRow="3" outlineLevelCol="3" x14ac:dyDescent="0.2"/>
  <cols>
    <col min="1" max="1" width="1.6640625" customWidth="1" outlineLevel="3"/>
    <col min="2" max="2" width="2.33203125" customWidth="1"/>
    <col min="3" max="3" width="55" customWidth="1"/>
    <col min="4" max="4" width="6.6640625" customWidth="1"/>
    <col min="5" max="5" width="14.1640625" customWidth="1"/>
    <col min="6" max="6" width="1.6640625" customWidth="1"/>
    <col min="7" max="27" width="10.33203125" customWidth="1"/>
    <col min="28" max="16384" width="10.83203125" outlineLevel="3"/>
  </cols>
  <sheetData>
    <row r="1" spans="1:28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>
        <v>0.06</v>
      </c>
    </row>
    <row r="2" spans="1:28" ht="16" x14ac:dyDescent="0.2">
      <c r="A2" s="10"/>
      <c r="B2" s="5" t="s">
        <v>256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>
        <v>0.06</v>
      </c>
    </row>
    <row r="3" spans="1:28" x14ac:dyDescent="0.2">
      <c r="A3" s="10"/>
      <c r="B3" s="23" t="s">
        <v>1044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>
        <v>0.06</v>
      </c>
    </row>
    <row r="4" spans="1:28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>
        <v>0.06</v>
      </c>
    </row>
    <row r="5" spans="1:28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>
        <v>0.06</v>
      </c>
    </row>
    <row r="6" spans="1:28" x14ac:dyDescent="0.2">
      <c r="A6" s="10"/>
      <c r="B6" s="24" t="s">
        <v>1</v>
      </c>
      <c r="C6" s="24"/>
      <c r="D6" s="24"/>
      <c r="E6" s="26" t="s">
        <v>115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10">
        <v>0.06</v>
      </c>
    </row>
    <row r="7" spans="1:28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>
        <v>0.06</v>
      </c>
    </row>
    <row r="8" spans="1:28" x14ac:dyDescent="0.2">
      <c r="A8" s="10"/>
      <c r="B8" s="24" t="s">
        <v>39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10">
        <v>0.06</v>
      </c>
    </row>
    <row r="9" spans="1:28" x14ac:dyDescent="0.2">
      <c r="A9" s="10"/>
      <c r="B9" s="10"/>
      <c r="C9" s="10" t="s">
        <v>356</v>
      </c>
      <c r="D9" s="10"/>
      <c r="E9" s="58">
        <v>193875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>
        <v>0.06</v>
      </c>
    </row>
    <row r="10" spans="1:28" x14ac:dyDescent="0.2">
      <c r="A10" s="10"/>
      <c r="B10" s="10"/>
      <c r="C10" s="10" t="s">
        <v>1043</v>
      </c>
      <c r="D10" s="10"/>
      <c r="E10" s="39">
        <v>0.1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x14ac:dyDescent="0.2">
      <c r="A11" s="10"/>
      <c r="B11" s="10"/>
      <c r="C11" s="10" t="s">
        <v>257</v>
      </c>
      <c r="D11" s="10"/>
      <c r="E11" s="114">
        <v>1.7500000000000002E-2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>
        <v>0.06</v>
      </c>
    </row>
    <row r="12" spans="1:28" x14ac:dyDescent="0.2">
      <c r="A12" s="10"/>
      <c r="B12" s="10"/>
      <c r="C12" s="10" t="s">
        <v>258</v>
      </c>
      <c r="D12" s="10"/>
      <c r="E12" s="40">
        <v>311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>
        <v>0.06</v>
      </c>
    </row>
    <row r="13" spans="1:28" x14ac:dyDescent="0.2">
      <c r="A13" s="10"/>
      <c r="B13" s="10"/>
      <c r="C13" s="10" t="s">
        <v>259</v>
      </c>
      <c r="D13" s="10"/>
      <c r="E13" s="58">
        <v>1100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>
        <v>0.06</v>
      </c>
    </row>
    <row r="14" spans="1:28" x14ac:dyDescent="0.2">
      <c r="A14" s="10"/>
      <c r="B14" s="10"/>
      <c r="C14" s="10" t="s">
        <v>260</v>
      </c>
      <c r="D14" s="10"/>
      <c r="E14" s="58">
        <v>120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>
        <v>0.06</v>
      </c>
    </row>
    <row r="15" spans="1:28" x14ac:dyDescent="0.2">
      <c r="A15" s="10"/>
      <c r="B15" s="10"/>
      <c r="C15" s="10" t="s">
        <v>261</v>
      </c>
      <c r="D15" s="10"/>
      <c r="E15" s="58">
        <v>37400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>
        <v>0.06</v>
      </c>
    </row>
    <row r="16" spans="1:28" x14ac:dyDescent="0.2">
      <c r="A16" s="10"/>
      <c r="B16" s="10"/>
      <c r="C16" s="10" t="s">
        <v>262</v>
      </c>
      <c r="D16" s="10"/>
      <c r="E16" s="58">
        <v>6000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>
        <v>0.06</v>
      </c>
    </row>
    <row r="17" spans="1:28" x14ac:dyDescent="0.2">
      <c r="A17" s="10"/>
      <c r="B17" s="10"/>
      <c r="C17" s="10" t="s">
        <v>263</v>
      </c>
      <c r="D17" s="10"/>
      <c r="E17" s="114">
        <v>1.7500000000000002E-2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>
        <v>0.06</v>
      </c>
    </row>
    <row r="18" spans="1:28" x14ac:dyDescent="0.2">
      <c r="A18" s="10"/>
      <c r="B18" s="10"/>
      <c r="C18" s="10" t="s">
        <v>264</v>
      </c>
      <c r="D18" s="10"/>
      <c r="E18" s="40">
        <v>2028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>
        <v>0.06</v>
      </c>
    </row>
    <row r="19" spans="1:28" x14ac:dyDescent="0.2">
      <c r="A19" s="10"/>
      <c r="B19" s="10"/>
      <c r="C19" s="10" t="s">
        <v>265</v>
      </c>
      <c r="D19" s="10"/>
      <c r="E19" s="39">
        <v>0.4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>
        <v>0.06</v>
      </c>
    </row>
    <row r="20" spans="1:28" x14ac:dyDescent="0.2">
      <c r="A20" s="10"/>
      <c r="B20" s="10"/>
      <c r="C20" s="10" t="s">
        <v>266</v>
      </c>
      <c r="D20" s="10"/>
      <c r="E20" s="40">
        <v>2029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>
        <v>0.06</v>
      </c>
    </row>
    <row r="21" spans="1:28" x14ac:dyDescent="0.2">
      <c r="A21" s="10"/>
      <c r="B21" s="10"/>
      <c r="C21" s="10" t="s">
        <v>267</v>
      </c>
      <c r="D21" s="10"/>
      <c r="E21" s="85">
        <v>0.15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>
        <v>0.06</v>
      </c>
    </row>
    <row r="22" spans="1:28" x14ac:dyDescent="0.2">
      <c r="A22" s="10"/>
      <c r="B22" s="10"/>
      <c r="C22" s="10" t="s">
        <v>268</v>
      </c>
      <c r="D22" s="10"/>
      <c r="E22" s="60">
        <v>136000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>
        <v>0.06</v>
      </c>
    </row>
    <row r="23" spans="1:28" x14ac:dyDescent="0.2">
      <c r="A23" s="10"/>
      <c r="B23" s="10"/>
      <c r="C23" s="10" t="s">
        <v>269</v>
      </c>
      <c r="D23" s="10"/>
      <c r="E23" s="58">
        <v>8797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>
        <v>0.06</v>
      </c>
    </row>
    <row r="24" spans="1:28" x14ac:dyDescent="0.2">
      <c r="A24" s="10"/>
      <c r="B24" s="10"/>
      <c r="C24" s="10" t="s">
        <v>270</v>
      </c>
      <c r="D24" s="10"/>
      <c r="E24" s="58">
        <v>3900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>
        <v>0.06</v>
      </c>
    </row>
    <row r="25" spans="1:28" x14ac:dyDescent="0.2">
      <c r="A25" s="10"/>
      <c r="B25" s="10"/>
      <c r="C25" s="10" t="s">
        <v>271</v>
      </c>
      <c r="D25" s="10"/>
      <c r="E25" s="58">
        <v>2000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>
        <v>0.06</v>
      </c>
    </row>
    <row r="26" spans="1:28" x14ac:dyDescent="0.2">
      <c r="A26" s="10"/>
      <c r="B26" s="10"/>
      <c r="C26" s="10" t="s">
        <v>272</v>
      </c>
      <c r="D26" s="10"/>
      <c r="E26" s="58">
        <v>1500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>
        <v>0.06</v>
      </c>
    </row>
    <row r="27" spans="1:28" x14ac:dyDescent="0.2">
      <c r="A27" s="10"/>
      <c r="B27" s="10"/>
      <c r="C27" s="10" t="s">
        <v>273</v>
      </c>
      <c r="D27" s="10"/>
      <c r="E27" s="39">
        <v>0.01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>
        <v>0.06</v>
      </c>
    </row>
    <row r="28" spans="1:28" x14ac:dyDescent="0.2">
      <c r="A28" s="10"/>
      <c r="B28" s="10"/>
      <c r="C28" s="10" t="s">
        <v>274</v>
      </c>
      <c r="D28" s="10"/>
      <c r="E28" s="39">
        <v>0.35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>
        <v>0.06</v>
      </c>
    </row>
    <row r="29" spans="1:28" x14ac:dyDescent="0.2">
      <c r="A29" s="10"/>
      <c r="B29" s="10"/>
      <c r="C29" s="10" t="s">
        <v>275</v>
      </c>
      <c r="D29" s="10"/>
      <c r="E29" s="39">
        <v>0.05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>
        <v>0.06</v>
      </c>
    </row>
    <row r="30" spans="1:28" x14ac:dyDescent="0.2">
      <c r="A30" s="10"/>
      <c r="B30" s="10"/>
      <c r="C30" s="10" t="s">
        <v>276</v>
      </c>
      <c r="D30" s="10"/>
      <c r="E30" s="111">
        <v>1.35E-2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>
        <v>0.06</v>
      </c>
    </row>
    <row r="31" spans="1:28" x14ac:dyDescent="0.2">
      <c r="A31" s="10"/>
      <c r="B31" s="10"/>
      <c r="C31" s="10" t="s">
        <v>277</v>
      </c>
      <c r="D31" s="10"/>
      <c r="E31" s="39">
        <v>0.01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>
        <v>0.06</v>
      </c>
    </row>
    <row r="32" spans="1:28" x14ac:dyDescent="0.2">
      <c r="A32" s="10"/>
      <c r="B32" s="10"/>
      <c r="C32" s="10" t="s">
        <v>50</v>
      </c>
      <c r="D32" s="10"/>
      <c r="E32" s="40">
        <v>15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>
        <v>0.06</v>
      </c>
    </row>
    <row r="33" spans="1:28" x14ac:dyDescent="0.2">
      <c r="A33" s="10"/>
      <c r="B33" s="10"/>
      <c r="C33" s="10" t="s">
        <v>173</v>
      </c>
      <c r="D33" s="10"/>
      <c r="E33" s="39">
        <v>0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>
        <v>0.06</v>
      </c>
    </row>
    <row r="34" spans="1:28" x14ac:dyDescent="0.2">
      <c r="A34" s="10"/>
      <c r="B34" s="10"/>
      <c r="C34" s="10" t="s">
        <v>278</v>
      </c>
      <c r="D34" s="10"/>
      <c r="E34" s="112">
        <f>'CLUB MED'!$E$13</f>
        <v>0.1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>
        <v>0.06</v>
      </c>
    </row>
    <row r="35" spans="1:28" x14ac:dyDescent="0.2">
      <c r="A35" s="10"/>
      <c r="B35" s="10"/>
      <c r="C35" s="10" t="s">
        <v>53</v>
      </c>
      <c r="D35" s="10"/>
      <c r="E35" s="40">
        <v>12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>
        <v>0.06</v>
      </c>
    </row>
    <row r="36" spans="1:28" x14ac:dyDescent="0.2">
      <c r="A36" s="10"/>
      <c r="B36" s="10"/>
      <c r="C36" s="10" t="s">
        <v>279</v>
      </c>
      <c r="D36" s="10"/>
      <c r="E36" s="40">
        <v>2030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>
        <v>0.06</v>
      </c>
    </row>
    <row r="37" spans="1:28" x14ac:dyDescent="0.2">
      <c r="A37" s="10"/>
      <c r="B37" s="10"/>
      <c r="C37" s="10" t="s">
        <v>55</v>
      </c>
      <c r="D37" s="10"/>
      <c r="E37" s="42">
        <f>MANAGEMENT!$H$6</f>
        <v>0.09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>
        <v>0.06</v>
      </c>
    </row>
    <row r="38" spans="1:28" x14ac:dyDescent="0.2">
      <c r="A38" s="10"/>
      <c r="B38" s="10"/>
      <c r="C38" s="10" t="s">
        <v>56</v>
      </c>
      <c r="D38" s="10"/>
      <c r="E38" s="39">
        <v>0.1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>
        <v>0.06</v>
      </c>
    </row>
    <row r="39" spans="1:28" x14ac:dyDescent="0.2">
      <c r="A39" s="10"/>
      <c r="B39" s="10"/>
      <c r="C39" s="10" t="s">
        <v>54</v>
      </c>
      <c r="D39" s="10"/>
      <c r="E39" s="91" t="s">
        <v>5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>
        <v>0.06</v>
      </c>
    </row>
    <row r="40" spans="1:28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>
        <v>0.06</v>
      </c>
    </row>
    <row r="41" spans="1:28" x14ac:dyDescent="0.2">
      <c r="A41" s="10"/>
      <c r="B41" s="24" t="s">
        <v>280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10">
        <v>0.06</v>
      </c>
    </row>
    <row r="42" spans="1:28" x14ac:dyDescent="0.2">
      <c r="A42" s="10"/>
      <c r="B42" s="10"/>
      <c r="C42" s="10" t="s">
        <v>281</v>
      </c>
      <c r="D42" s="10"/>
      <c r="E42" s="113">
        <v>0.25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>
        <v>0.06</v>
      </c>
    </row>
    <row r="43" spans="1:28" x14ac:dyDescent="0.2">
      <c r="A43" s="10"/>
      <c r="B43" s="10"/>
      <c r="C43" s="10" t="s">
        <v>282</v>
      </c>
      <c r="D43" s="10"/>
      <c r="E43" s="113">
        <v>0.15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>
        <v>0.06</v>
      </c>
    </row>
    <row r="44" spans="1:28" x14ac:dyDescent="0.2">
      <c r="A44" s="10"/>
      <c r="B44" s="10"/>
      <c r="C44" s="10" t="s">
        <v>283</v>
      </c>
      <c r="D44" s="10"/>
      <c r="E44" s="113">
        <v>0.03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>
        <v>0.06</v>
      </c>
    </row>
    <row r="45" spans="1:28" x14ac:dyDescent="0.2">
      <c r="A45" s="10"/>
      <c r="B45" s="10"/>
      <c r="C45" s="10" t="s">
        <v>284</v>
      </c>
      <c r="D45" s="10"/>
      <c r="E45" s="113">
        <v>0.02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>
        <v>0.06</v>
      </c>
    </row>
    <row r="46" spans="1:28" x14ac:dyDescent="0.2">
      <c r="A46" s="10"/>
      <c r="B46" s="10"/>
      <c r="C46" s="10" t="s">
        <v>285</v>
      </c>
      <c r="D46" s="10"/>
      <c r="E46" s="113">
        <v>0.03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>
        <v>0.06</v>
      </c>
    </row>
    <row r="47" spans="1:28" x14ac:dyDescent="0.2">
      <c r="A47" s="10"/>
      <c r="B47" s="10"/>
      <c r="C47" s="10" t="s">
        <v>286</v>
      </c>
      <c r="D47" s="10"/>
      <c r="E47" s="113">
        <v>0.05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>
        <v>0.06</v>
      </c>
    </row>
    <row r="48" spans="1:28" x14ac:dyDescent="0.2">
      <c r="A48" s="10"/>
      <c r="B48" s="10"/>
      <c r="C48" s="10" t="s">
        <v>287</v>
      </c>
      <c r="D48" s="10"/>
      <c r="E48" s="113">
        <v>0.03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>
        <v>0.06</v>
      </c>
    </row>
    <row r="49" spans="1:28" x14ac:dyDescent="0.2">
      <c r="A49" s="10"/>
      <c r="B49" s="10"/>
      <c r="C49" s="10" t="s">
        <v>288</v>
      </c>
      <c r="D49" s="10"/>
      <c r="E49" s="113">
        <v>0.02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>
        <v>0.06</v>
      </c>
    </row>
    <row r="50" spans="1:28" x14ac:dyDescent="0.2">
      <c r="A50" s="10"/>
      <c r="B50" s="10"/>
      <c r="C50" s="10" t="s">
        <v>289</v>
      </c>
      <c r="D50" s="10"/>
      <c r="E50" s="113">
        <v>0.02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>
        <v>0.06</v>
      </c>
    </row>
    <row r="51" spans="1:28" x14ac:dyDescent="0.2">
      <c r="A51" s="10"/>
      <c r="B51" s="10"/>
      <c r="C51" s="10" t="s">
        <v>290</v>
      </c>
      <c r="D51" s="10"/>
      <c r="E51" s="113">
        <v>0.01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>
        <v>0.06</v>
      </c>
    </row>
    <row r="52" spans="1:28" x14ac:dyDescent="0.2">
      <c r="A52" s="10"/>
      <c r="B52" s="10"/>
      <c r="C52" s="10" t="s">
        <v>291</v>
      </c>
      <c r="D52" s="10"/>
      <c r="E52" s="108">
        <f>E43+E44+E45</f>
        <v>0.19999999999999998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>
        <v>0.06</v>
      </c>
    </row>
    <row r="53" spans="1:28" x14ac:dyDescent="0.2">
      <c r="A53" s="10"/>
      <c r="B53" s="10"/>
      <c r="C53" s="10" t="s">
        <v>292</v>
      </c>
      <c r="D53" s="10"/>
      <c r="E53" s="108">
        <f>SUM(E46:E51)</f>
        <v>0.16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>
        <v>0.06</v>
      </c>
    </row>
    <row r="54" spans="1:28" x14ac:dyDescent="0.2">
      <c r="A54" s="10"/>
      <c r="B54" s="10"/>
      <c r="C54" s="10" t="s">
        <v>293</v>
      </c>
      <c r="D54" s="10"/>
      <c r="E54" s="106">
        <f>E15-E9*E14/1000</f>
        <v>14135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>
        <v>0.06</v>
      </c>
    </row>
    <row r="55" spans="1:28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>
        <v>0.06</v>
      </c>
    </row>
    <row r="56" spans="1:28" x14ac:dyDescent="0.2">
      <c r="A56" s="10"/>
      <c r="B56" s="24" t="s">
        <v>294</v>
      </c>
      <c r="C56" s="24"/>
      <c r="D56" s="24"/>
      <c r="E56" s="24"/>
      <c r="F56" s="24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10">
        <v>0.06</v>
      </c>
    </row>
    <row r="57" spans="1:28" x14ac:dyDescent="0.2">
      <c r="A57" s="10"/>
      <c r="B57" s="10"/>
      <c r="C57" s="23" t="s">
        <v>295</v>
      </c>
      <c r="D57" s="23"/>
      <c r="E57" s="23"/>
      <c r="F57" s="23"/>
      <c r="G57" s="109">
        <f t="shared" ref="G57:Z57" si="1">IF(G$6=$E$18,$E$19,IF(G$6=$E$18+1,1-$E$19,0))</f>
        <v>0</v>
      </c>
      <c r="H57" s="109">
        <f t="shared" si="1"/>
        <v>0</v>
      </c>
      <c r="I57" s="109">
        <f t="shared" si="1"/>
        <v>0.4</v>
      </c>
      <c r="J57" s="109">
        <f t="shared" si="1"/>
        <v>0.6</v>
      </c>
      <c r="K57" s="109">
        <f t="shared" si="1"/>
        <v>0</v>
      </c>
      <c r="L57" s="109">
        <f t="shared" si="1"/>
        <v>0</v>
      </c>
      <c r="M57" s="109">
        <f t="shared" si="1"/>
        <v>0</v>
      </c>
      <c r="N57" s="109">
        <f t="shared" si="1"/>
        <v>0</v>
      </c>
      <c r="O57" s="109">
        <f t="shared" si="1"/>
        <v>0</v>
      </c>
      <c r="P57" s="109">
        <f t="shared" si="1"/>
        <v>0</v>
      </c>
      <c r="Q57" s="109">
        <f t="shared" si="1"/>
        <v>0</v>
      </c>
      <c r="R57" s="109">
        <f t="shared" si="1"/>
        <v>0</v>
      </c>
      <c r="S57" s="109">
        <f t="shared" si="1"/>
        <v>0</v>
      </c>
      <c r="T57" s="109">
        <f t="shared" si="1"/>
        <v>0</v>
      </c>
      <c r="U57" s="109">
        <f t="shared" si="1"/>
        <v>0</v>
      </c>
      <c r="V57" s="109">
        <f t="shared" si="1"/>
        <v>0</v>
      </c>
      <c r="W57" s="109">
        <f t="shared" si="1"/>
        <v>0</v>
      </c>
      <c r="X57" s="109">
        <f t="shared" si="1"/>
        <v>0</v>
      </c>
      <c r="Y57" s="109">
        <f t="shared" si="1"/>
        <v>0</v>
      </c>
      <c r="Z57" s="109">
        <f t="shared" si="1"/>
        <v>0</v>
      </c>
      <c r="AA57" s="66"/>
      <c r="AB57" s="10">
        <v>0.06</v>
      </c>
    </row>
    <row r="58" spans="1:28" x14ac:dyDescent="0.2">
      <c r="A58" s="10"/>
      <c r="B58" s="10"/>
      <c r="C58" s="10" t="s">
        <v>296</v>
      </c>
      <c r="D58" s="58">
        <v>14200</v>
      </c>
      <c r="E58" s="12">
        <f t="shared" ref="E58:E64" si="2">SUM(G58:Z58)</f>
        <v>17799.078341013825</v>
      </c>
      <c r="F58" s="10"/>
      <c r="G58" s="12">
        <f t="shared" ref="G58:P61" si="3">$E$22*$D58/SUM($D$58:$D$61)*G$57</f>
        <v>0</v>
      </c>
      <c r="H58" s="12">
        <f t="shared" si="3"/>
        <v>0</v>
      </c>
      <c r="I58" s="12">
        <f t="shared" si="3"/>
        <v>7119.6313364055304</v>
      </c>
      <c r="J58" s="12">
        <f t="shared" si="3"/>
        <v>10679.447004608295</v>
      </c>
      <c r="K58" s="12">
        <f t="shared" si="3"/>
        <v>0</v>
      </c>
      <c r="L58" s="12">
        <f t="shared" si="3"/>
        <v>0</v>
      </c>
      <c r="M58" s="12">
        <f t="shared" si="3"/>
        <v>0</v>
      </c>
      <c r="N58" s="12">
        <f t="shared" si="3"/>
        <v>0</v>
      </c>
      <c r="O58" s="12">
        <f t="shared" si="3"/>
        <v>0</v>
      </c>
      <c r="P58" s="12">
        <f t="shared" si="3"/>
        <v>0</v>
      </c>
      <c r="Q58" s="12">
        <f t="shared" ref="Q58:Z61" si="4">$E$22*$D58/SUM($D$58:$D$61)*Q$57</f>
        <v>0</v>
      </c>
      <c r="R58" s="12">
        <f t="shared" si="4"/>
        <v>0</v>
      </c>
      <c r="S58" s="12">
        <f t="shared" si="4"/>
        <v>0</v>
      </c>
      <c r="T58" s="12">
        <f t="shared" si="4"/>
        <v>0</v>
      </c>
      <c r="U58" s="12">
        <f t="shared" si="4"/>
        <v>0</v>
      </c>
      <c r="V58" s="12">
        <f t="shared" si="4"/>
        <v>0</v>
      </c>
      <c r="W58" s="12">
        <f t="shared" si="4"/>
        <v>0</v>
      </c>
      <c r="X58" s="12">
        <f t="shared" si="4"/>
        <v>0</v>
      </c>
      <c r="Y58" s="12">
        <f t="shared" si="4"/>
        <v>0</v>
      </c>
      <c r="Z58" s="12">
        <f t="shared" si="4"/>
        <v>0</v>
      </c>
      <c r="AA58" s="12"/>
      <c r="AB58" s="10">
        <v>0.06</v>
      </c>
    </row>
    <row r="59" spans="1:28" x14ac:dyDescent="0.2">
      <c r="A59" s="10"/>
      <c r="B59" s="10"/>
      <c r="C59" s="10" t="s">
        <v>297</v>
      </c>
      <c r="D59" s="58">
        <v>39400</v>
      </c>
      <c r="E59" s="12">
        <f t="shared" si="2"/>
        <v>49386.17511520737</v>
      </c>
      <c r="F59" s="10"/>
      <c r="G59" s="12">
        <f t="shared" si="3"/>
        <v>0</v>
      </c>
      <c r="H59" s="12">
        <f t="shared" si="3"/>
        <v>0</v>
      </c>
      <c r="I59" s="12">
        <f t="shared" si="3"/>
        <v>19754.470046082948</v>
      </c>
      <c r="J59" s="12">
        <f t="shared" si="3"/>
        <v>29631.705069124422</v>
      </c>
      <c r="K59" s="12">
        <f t="shared" si="3"/>
        <v>0</v>
      </c>
      <c r="L59" s="12">
        <f t="shared" si="3"/>
        <v>0</v>
      </c>
      <c r="M59" s="12">
        <f t="shared" si="3"/>
        <v>0</v>
      </c>
      <c r="N59" s="12">
        <f t="shared" si="3"/>
        <v>0</v>
      </c>
      <c r="O59" s="12">
        <f t="shared" si="3"/>
        <v>0</v>
      </c>
      <c r="P59" s="12">
        <f t="shared" si="3"/>
        <v>0</v>
      </c>
      <c r="Q59" s="12">
        <f t="shared" si="4"/>
        <v>0</v>
      </c>
      <c r="R59" s="12">
        <f t="shared" si="4"/>
        <v>0</v>
      </c>
      <c r="S59" s="12">
        <f t="shared" si="4"/>
        <v>0</v>
      </c>
      <c r="T59" s="12">
        <f t="shared" si="4"/>
        <v>0</v>
      </c>
      <c r="U59" s="12">
        <f t="shared" si="4"/>
        <v>0</v>
      </c>
      <c r="V59" s="12">
        <f t="shared" si="4"/>
        <v>0</v>
      </c>
      <c r="W59" s="12">
        <f t="shared" si="4"/>
        <v>0</v>
      </c>
      <c r="X59" s="12">
        <f t="shared" si="4"/>
        <v>0</v>
      </c>
      <c r="Y59" s="12">
        <f t="shared" si="4"/>
        <v>0</v>
      </c>
      <c r="Z59" s="12">
        <f t="shared" si="4"/>
        <v>0</v>
      </c>
      <c r="AA59" s="12"/>
      <c r="AB59" s="10">
        <v>0.06</v>
      </c>
    </row>
    <row r="60" spans="1:28" x14ac:dyDescent="0.2">
      <c r="A60" s="10"/>
      <c r="B60" s="10"/>
      <c r="C60" s="10" t="s">
        <v>298</v>
      </c>
      <c r="D60" s="58">
        <v>22200</v>
      </c>
      <c r="E60" s="12">
        <f t="shared" si="2"/>
        <v>27826.728110599077</v>
      </c>
      <c r="F60" s="10"/>
      <c r="G60" s="12">
        <f t="shared" si="3"/>
        <v>0</v>
      </c>
      <c r="H60" s="12">
        <f t="shared" si="3"/>
        <v>0</v>
      </c>
      <c r="I60" s="12">
        <f t="shared" si="3"/>
        <v>11130.691244239631</v>
      </c>
      <c r="J60" s="12">
        <f t="shared" si="3"/>
        <v>16696.036866359445</v>
      </c>
      <c r="K60" s="12">
        <f t="shared" si="3"/>
        <v>0</v>
      </c>
      <c r="L60" s="12">
        <f t="shared" si="3"/>
        <v>0</v>
      </c>
      <c r="M60" s="12">
        <f t="shared" si="3"/>
        <v>0</v>
      </c>
      <c r="N60" s="12">
        <f t="shared" si="3"/>
        <v>0</v>
      </c>
      <c r="O60" s="12">
        <f t="shared" si="3"/>
        <v>0</v>
      </c>
      <c r="P60" s="12">
        <f t="shared" si="3"/>
        <v>0</v>
      </c>
      <c r="Q60" s="12">
        <f t="shared" si="4"/>
        <v>0</v>
      </c>
      <c r="R60" s="12">
        <f t="shared" si="4"/>
        <v>0</v>
      </c>
      <c r="S60" s="12">
        <f t="shared" si="4"/>
        <v>0</v>
      </c>
      <c r="T60" s="12">
        <f t="shared" si="4"/>
        <v>0</v>
      </c>
      <c r="U60" s="12">
        <f t="shared" si="4"/>
        <v>0</v>
      </c>
      <c r="V60" s="12">
        <f t="shared" si="4"/>
        <v>0</v>
      </c>
      <c r="W60" s="12">
        <f t="shared" si="4"/>
        <v>0</v>
      </c>
      <c r="X60" s="12">
        <f t="shared" si="4"/>
        <v>0</v>
      </c>
      <c r="Y60" s="12">
        <f t="shared" si="4"/>
        <v>0</v>
      </c>
      <c r="Z60" s="12">
        <f t="shared" si="4"/>
        <v>0</v>
      </c>
      <c r="AA60" s="12"/>
      <c r="AB60" s="10">
        <v>0.06</v>
      </c>
    </row>
    <row r="61" spans="1:28" x14ac:dyDescent="0.2">
      <c r="A61" s="10"/>
      <c r="B61" s="10"/>
      <c r="C61" s="10" t="s">
        <v>299</v>
      </c>
      <c r="D61" s="58">
        <v>32700</v>
      </c>
      <c r="E61" s="12">
        <f t="shared" si="2"/>
        <v>40988.018433179721</v>
      </c>
      <c r="F61" s="10"/>
      <c r="G61" s="12">
        <f t="shared" si="3"/>
        <v>0</v>
      </c>
      <c r="H61" s="12">
        <f t="shared" si="3"/>
        <v>0</v>
      </c>
      <c r="I61" s="12">
        <f t="shared" si="3"/>
        <v>16395.207373271889</v>
      </c>
      <c r="J61" s="12">
        <f t="shared" si="3"/>
        <v>24592.811059907832</v>
      </c>
      <c r="K61" s="12">
        <f t="shared" si="3"/>
        <v>0</v>
      </c>
      <c r="L61" s="12">
        <f t="shared" si="3"/>
        <v>0</v>
      </c>
      <c r="M61" s="12">
        <f t="shared" si="3"/>
        <v>0</v>
      </c>
      <c r="N61" s="12">
        <f t="shared" si="3"/>
        <v>0</v>
      </c>
      <c r="O61" s="12">
        <f t="shared" si="3"/>
        <v>0</v>
      </c>
      <c r="P61" s="12">
        <f t="shared" si="3"/>
        <v>0</v>
      </c>
      <c r="Q61" s="12">
        <f t="shared" si="4"/>
        <v>0</v>
      </c>
      <c r="R61" s="12">
        <f t="shared" si="4"/>
        <v>0</v>
      </c>
      <c r="S61" s="12">
        <f t="shared" si="4"/>
        <v>0</v>
      </c>
      <c r="T61" s="12">
        <f t="shared" si="4"/>
        <v>0</v>
      </c>
      <c r="U61" s="12">
        <f t="shared" si="4"/>
        <v>0</v>
      </c>
      <c r="V61" s="12">
        <f t="shared" si="4"/>
        <v>0</v>
      </c>
      <c r="W61" s="12">
        <f t="shared" si="4"/>
        <v>0</v>
      </c>
      <c r="X61" s="12">
        <f t="shared" si="4"/>
        <v>0</v>
      </c>
      <c r="Y61" s="12">
        <f t="shared" si="4"/>
        <v>0</v>
      </c>
      <c r="Z61" s="12">
        <f t="shared" si="4"/>
        <v>0</v>
      </c>
      <c r="AA61" s="12"/>
      <c r="AB61" s="10">
        <v>0.06</v>
      </c>
    </row>
    <row r="62" spans="1:28" x14ac:dyDescent="0.2">
      <c r="A62" s="10"/>
      <c r="B62" s="49" t="s">
        <v>300</v>
      </c>
      <c r="C62" s="49"/>
      <c r="D62" s="49"/>
      <c r="E62" s="50">
        <f t="shared" si="2"/>
        <v>136000</v>
      </c>
      <c r="F62" s="49"/>
      <c r="G62" s="50">
        <f t="shared" ref="G62:Z62" si="5">SUM(G58:G61)</f>
        <v>0</v>
      </c>
      <c r="H62" s="50">
        <f t="shared" si="5"/>
        <v>0</v>
      </c>
      <c r="I62" s="50">
        <f t="shared" si="5"/>
        <v>54400</v>
      </c>
      <c r="J62" s="50">
        <f t="shared" si="5"/>
        <v>81600</v>
      </c>
      <c r="K62" s="50">
        <f t="shared" si="5"/>
        <v>0</v>
      </c>
      <c r="L62" s="50">
        <f t="shared" si="5"/>
        <v>0</v>
      </c>
      <c r="M62" s="50">
        <f t="shared" si="5"/>
        <v>0</v>
      </c>
      <c r="N62" s="50">
        <f t="shared" si="5"/>
        <v>0</v>
      </c>
      <c r="O62" s="50">
        <f t="shared" si="5"/>
        <v>0</v>
      </c>
      <c r="P62" s="50">
        <f t="shared" si="5"/>
        <v>0</v>
      </c>
      <c r="Q62" s="50">
        <f t="shared" si="5"/>
        <v>0</v>
      </c>
      <c r="R62" s="50">
        <f t="shared" si="5"/>
        <v>0</v>
      </c>
      <c r="S62" s="50">
        <f t="shared" si="5"/>
        <v>0</v>
      </c>
      <c r="T62" s="50">
        <f t="shared" si="5"/>
        <v>0</v>
      </c>
      <c r="U62" s="50">
        <f t="shared" si="5"/>
        <v>0</v>
      </c>
      <c r="V62" s="50">
        <f t="shared" si="5"/>
        <v>0</v>
      </c>
      <c r="W62" s="50">
        <f t="shared" si="5"/>
        <v>0</v>
      </c>
      <c r="X62" s="50">
        <f t="shared" si="5"/>
        <v>0</v>
      </c>
      <c r="Y62" s="50">
        <f t="shared" si="5"/>
        <v>0</v>
      </c>
      <c r="Z62" s="50">
        <f t="shared" si="5"/>
        <v>0</v>
      </c>
      <c r="AA62" s="50"/>
      <c r="AB62" s="10">
        <v>0.06</v>
      </c>
    </row>
    <row r="63" spans="1:28" x14ac:dyDescent="0.2">
      <c r="A63" s="10"/>
      <c r="B63" s="10"/>
      <c r="C63" s="10" t="s">
        <v>301</v>
      </c>
      <c r="D63" s="10"/>
      <c r="E63" s="12">
        <f t="shared" si="2"/>
        <v>10107.587232555095</v>
      </c>
      <c r="F63" s="10"/>
      <c r="G63" s="12">
        <f t="shared" ref="G63:Z63" si="6">G75*$E$31</f>
        <v>0</v>
      </c>
      <c r="H63" s="12">
        <f t="shared" si="6"/>
        <v>0</v>
      </c>
      <c r="I63" s="12">
        <f t="shared" si="6"/>
        <v>0</v>
      </c>
      <c r="J63" s="12">
        <f t="shared" si="6"/>
        <v>71.610000000000014</v>
      </c>
      <c r="K63" s="12">
        <f t="shared" si="6"/>
        <v>477.40000000000009</v>
      </c>
      <c r="L63" s="12">
        <f t="shared" si="6"/>
        <v>494.25520375000008</v>
      </c>
      <c r="M63" s="12">
        <f t="shared" si="6"/>
        <v>511.70550153739867</v>
      </c>
      <c r="N63" s="12">
        <f t="shared" si="6"/>
        <v>529.77190390105341</v>
      </c>
      <c r="O63" s="12">
        <f t="shared" si="6"/>
        <v>548.47616318316011</v>
      </c>
      <c r="P63" s="12">
        <f t="shared" si="6"/>
        <v>567.84079971954566</v>
      </c>
      <c r="Q63" s="12">
        <f t="shared" si="6"/>
        <v>587.88912895464398</v>
      </c>
      <c r="R63" s="12">
        <f t="shared" si="6"/>
        <v>608.64528951379862</v>
      </c>
      <c r="S63" s="12">
        <f t="shared" si="6"/>
        <v>630.13427226669569</v>
      </c>
      <c r="T63" s="12">
        <f t="shared" si="6"/>
        <v>652.38195041691188</v>
      </c>
      <c r="U63" s="12">
        <f t="shared" si="6"/>
        <v>675.41511065381906</v>
      </c>
      <c r="V63" s="12">
        <f t="shared" si="6"/>
        <v>699.26148540434008</v>
      </c>
      <c r="W63" s="12">
        <f t="shared" si="6"/>
        <v>723.94978622339772</v>
      </c>
      <c r="X63" s="12">
        <f t="shared" si="6"/>
        <v>749.50973836324715</v>
      </c>
      <c r="Y63" s="12">
        <f t="shared" si="6"/>
        <v>775.97211656333513</v>
      </c>
      <c r="Z63" s="12">
        <f t="shared" si="6"/>
        <v>803.36878210374903</v>
      </c>
      <c r="AA63" s="12"/>
      <c r="AB63" s="10">
        <v>0.06</v>
      </c>
    </row>
    <row r="64" spans="1:28" x14ac:dyDescent="0.2">
      <c r="A64" s="10"/>
      <c r="B64" s="49" t="s">
        <v>302</v>
      </c>
      <c r="C64" s="49"/>
      <c r="D64" s="49"/>
      <c r="E64" s="50">
        <f t="shared" si="2"/>
        <v>146107.58723255506</v>
      </c>
      <c r="F64" s="49"/>
      <c r="G64" s="50">
        <f t="shared" ref="G64:Z64" si="7">G62+G63</f>
        <v>0</v>
      </c>
      <c r="H64" s="50">
        <f t="shared" si="7"/>
        <v>0</v>
      </c>
      <c r="I64" s="50">
        <f t="shared" si="7"/>
        <v>54400</v>
      </c>
      <c r="J64" s="50">
        <f t="shared" si="7"/>
        <v>81671.61</v>
      </c>
      <c r="K64" s="50">
        <f t="shared" si="7"/>
        <v>477.40000000000009</v>
      </c>
      <c r="L64" s="50">
        <f t="shared" si="7"/>
        <v>494.25520375000008</v>
      </c>
      <c r="M64" s="50">
        <f t="shared" si="7"/>
        <v>511.70550153739867</v>
      </c>
      <c r="N64" s="50">
        <f t="shared" si="7"/>
        <v>529.77190390105341</v>
      </c>
      <c r="O64" s="50">
        <f t="shared" si="7"/>
        <v>548.47616318316011</v>
      </c>
      <c r="P64" s="50">
        <f t="shared" si="7"/>
        <v>567.84079971954566</v>
      </c>
      <c r="Q64" s="50">
        <f t="shared" si="7"/>
        <v>587.88912895464398</v>
      </c>
      <c r="R64" s="50">
        <f t="shared" si="7"/>
        <v>608.64528951379862</v>
      </c>
      <c r="S64" s="50">
        <f t="shared" si="7"/>
        <v>630.13427226669569</v>
      </c>
      <c r="T64" s="50">
        <f t="shared" si="7"/>
        <v>652.38195041691188</v>
      </c>
      <c r="U64" s="50">
        <f t="shared" si="7"/>
        <v>675.41511065381906</v>
      </c>
      <c r="V64" s="50">
        <f t="shared" si="7"/>
        <v>699.26148540434008</v>
      </c>
      <c r="W64" s="50">
        <f t="shared" si="7"/>
        <v>723.94978622339772</v>
      </c>
      <c r="X64" s="50">
        <f t="shared" si="7"/>
        <v>749.50973836324715</v>
      </c>
      <c r="Y64" s="50">
        <f t="shared" si="7"/>
        <v>775.97211656333513</v>
      </c>
      <c r="Z64" s="50">
        <f t="shared" si="7"/>
        <v>803.36878210374903</v>
      </c>
      <c r="AA64" s="50"/>
      <c r="AB64" s="10">
        <v>0.06</v>
      </c>
    </row>
    <row r="65" spans="1:28" x14ac:dyDescent="0.2">
      <c r="A65" s="10"/>
      <c r="B65" s="10"/>
      <c r="C65" s="10"/>
      <c r="D65" s="10"/>
      <c r="E65" s="10"/>
      <c r="F65" s="10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0">
        <v>0.06</v>
      </c>
    </row>
    <row r="66" spans="1:28" x14ac:dyDescent="0.2">
      <c r="A66" s="10"/>
      <c r="B66" s="24" t="s">
        <v>303</v>
      </c>
      <c r="C66" s="24"/>
      <c r="D66" s="24"/>
      <c r="E66" s="24"/>
      <c r="F66" s="24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10">
        <v>0.06</v>
      </c>
    </row>
    <row r="67" spans="1:28" x14ac:dyDescent="0.2">
      <c r="A67" s="10"/>
      <c r="B67" s="10"/>
      <c r="C67" s="23" t="s">
        <v>304</v>
      </c>
      <c r="D67" s="23"/>
      <c r="E67" s="23"/>
      <c r="F67" s="23"/>
      <c r="G67" s="110">
        <f t="shared" ref="G67:Z67" si="8">IF(G$6&gt;=$E$20,G$6-$E$20+1,0)</f>
        <v>0</v>
      </c>
      <c r="H67" s="110">
        <f t="shared" si="8"/>
        <v>0</v>
      </c>
      <c r="I67" s="110">
        <f t="shared" si="8"/>
        <v>0</v>
      </c>
      <c r="J67" s="110">
        <f t="shared" si="8"/>
        <v>1</v>
      </c>
      <c r="K67" s="110">
        <f t="shared" si="8"/>
        <v>2</v>
      </c>
      <c r="L67" s="110">
        <f t="shared" si="8"/>
        <v>3</v>
      </c>
      <c r="M67" s="110">
        <f t="shared" si="8"/>
        <v>4</v>
      </c>
      <c r="N67" s="110">
        <f t="shared" si="8"/>
        <v>5</v>
      </c>
      <c r="O67" s="110">
        <f t="shared" si="8"/>
        <v>6</v>
      </c>
      <c r="P67" s="110">
        <f t="shared" si="8"/>
        <v>7</v>
      </c>
      <c r="Q67" s="110">
        <f t="shared" si="8"/>
        <v>8</v>
      </c>
      <c r="R67" s="110">
        <f t="shared" si="8"/>
        <v>9</v>
      </c>
      <c r="S67" s="110">
        <f t="shared" si="8"/>
        <v>10</v>
      </c>
      <c r="T67" s="110">
        <f t="shared" si="8"/>
        <v>11</v>
      </c>
      <c r="U67" s="110">
        <f t="shared" si="8"/>
        <v>12</v>
      </c>
      <c r="V67" s="110">
        <f t="shared" si="8"/>
        <v>13</v>
      </c>
      <c r="W67" s="110">
        <f t="shared" si="8"/>
        <v>14</v>
      </c>
      <c r="X67" s="110">
        <f t="shared" si="8"/>
        <v>15</v>
      </c>
      <c r="Y67" s="110">
        <f t="shared" si="8"/>
        <v>16</v>
      </c>
      <c r="Z67" s="110">
        <f t="shared" si="8"/>
        <v>17</v>
      </c>
      <c r="AA67" s="66"/>
      <c r="AB67" s="10">
        <v>0.06</v>
      </c>
    </row>
    <row r="68" spans="1:28" x14ac:dyDescent="0.2">
      <c r="A68" s="10"/>
      <c r="B68" s="10"/>
      <c r="C68" s="23" t="s">
        <v>305</v>
      </c>
      <c r="D68" s="23"/>
      <c r="E68" s="23"/>
      <c r="F68" s="23"/>
      <c r="G68" s="109">
        <f t="shared" ref="G68:Z68" si="9">IF(G67=0,0,IF(G67=1,$E$21,1))</f>
        <v>0</v>
      </c>
      <c r="H68" s="109">
        <f t="shared" si="9"/>
        <v>0</v>
      </c>
      <c r="I68" s="109">
        <f t="shared" si="9"/>
        <v>0</v>
      </c>
      <c r="J68" s="109">
        <f t="shared" si="9"/>
        <v>0.15</v>
      </c>
      <c r="K68" s="109">
        <f t="shared" si="9"/>
        <v>1</v>
      </c>
      <c r="L68" s="109">
        <f t="shared" si="9"/>
        <v>1</v>
      </c>
      <c r="M68" s="109">
        <f t="shared" si="9"/>
        <v>1</v>
      </c>
      <c r="N68" s="109">
        <f t="shared" si="9"/>
        <v>1</v>
      </c>
      <c r="O68" s="109">
        <f t="shared" si="9"/>
        <v>1</v>
      </c>
      <c r="P68" s="109">
        <f t="shared" si="9"/>
        <v>1</v>
      </c>
      <c r="Q68" s="109">
        <f t="shared" si="9"/>
        <v>1</v>
      </c>
      <c r="R68" s="109">
        <f t="shared" si="9"/>
        <v>1</v>
      </c>
      <c r="S68" s="109">
        <f t="shared" si="9"/>
        <v>1</v>
      </c>
      <c r="T68" s="109">
        <f t="shared" si="9"/>
        <v>1</v>
      </c>
      <c r="U68" s="109">
        <f t="shared" si="9"/>
        <v>1</v>
      </c>
      <c r="V68" s="109">
        <f t="shared" si="9"/>
        <v>1</v>
      </c>
      <c r="W68" s="109">
        <f t="shared" si="9"/>
        <v>1</v>
      </c>
      <c r="X68" s="109">
        <f t="shared" si="9"/>
        <v>1</v>
      </c>
      <c r="Y68" s="109">
        <f t="shared" si="9"/>
        <v>1</v>
      </c>
      <c r="Z68" s="109">
        <f t="shared" si="9"/>
        <v>1</v>
      </c>
      <c r="AA68" s="66"/>
      <c r="AB68" s="10">
        <v>0.06</v>
      </c>
    </row>
    <row r="69" spans="1:28" x14ac:dyDescent="0.2">
      <c r="A69" s="10"/>
      <c r="B69" s="10"/>
      <c r="C69" s="10" t="s">
        <v>306</v>
      </c>
      <c r="D69" s="10"/>
      <c r="E69" s="12">
        <f>SUM(G69:Z69)</f>
        <v>3930785.5613996675</v>
      </c>
      <c r="F69" s="10"/>
      <c r="G69" s="12">
        <f>IF(G67=0,0,$E$9*(1+$E$10)*(1+$E$11)^MAX(0,G67-2)*G68)</f>
        <v>0</v>
      </c>
      <c r="H69" s="12">
        <f t="shared" ref="H69:Z69" si="10">IF(H67=0,0,$E$9*(1+$E$10)*(1+$E$11)^MAX(0,H67-2)*H68)</f>
        <v>0</v>
      </c>
      <c r="I69" s="12">
        <f t="shared" si="10"/>
        <v>0</v>
      </c>
      <c r="J69" s="12">
        <f t="shared" si="10"/>
        <v>31989.375000000004</v>
      </c>
      <c r="K69" s="12">
        <f t="shared" si="10"/>
        <v>213262.50000000003</v>
      </c>
      <c r="L69" s="12">
        <f t="shared" si="10"/>
        <v>216994.59375000006</v>
      </c>
      <c r="M69" s="12">
        <f t="shared" si="10"/>
        <v>220791.99914062506</v>
      </c>
      <c r="N69" s="12">
        <f t="shared" si="10"/>
        <v>224655.85912558599</v>
      </c>
      <c r="O69" s="12">
        <f t="shared" si="10"/>
        <v>228587.33666028379</v>
      </c>
      <c r="P69" s="12">
        <f t="shared" si="10"/>
        <v>232587.61505183877</v>
      </c>
      <c r="Q69" s="12">
        <f t="shared" si="10"/>
        <v>236657.89831524596</v>
      </c>
      <c r="R69" s="12">
        <f t="shared" si="10"/>
        <v>240799.41153576275</v>
      </c>
      <c r="S69" s="12">
        <f t="shared" si="10"/>
        <v>245013.40123763867</v>
      </c>
      <c r="T69" s="12">
        <f t="shared" si="10"/>
        <v>249301.13575929735</v>
      </c>
      <c r="U69" s="12">
        <f t="shared" si="10"/>
        <v>253663.90563508507</v>
      </c>
      <c r="V69" s="12">
        <f t="shared" si="10"/>
        <v>258103.02398369904</v>
      </c>
      <c r="W69" s="12">
        <f t="shared" si="10"/>
        <v>262619.82690341381</v>
      </c>
      <c r="X69" s="12">
        <f t="shared" si="10"/>
        <v>267215.67387422355</v>
      </c>
      <c r="Y69" s="12">
        <f t="shared" si="10"/>
        <v>271891.94816702255</v>
      </c>
      <c r="Z69" s="12">
        <f t="shared" si="10"/>
        <v>276650.05725994537</v>
      </c>
      <c r="AA69" s="12"/>
      <c r="AB69" s="10">
        <v>0.06</v>
      </c>
    </row>
    <row r="70" spans="1:28" x14ac:dyDescent="0.2">
      <c r="A70" s="10"/>
      <c r="B70" s="10"/>
      <c r="C70" s="23" t="s">
        <v>307</v>
      </c>
      <c r="D70" s="23"/>
      <c r="E70" s="23"/>
      <c r="F70" s="23"/>
      <c r="G70" s="109">
        <f t="shared" ref="G70:Z70" si="11">G69/$E$9</f>
        <v>0</v>
      </c>
      <c r="H70" s="109">
        <f t="shared" si="11"/>
        <v>0</v>
      </c>
      <c r="I70" s="109">
        <f t="shared" si="11"/>
        <v>0</v>
      </c>
      <c r="J70" s="109">
        <f t="shared" si="11"/>
        <v>0.16500000000000001</v>
      </c>
      <c r="K70" s="109">
        <f t="shared" si="11"/>
        <v>1.1000000000000001</v>
      </c>
      <c r="L70" s="109">
        <f t="shared" si="11"/>
        <v>1.1192500000000003</v>
      </c>
      <c r="M70" s="109">
        <f t="shared" si="11"/>
        <v>1.1388368750000004</v>
      </c>
      <c r="N70" s="109">
        <f t="shared" si="11"/>
        <v>1.1587665203125004</v>
      </c>
      <c r="O70" s="109">
        <f t="shared" si="11"/>
        <v>1.1790449344179692</v>
      </c>
      <c r="P70" s="109">
        <f t="shared" si="11"/>
        <v>1.1996782207702839</v>
      </c>
      <c r="Q70" s="109">
        <f t="shared" si="11"/>
        <v>1.2206725896337638</v>
      </c>
      <c r="R70" s="109">
        <f t="shared" si="11"/>
        <v>1.2420343599523547</v>
      </c>
      <c r="S70" s="109">
        <f t="shared" si="11"/>
        <v>1.2637699612515212</v>
      </c>
      <c r="T70" s="109">
        <f t="shared" si="11"/>
        <v>1.2858859355734229</v>
      </c>
      <c r="U70" s="109">
        <f t="shared" si="11"/>
        <v>1.3083889394459578</v>
      </c>
      <c r="V70" s="109">
        <f t="shared" si="11"/>
        <v>1.3312857458862619</v>
      </c>
      <c r="W70" s="109">
        <f t="shared" si="11"/>
        <v>1.3545832464392717</v>
      </c>
      <c r="X70" s="109">
        <f t="shared" si="11"/>
        <v>1.378288453251959</v>
      </c>
      <c r="Y70" s="109">
        <f t="shared" si="11"/>
        <v>1.4024085011838687</v>
      </c>
      <c r="Z70" s="109">
        <f t="shared" si="11"/>
        <v>1.4269506499545861</v>
      </c>
      <c r="AA70" s="66"/>
      <c r="AB70" s="10">
        <v>0.06</v>
      </c>
    </row>
    <row r="71" spans="1:28" x14ac:dyDescent="0.2">
      <c r="A71" s="10"/>
      <c r="B71" s="10"/>
      <c r="C71" s="23" t="s">
        <v>308</v>
      </c>
      <c r="D71" s="23"/>
      <c r="E71" s="23"/>
      <c r="F71" s="23"/>
      <c r="G71" s="109">
        <f t="shared" ref="G71:Z71" si="12">IF(G67=0,0,(1+$E$17)^MAX(0,G67-2))</f>
        <v>0</v>
      </c>
      <c r="H71" s="109">
        <f t="shared" si="12"/>
        <v>0</v>
      </c>
      <c r="I71" s="109">
        <f t="shared" si="12"/>
        <v>0</v>
      </c>
      <c r="J71" s="109">
        <f t="shared" si="12"/>
        <v>1</v>
      </c>
      <c r="K71" s="109">
        <f t="shared" si="12"/>
        <v>1</v>
      </c>
      <c r="L71" s="109">
        <f t="shared" si="12"/>
        <v>1.0175000000000001</v>
      </c>
      <c r="M71" s="109">
        <f t="shared" si="12"/>
        <v>1.0353062500000001</v>
      </c>
      <c r="N71" s="109">
        <f t="shared" si="12"/>
        <v>1.0534241093750001</v>
      </c>
      <c r="O71" s="109">
        <f t="shared" si="12"/>
        <v>1.0718590312890628</v>
      </c>
      <c r="P71" s="109">
        <f t="shared" si="12"/>
        <v>1.0906165643366215</v>
      </c>
      <c r="Q71" s="109">
        <f t="shared" si="12"/>
        <v>1.1097023542125124</v>
      </c>
      <c r="R71" s="109">
        <f t="shared" si="12"/>
        <v>1.1291221454112312</v>
      </c>
      <c r="S71" s="109">
        <f t="shared" si="12"/>
        <v>1.1488817829559281</v>
      </c>
      <c r="T71" s="109">
        <f t="shared" si="12"/>
        <v>1.1689872141576569</v>
      </c>
      <c r="U71" s="109">
        <f t="shared" si="12"/>
        <v>1.189444490405416</v>
      </c>
      <c r="V71" s="109">
        <f t="shared" si="12"/>
        <v>1.2102597689875108</v>
      </c>
      <c r="W71" s="109">
        <f t="shared" si="12"/>
        <v>1.2314393149447924</v>
      </c>
      <c r="X71" s="109">
        <f t="shared" si="12"/>
        <v>1.2529895029563263</v>
      </c>
      <c r="Y71" s="109">
        <f t="shared" si="12"/>
        <v>1.2749168192580622</v>
      </c>
      <c r="Z71" s="109">
        <f t="shared" si="12"/>
        <v>1.297227863595078</v>
      </c>
      <c r="AA71" s="66"/>
      <c r="AB71" s="10">
        <v>0.06</v>
      </c>
    </row>
    <row r="72" spans="1:28" x14ac:dyDescent="0.2">
      <c r="A72" s="10"/>
      <c r="B72" s="10"/>
      <c r="C72" s="23" t="s">
        <v>309</v>
      </c>
      <c r="D72" s="23"/>
      <c r="E72" s="23"/>
      <c r="F72" s="23"/>
      <c r="G72" s="66">
        <f t="shared" ref="G72:Z72" si="13">IFERROR(G75*1000/G69,0)</f>
        <v>0</v>
      </c>
      <c r="H72" s="66">
        <f t="shared" si="13"/>
        <v>0</v>
      </c>
      <c r="I72" s="66">
        <f t="shared" si="13"/>
        <v>0</v>
      </c>
      <c r="J72" s="66">
        <f t="shared" si="13"/>
        <v>223.85557704706642</v>
      </c>
      <c r="K72" s="66">
        <f t="shared" si="13"/>
        <v>223.85557704706642</v>
      </c>
      <c r="L72" s="66">
        <f t="shared" si="13"/>
        <v>227.77304964539005</v>
      </c>
      <c r="M72" s="66">
        <f t="shared" si="13"/>
        <v>231.75907801418444</v>
      </c>
      <c r="N72" s="66">
        <f t="shared" si="13"/>
        <v>235.81486187943264</v>
      </c>
      <c r="O72" s="66">
        <f t="shared" si="13"/>
        <v>239.94162196232276</v>
      </c>
      <c r="P72" s="66">
        <f t="shared" si="13"/>
        <v>244.1406003466634</v>
      </c>
      <c r="Q72" s="66">
        <f t="shared" si="13"/>
        <v>248.41306085273007</v>
      </c>
      <c r="R72" s="66">
        <f t="shared" si="13"/>
        <v>252.76028941765273</v>
      </c>
      <c r="S72" s="66">
        <f t="shared" si="13"/>
        <v>257.18359448246179</v>
      </c>
      <c r="T72" s="66">
        <f t="shared" si="13"/>
        <v>261.68430738590496</v>
      </c>
      <c r="U72" s="66">
        <f t="shared" si="13"/>
        <v>266.26378276515828</v>
      </c>
      <c r="V72" s="66">
        <f t="shared" si="13"/>
        <v>270.92339896354844</v>
      </c>
      <c r="W72" s="66">
        <f t="shared" si="13"/>
        <v>275.66455844541076</v>
      </c>
      <c r="X72" s="66">
        <f t="shared" si="13"/>
        <v>280.48868821820531</v>
      </c>
      <c r="Y72" s="66">
        <f t="shared" si="13"/>
        <v>285.39724026202401</v>
      </c>
      <c r="Z72" s="66">
        <f t="shared" si="13"/>
        <v>290.39169196660936</v>
      </c>
      <c r="AA72" s="66"/>
      <c r="AB72" s="10">
        <v>0.06</v>
      </c>
    </row>
    <row r="73" spans="1:28" x14ac:dyDescent="0.2">
      <c r="A73" s="10"/>
      <c r="B73" s="10"/>
      <c r="C73" s="10"/>
      <c r="D73" s="10"/>
      <c r="E73" s="10"/>
      <c r="F73" s="10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0">
        <v>0.06</v>
      </c>
    </row>
    <row r="74" spans="1:28" x14ac:dyDescent="0.2">
      <c r="A74" s="10"/>
      <c r="B74" s="24" t="s">
        <v>74</v>
      </c>
      <c r="C74" s="24"/>
      <c r="D74" s="24"/>
      <c r="E74" s="24"/>
      <c r="F74" s="24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10">
        <v>0.06</v>
      </c>
    </row>
    <row r="75" spans="1:28" x14ac:dyDescent="0.2">
      <c r="A75" s="10"/>
      <c r="B75" s="49" t="s">
        <v>3</v>
      </c>
      <c r="C75" s="49"/>
      <c r="D75" s="49"/>
      <c r="E75" s="50">
        <f>SUM(G75:Z75)</f>
        <v>1010758.7232555096</v>
      </c>
      <c r="F75" s="49"/>
      <c r="G75" s="50">
        <f t="shared" ref="G75:Z75" si="14">SUM(G76:G85)</f>
        <v>0</v>
      </c>
      <c r="H75" s="50">
        <f t="shared" si="14"/>
        <v>0</v>
      </c>
      <c r="I75" s="50">
        <f t="shared" si="14"/>
        <v>0</v>
      </c>
      <c r="J75" s="50">
        <f t="shared" si="14"/>
        <v>7161.0000000000009</v>
      </c>
      <c r="K75" s="50">
        <f t="shared" si="14"/>
        <v>47740.000000000007</v>
      </c>
      <c r="L75" s="50">
        <f t="shared" si="14"/>
        <v>49425.520375000007</v>
      </c>
      <c r="M75" s="50">
        <f t="shared" si="14"/>
        <v>51170.550153739867</v>
      </c>
      <c r="N75" s="50">
        <f t="shared" si="14"/>
        <v>52977.190390105337</v>
      </c>
      <c r="O75" s="50">
        <f t="shared" si="14"/>
        <v>54847.61631831601</v>
      </c>
      <c r="P75" s="50">
        <f t="shared" si="14"/>
        <v>56784.079971954561</v>
      </c>
      <c r="Q75" s="50">
        <f t="shared" si="14"/>
        <v>58788.912895464397</v>
      </c>
      <c r="R75" s="50">
        <f t="shared" si="14"/>
        <v>60864.528951379856</v>
      </c>
      <c r="S75" s="50">
        <f t="shared" si="14"/>
        <v>63013.427226669563</v>
      </c>
      <c r="T75" s="50">
        <f t="shared" si="14"/>
        <v>65238.195041691186</v>
      </c>
      <c r="U75" s="50">
        <f t="shared" si="14"/>
        <v>67541.511065381899</v>
      </c>
      <c r="V75" s="50">
        <f t="shared" si="14"/>
        <v>69926.148540434006</v>
      </c>
      <c r="W75" s="50">
        <f t="shared" si="14"/>
        <v>72394.978622339768</v>
      </c>
      <c r="X75" s="50">
        <f t="shared" si="14"/>
        <v>74950.973836324716</v>
      </c>
      <c r="Y75" s="50">
        <f t="shared" si="14"/>
        <v>77597.211656333515</v>
      </c>
      <c r="Z75" s="50">
        <f t="shared" si="14"/>
        <v>80336.878210374896</v>
      </c>
      <c r="AA75" s="50"/>
      <c r="AB75" s="10">
        <v>0.06</v>
      </c>
    </row>
    <row r="76" spans="1:28" x14ac:dyDescent="0.2">
      <c r="A76" s="10"/>
      <c r="B76" s="10"/>
      <c r="C76" s="10" t="s">
        <v>310</v>
      </c>
      <c r="D76" s="10"/>
      <c r="E76" s="10"/>
      <c r="F76" s="10"/>
      <c r="G76" s="12">
        <f t="shared" ref="G76:Z76" si="15">G69*$E$14/1000*G71</f>
        <v>0</v>
      </c>
      <c r="H76" s="12">
        <f t="shared" si="15"/>
        <v>0</v>
      </c>
      <c r="I76" s="12">
        <f t="shared" si="15"/>
        <v>0</v>
      </c>
      <c r="J76" s="12">
        <f t="shared" si="15"/>
        <v>3838.7250000000004</v>
      </c>
      <c r="K76" s="12">
        <f t="shared" si="15"/>
        <v>25591.500000000004</v>
      </c>
      <c r="L76" s="12">
        <f t="shared" si="15"/>
        <v>26495.039896875009</v>
      </c>
      <c r="M76" s="12">
        <f t="shared" si="15"/>
        <v>27430.480399234053</v>
      </c>
      <c r="N76" s="12">
        <f t="shared" si="15"/>
        <v>28398.947797829507</v>
      </c>
      <c r="O76" s="12">
        <f t="shared" si="15"/>
        <v>29401.60814851664</v>
      </c>
      <c r="P76" s="12">
        <f t="shared" si="15"/>
        <v>30439.668676210207</v>
      </c>
      <c r="Q76" s="12">
        <f t="shared" si="15"/>
        <v>31514.379228409656</v>
      </c>
      <c r="R76" s="12">
        <f t="shared" si="15"/>
        <v>32627.03378004269</v>
      </c>
      <c r="S76" s="12">
        <f t="shared" si="15"/>
        <v>33778.971991439343</v>
      </c>
      <c r="T76" s="12">
        <f t="shared" si="15"/>
        <v>34971.580821312098</v>
      </c>
      <c r="U76" s="12">
        <f t="shared" si="15"/>
        <v>36206.296196684561</v>
      </c>
      <c r="V76" s="12">
        <f t="shared" si="15"/>
        <v>37484.604741778741</v>
      </c>
      <c r="W76" s="12">
        <f t="shared" si="15"/>
        <v>38808.045567943183</v>
      </c>
      <c r="X76" s="12">
        <f t="shared" si="15"/>
        <v>40178.21212677638</v>
      </c>
      <c r="Y76" s="12">
        <f t="shared" si="15"/>
        <v>41596.754128677399</v>
      </c>
      <c r="Z76" s="12">
        <f t="shared" si="15"/>
        <v>43065.379529132988</v>
      </c>
      <c r="AA76" s="12"/>
      <c r="AB76" s="10">
        <v>0.06</v>
      </c>
    </row>
    <row r="77" spans="1:28" x14ac:dyDescent="0.2">
      <c r="A77" s="10"/>
      <c r="B77" s="10"/>
      <c r="C77" s="10" t="s">
        <v>311</v>
      </c>
      <c r="D77" s="10"/>
      <c r="E77" s="10"/>
      <c r="F77" s="10"/>
      <c r="G77" s="12">
        <f t="shared" ref="G77:Z77" si="16">$E$54*$E$43/$E$52*G70*G71</f>
        <v>0</v>
      </c>
      <c r="H77" s="12">
        <f t="shared" si="16"/>
        <v>0</v>
      </c>
      <c r="I77" s="12">
        <f t="shared" si="16"/>
        <v>0</v>
      </c>
      <c r="J77" s="12">
        <f t="shared" si="16"/>
        <v>1749.2062500000002</v>
      </c>
      <c r="K77" s="12">
        <f t="shared" si="16"/>
        <v>11661.375000000002</v>
      </c>
      <c r="L77" s="12">
        <f t="shared" si="16"/>
        <v>12073.094421093754</v>
      </c>
      <c r="M77" s="12">
        <f t="shared" si="16"/>
        <v>12499.350110998497</v>
      </c>
      <c r="N77" s="12">
        <f t="shared" si="16"/>
        <v>12940.655290854938</v>
      </c>
      <c r="O77" s="12">
        <f t="shared" si="16"/>
        <v>13397.541301717687</v>
      </c>
      <c r="P77" s="12">
        <f t="shared" si="16"/>
        <v>13870.558244301461</v>
      </c>
      <c r="Q77" s="12">
        <f t="shared" si="16"/>
        <v>14360.275641314329</v>
      </c>
      <c r="R77" s="12">
        <f t="shared" si="16"/>
        <v>14867.283123175481</v>
      </c>
      <c r="S77" s="12">
        <f t="shared" si="16"/>
        <v>15392.191137943104</v>
      </c>
      <c r="T77" s="12">
        <f t="shared" si="16"/>
        <v>15935.631686307112</v>
      </c>
      <c r="U77" s="12">
        <f t="shared" si="16"/>
        <v>16498.259082531793</v>
      </c>
      <c r="V77" s="12">
        <f t="shared" si="16"/>
        <v>17080.750742264427</v>
      </c>
      <c r="W77" s="12">
        <f t="shared" si="16"/>
        <v>17683.807998158507</v>
      </c>
      <c r="X77" s="12">
        <f t="shared" si="16"/>
        <v>18308.156944293492</v>
      </c>
      <c r="Y77" s="12">
        <f t="shared" si="16"/>
        <v>18954.549310407961</v>
      </c>
      <c r="Z77" s="12">
        <f t="shared" si="16"/>
        <v>19623.763366998544</v>
      </c>
      <c r="AA77" s="12"/>
      <c r="AB77" s="10">
        <v>0.06</v>
      </c>
    </row>
    <row r="78" spans="1:28" x14ac:dyDescent="0.2">
      <c r="A78" s="10"/>
      <c r="B78" s="10"/>
      <c r="C78" s="10" t="s">
        <v>312</v>
      </c>
      <c r="D78" s="10"/>
      <c r="E78" s="10"/>
      <c r="F78" s="10"/>
      <c r="G78" s="12">
        <f t="shared" ref="G78:Z78" si="17">$E$54*$E$44/$E$52*G70*G71</f>
        <v>0</v>
      </c>
      <c r="H78" s="12">
        <f t="shared" si="17"/>
        <v>0</v>
      </c>
      <c r="I78" s="12">
        <f t="shared" si="17"/>
        <v>0</v>
      </c>
      <c r="J78" s="12">
        <f t="shared" si="17"/>
        <v>349.84125000000012</v>
      </c>
      <c r="K78" s="12">
        <f t="shared" si="17"/>
        <v>2332.2750000000005</v>
      </c>
      <c r="L78" s="12">
        <f t="shared" si="17"/>
        <v>2414.6188842187516</v>
      </c>
      <c r="M78" s="12">
        <f t="shared" si="17"/>
        <v>2499.8700221996996</v>
      </c>
      <c r="N78" s="12">
        <f t="shared" si="17"/>
        <v>2588.1310581709877</v>
      </c>
      <c r="O78" s="12">
        <f t="shared" si="17"/>
        <v>2679.508260343538</v>
      </c>
      <c r="P78" s="12">
        <f t="shared" si="17"/>
        <v>2774.1116488602929</v>
      </c>
      <c r="Q78" s="12">
        <f t="shared" si="17"/>
        <v>2872.0551282628662</v>
      </c>
      <c r="R78" s="12">
        <f t="shared" si="17"/>
        <v>2973.4566246350969</v>
      </c>
      <c r="S78" s="12">
        <f t="shared" si="17"/>
        <v>3078.4382275886219</v>
      </c>
      <c r="T78" s="12">
        <f t="shared" si="17"/>
        <v>3187.126337261423</v>
      </c>
      <c r="U78" s="12">
        <f t="shared" si="17"/>
        <v>3299.651816506359</v>
      </c>
      <c r="V78" s="12">
        <f t="shared" si="17"/>
        <v>3416.1501484528862</v>
      </c>
      <c r="W78" s="12">
        <f t="shared" si="17"/>
        <v>3536.7615996317027</v>
      </c>
      <c r="X78" s="12">
        <f t="shared" si="17"/>
        <v>3661.6313888586992</v>
      </c>
      <c r="Y78" s="12">
        <f t="shared" si="17"/>
        <v>3790.9098620815935</v>
      </c>
      <c r="Z78" s="12">
        <f t="shared" si="17"/>
        <v>3924.7526733997097</v>
      </c>
      <c r="AA78" s="12"/>
      <c r="AB78" s="10">
        <v>0.06</v>
      </c>
    </row>
    <row r="79" spans="1:28" x14ac:dyDescent="0.2">
      <c r="A79" s="10"/>
      <c r="B79" s="10"/>
      <c r="C79" s="10" t="s">
        <v>313</v>
      </c>
      <c r="D79" s="10"/>
      <c r="E79" s="10"/>
      <c r="F79" s="10"/>
      <c r="G79" s="12">
        <f t="shared" ref="G79:Z79" si="18">$E$54*$E$45/$E$52*G70*G71</f>
        <v>0</v>
      </c>
      <c r="H79" s="12">
        <f t="shared" si="18"/>
        <v>0</v>
      </c>
      <c r="I79" s="12">
        <f t="shared" si="18"/>
        <v>0</v>
      </c>
      <c r="J79" s="12">
        <f t="shared" si="18"/>
        <v>233.22750000000002</v>
      </c>
      <c r="K79" s="12">
        <f t="shared" si="18"/>
        <v>1554.8500000000001</v>
      </c>
      <c r="L79" s="12">
        <f t="shared" si="18"/>
        <v>1609.7459228125006</v>
      </c>
      <c r="M79" s="12">
        <f t="shared" si="18"/>
        <v>1666.5800147997995</v>
      </c>
      <c r="N79" s="12">
        <f t="shared" si="18"/>
        <v>1725.4207054473247</v>
      </c>
      <c r="O79" s="12">
        <f t="shared" si="18"/>
        <v>1786.338840229025</v>
      </c>
      <c r="P79" s="12">
        <f t="shared" si="18"/>
        <v>1849.4077659068614</v>
      </c>
      <c r="Q79" s="12">
        <f t="shared" si="18"/>
        <v>1914.7034188419107</v>
      </c>
      <c r="R79" s="12">
        <f t="shared" si="18"/>
        <v>1982.3044164233977</v>
      </c>
      <c r="S79" s="12">
        <f t="shared" si="18"/>
        <v>2052.2921517257473</v>
      </c>
      <c r="T79" s="12">
        <f t="shared" si="18"/>
        <v>2124.7508915076146</v>
      </c>
      <c r="U79" s="12">
        <f t="shared" si="18"/>
        <v>2199.7678776709058</v>
      </c>
      <c r="V79" s="12">
        <f t="shared" si="18"/>
        <v>2277.4334323019239</v>
      </c>
      <c r="W79" s="12">
        <f t="shared" si="18"/>
        <v>2357.8410664211342</v>
      </c>
      <c r="X79" s="12">
        <f t="shared" si="18"/>
        <v>2441.0875925724654</v>
      </c>
      <c r="Y79" s="12">
        <f t="shared" si="18"/>
        <v>2527.2732413877284</v>
      </c>
      <c r="Z79" s="12">
        <f t="shared" si="18"/>
        <v>2616.5017822664727</v>
      </c>
      <c r="AA79" s="12"/>
      <c r="AB79" s="10">
        <v>0.06</v>
      </c>
    </row>
    <row r="80" spans="1:28" x14ac:dyDescent="0.2">
      <c r="A80" s="10"/>
      <c r="B80" s="10"/>
      <c r="C80" s="10" t="s">
        <v>314</v>
      </c>
      <c r="D80" s="10"/>
      <c r="E80" s="10"/>
      <c r="F80" s="10"/>
      <c r="G80" s="12">
        <f t="shared" ref="G80:Z80" si="19">$E$16*$E$46/$E$53*G70*G71</f>
        <v>0</v>
      </c>
      <c r="H80" s="12">
        <f t="shared" si="19"/>
        <v>0</v>
      </c>
      <c r="I80" s="12">
        <f t="shared" si="19"/>
        <v>0</v>
      </c>
      <c r="J80" s="12">
        <f t="shared" si="19"/>
        <v>185.625</v>
      </c>
      <c r="K80" s="12">
        <f t="shared" si="19"/>
        <v>1237.5</v>
      </c>
      <c r="L80" s="12">
        <f t="shared" si="19"/>
        <v>1281.1914843750003</v>
      </c>
      <c r="M80" s="12">
        <f t="shared" si="19"/>
        <v>1326.4255512202155</v>
      </c>
      <c r="N80" s="12">
        <f t="shared" si="19"/>
        <v>1373.256663337984</v>
      </c>
      <c r="O80" s="12">
        <f t="shared" si="19"/>
        <v>1421.741206407961</v>
      </c>
      <c r="P80" s="12">
        <f t="shared" si="19"/>
        <v>1471.9375568767025</v>
      </c>
      <c r="Q80" s="12">
        <f t="shared" si="19"/>
        <v>1523.9061522441807</v>
      </c>
      <c r="R80" s="12">
        <f t="shared" si="19"/>
        <v>1577.7095638318517</v>
      </c>
      <c r="S80" s="12">
        <f t="shared" si="19"/>
        <v>1633.4125721198907</v>
      </c>
      <c r="T80" s="12">
        <f t="shared" si="19"/>
        <v>1691.082244744299</v>
      </c>
      <c r="U80" s="12">
        <f t="shared" si="19"/>
        <v>1750.7880172478024</v>
      </c>
      <c r="V80" s="12">
        <f t="shared" si="19"/>
        <v>1812.6017766817577</v>
      </c>
      <c r="W80" s="12">
        <f t="shared" si="19"/>
        <v>1876.5979481597285</v>
      </c>
      <c r="X80" s="12">
        <f t="shared" si="19"/>
        <v>1942.8535844669427</v>
      </c>
      <c r="Y80" s="12">
        <f t="shared" si="19"/>
        <v>2011.4484588335299</v>
      </c>
      <c r="Z80" s="12">
        <f t="shared" si="19"/>
        <v>2082.4651609832204</v>
      </c>
      <c r="AA80" s="12"/>
      <c r="AB80" s="10">
        <v>0.06</v>
      </c>
    </row>
    <row r="81" spans="1:28" x14ac:dyDescent="0.2">
      <c r="A81" s="10"/>
      <c r="B81" s="10"/>
      <c r="C81" s="10" t="s">
        <v>315</v>
      </c>
      <c r="D81" s="10"/>
      <c r="E81" s="10"/>
      <c r="F81" s="10"/>
      <c r="G81" s="12">
        <f t="shared" ref="G81:Z81" si="20">$E$16*$E$47/$E$53*G70*G71</f>
        <v>0</v>
      </c>
      <c r="H81" s="12">
        <f t="shared" si="20"/>
        <v>0</v>
      </c>
      <c r="I81" s="12">
        <f t="shared" si="20"/>
        <v>0</v>
      </c>
      <c r="J81" s="12">
        <f t="shared" si="20"/>
        <v>309.375</v>
      </c>
      <c r="K81" s="12">
        <f t="shared" si="20"/>
        <v>2062.5</v>
      </c>
      <c r="L81" s="12">
        <f t="shared" si="20"/>
        <v>2135.3191406250007</v>
      </c>
      <c r="M81" s="12">
        <f t="shared" si="20"/>
        <v>2210.7092520336923</v>
      </c>
      <c r="N81" s="12">
        <f t="shared" si="20"/>
        <v>2288.7611055633065</v>
      </c>
      <c r="O81" s="12">
        <f t="shared" si="20"/>
        <v>2369.5686773466018</v>
      </c>
      <c r="P81" s="12">
        <f t="shared" si="20"/>
        <v>2453.2292614611711</v>
      </c>
      <c r="Q81" s="12">
        <f t="shared" si="20"/>
        <v>2539.8435870736344</v>
      </c>
      <c r="R81" s="12">
        <f t="shared" si="20"/>
        <v>2629.5159397197526</v>
      </c>
      <c r="S81" s="12">
        <f t="shared" si="20"/>
        <v>2722.3542868664849</v>
      </c>
      <c r="T81" s="12">
        <f t="shared" si="20"/>
        <v>2818.4704079071653</v>
      </c>
      <c r="U81" s="12">
        <f t="shared" si="20"/>
        <v>2917.9800287463377</v>
      </c>
      <c r="V81" s="12">
        <f t="shared" si="20"/>
        <v>3021.0029611362625</v>
      </c>
      <c r="W81" s="12">
        <f t="shared" si="20"/>
        <v>3127.6632469328806</v>
      </c>
      <c r="X81" s="12">
        <f t="shared" si="20"/>
        <v>3238.0893074449045</v>
      </c>
      <c r="Y81" s="12">
        <f t="shared" si="20"/>
        <v>3352.4140980558832</v>
      </c>
      <c r="Z81" s="12">
        <f t="shared" si="20"/>
        <v>3470.7752683053673</v>
      </c>
      <c r="AA81" s="12"/>
      <c r="AB81" s="10">
        <v>0.06</v>
      </c>
    </row>
    <row r="82" spans="1:28" x14ac:dyDescent="0.2">
      <c r="A82" s="10"/>
      <c r="B82" s="10"/>
      <c r="C82" s="10" t="s">
        <v>316</v>
      </c>
      <c r="D82" s="10"/>
      <c r="E82" s="10"/>
      <c r="F82" s="10"/>
      <c r="G82" s="12">
        <f t="shared" ref="G82:Z82" si="21">$E$16*$E$48/$E$53*G70*G71</f>
        <v>0</v>
      </c>
      <c r="H82" s="12">
        <f t="shared" si="21"/>
        <v>0</v>
      </c>
      <c r="I82" s="12">
        <f t="shared" si="21"/>
        <v>0</v>
      </c>
      <c r="J82" s="12">
        <f t="shared" si="21"/>
        <v>185.625</v>
      </c>
      <c r="K82" s="12">
        <f t="shared" si="21"/>
        <v>1237.5</v>
      </c>
      <c r="L82" s="12">
        <f t="shared" si="21"/>
        <v>1281.1914843750003</v>
      </c>
      <c r="M82" s="12">
        <f t="shared" si="21"/>
        <v>1326.4255512202155</v>
      </c>
      <c r="N82" s="12">
        <f t="shared" si="21"/>
        <v>1373.256663337984</v>
      </c>
      <c r="O82" s="12">
        <f t="shared" si="21"/>
        <v>1421.741206407961</v>
      </c>
      <c r="P82" s="12">
        <f t="shared" si="21"/>
        <v>1471.9375568767025</v>
      </c>
      <c r="Q82" s="12">
        <f t="shared" si="21"/>
        <v>1523.9061522441807</v>
      </c>
      <c r="R82" s="12">
        <f t="shared" si="21"/>
        <v>1577.7095638318517</v>
      </c>
      <c r="S82" s="12">
        <f t="shared" si="21"/>
        <v>1633.4125721198907</v>
      </c>
      <c r="T82" s="12">
        <f t="shared" si="21"/>
        <v>1691.082244744299</v>
      </c>
      <c r="U82" s="12">
        <f t="shared" si="21"/>
        <v>1750.7880172478024</v>
      </c>
      <c r="V82" s="12">
        <f t="shared" si="21"/>
        <v>1812.6017766817577</v>
      </c>
      <c r="W82" s="12">
        <f t="shared" si="21"/>
        <v>1876.5979481597285</v>
      </c>
      <c r="X82" s="12">
        <f t="shared" si="21"/>
        <v>1942.8535844669427</v>
      </c>
      <c r="Y82" s="12">
        <f t="shared" si="21"/>
        <v>2011.4484588335299</v>
      </c>
      <c r="Z82" s="12">
        <f t="shared" si="21"/>
        <v>2082.4651609832204</v>
      </c>
      <c r="AA82" s="12"/>
      <c r="AB82" s="10">
        <v>0.06</v>
      </c>
    </row>
    <row r="83" spans="1:28" x14ac:dyDescent="0.2">
      <c r="A83" s="10"/>
      <c r="B83" s="10"/>
      <c r="C83" s="10" t="s">
        <v>317</v>
      </c>
      <c r="D83" s="10"/>
      <c r="E83" s="10"/>
      <c r="F83" s="10"/>
      <c r="G83" s="12">
        <f t="shared" ref="G83:Z83" si="22">$E$16*$E$49/$E$53*G70*G71</f>
        <v>0</v>
      </c>
      <c r="H83" s="12">
        <f t="shared" si="22"/>
        <v>0</v>
      </c>
      <c r="I83" s="12">
        <f t="shared" si="22"/>
        <v>0</v>
      </c>
      <c r="J83" s="12">
        <f t="shared" si="22"/>
        <v>123.75</v>
      </c>
      <c r="K83" s="12">
        <f t="shared" si="22"/>
        <v>825.00000000000011</v>
      </c>
      <c r="L83" s="12">
        <f t="shared" si="22"/>
        <v>854.12765625000031</v>
      </c>
      <c r="M83" s="12">
        <f t="shared" si="22"/>
        <v>884.28370081347691</v>
      </c>
      <c r="N83" s="12">
        <f t="shared" si="22"/>
        <v>915.50444222532269</v>
      </c>
      <c r="O83" s="12">
        <f t="shared" si="22"/>
        <v>947.82747093864077</v>
      </c>
      <c r="P83" s="12">
        <f t="shared" si="22"/>
        <v>981.29170458446845</v>
      </c>
      <c r="Q83" s="12">
        <f t="shared" si="22"/>
        <v>1015.9374348294538</v>
      </c>
      <c r="R83" s="12">
        <f t="shared" si="22"/>
        <v>1051.8063758879011</v>
      </c>
      <c r="S83" s="12">
        <f t="shared" si="22"/>
        <v>1088.9417147465938</v>
      </c>
      <c r="T83" s="12">
        <f t="shared" si="22"/>
        <v>1127.388163162866</v>
      </c>
      <c r="U83" s="12">
        <f t="shared" si="22"/>
        <v>1167.1920114985351</v>
      </c>
      <c r="V83" s="12">
        <f t="shared" si="22"/>
        <v>1208.401184454505</v>
      </c>
      <c r="W83" s="12">
        <f t="shared" si="22"/>
        <v>1251.0652987731523</v>
      </c>
      <c r="X83" s="12">
        <f t="shared" si="22"/>
        <v>1295.2357229779618</v>
      </c>
      <c r="Y83" s="12">
        <f t="shared" si="22"/>
        <v>1340.9656392223533</v>
      </c>
      <c r="Z83" s="12">
        <f t="shared" si="22"/>
        <v>1388.3101073221467</v>
      </c>
      <c r="AA83" s="12"/>
      <c r="AB83" s="10">
        <v>0.06</v>
      </c>
    </row>
    <row r="84" spans="1:28" x14ac:dyDescent="0.2">
      <c r="A84" s="10"/>
      <c r="B84" s="10"/>
      <c r="C84" s="10" t="s">
        <v>318</v>
      </c>
      <c r="D84" s="10"/>
      <c r="E84" s="10"/>
      <c r="F84" s="10"/>
      <c r="G84" s="12">
        <f t="shared" ref="G84:Z84" si="23">$E$16*$E$50/$E$53*G70*G71</f>
        <v>0</v>
      </c>
      <c r="H84" s="12">
        <f t="shared" si="23"/>
        <v>0</v>
      </c>
      <c r="I84" s="12">
        <f t="shared" si="23"/>
        <v>0</v>
      </c>
      <c r="J84" s="12">
        <f t="shared" si="23"/>
        <v>123.75</v>
      </c>
      <c r="K84" s="12">
        <f t="shared" si="23"/>
        <v>825.00000000000011</v>
      </c>
      <c r="L84" s="12">
        <f t="shared" si="23"/>
        <v>854.12765625000031</v>
      </c>
      <c r="M84" s="12">
        <f t="shared" si="23"/>
        <v>884.28370081347691</v>
      </c>
      <c r="N84" s="12">
        <f t="shared" si="23"/>
        <v>915.50444222532269</v>
      </c>
      <c r="O84" s="12">
        <f t="shared" si="23"/>
        <v>947.82747093864077</v>
      </c>
      <c r="P84" s="12">
        <f t="shared" si="23"/>
        <v>981.29170458446845</v>
      </c>
      <c r="Q84" s="12">
        <f t="shared" si="23"/>
        <v>1015.9374348294538</v>
      </c>
      <c r="R84" s="12">
        <f t="shared" si="23"/>
        <v>1051.8063758879011</v>
      </c>
      <c r="S84" s="12">
        <f t="shared" si="23"/>
        <v>1088.9417147465938</v>
      </c>
      <c r="T84" s="12">
        <f t="shared" si="23"/>
        <v>1127.388163162866</v>
      </c>
      <c r="U84" s="12">
        <f t="shared" si="23"/>
        <v>1167.1920114985351</v>
      </c>
      <c r="V84" s="12">
        <f t="shared" si="23"/>
        <v>1208.401184454505</v>
      </c>
      <c r="W84" s="12">
        <f t="shared" si="23"/>
        <v>1251.0652987731523</v>
      </c>
      <c r="X84" s="12">
        <f t="shared" si="23"/>
        <v>1295.2357229779618</v>
      </c>
      <c r="Y84" s="12">
        <f t="shared" si="23"/>
        <v>1340.9656392223533</v>
      </c>
      <c r="Z84" s="12">
        <f t="shared" si="23"/>
        <v>1388.3101073221467</v>
      </c>
      <c r="AA84" s="12"/>
      <c r="AB84" s="10">
        <v>0.06</v>
      </c>
    </row>
    <row r="85" spans="1:28" x14ac:dyDescent="0.2">
      <c r="A85" s="10"/>
      <c r="B85" s="10"/>
      <c r="C85" s="10" t="s">
        <v>319</v>
      </c>
      <c r="D85" s="10"/>
      <c r="E85" s="10"/>
      <c r="F85" s="10"/>
      <c r="G85" s="12">
        <f t="shared" ref="G85:Z85" si="24">$E$16*$E$51/$E$53*G70*G71</f>
        <v>0</v>
      </c>
      <c r="H85" s="12">
        <f t="shared" si="24"/>
        <v>0</v>
      </c>
      <c r="I85" s="12">
        <f t="shared" si="24"/>
        <v>0</v>
      </c>
      <c r="J85" s="12">
        <f t="shared" si="24"/>
        <v>61.875</v>
      </c>
      <c r="K85" s="12">
        <f t="shared" si="24"/>
        <v>412.50000000000006</v>
      </c>
      <c r="L85" s="12">
        <f t="shared" si="24"/>
        <v>427.06382812500016</v>
      </c>
      <c r="M85" s="12">
        <f t="shared" si="24"/>
        <v>442.14185040673846</v>
      </c>
      <c r="N85" s="12">
        <f t="shared" si="24"/>
        <v>457.75222111266135</v>
      </c>
      <c r="O85" s="12">
        <f t="shared" si="24"/>
        <v>473.91373546932039</v>
      </c>
      <c r="P85" s="12">
        <f t="shared" si="24"/>
        <v>490.64585229223422</v>
      </c>
      <c r="Q85" s="12">
        <f t="shared" si="24"/>
        <v>507.96871741472688</v>
      </c>
      <c r="R85" s="12">
        <f t="shared" si="24"/>
        <v>525.90318794395057</v>
      </c>
      <c r="S85" s="12">
        <f t="shared" si="24"/>
        <v>544.47085737329689</v>
      </c>
      <c r="T85" s="12">
        <f t="shared" si="24"/>
        <v>563.69408158143301</v>
      </c>
      <c r="U85" s="12">
        <f t="shared" si="24"/>
        <v>583.59600574926753</v>
      </c>
      <c r="V85" s="12">
        <f t="shared" si="24"/>
        <v>604.20059222725251</v>
      </c>
      <c r="W85" s="12">
        <f t="shared" si="24"/>
        <v>625.53264938657617</v>
      </c>
      <c r="X85" s="12">
        <f t="shared" si="24"/>
        <v>647.61786148898091</v>
      </c>
      <c r="Y85" s="12">
        <f t="shared" si="24"/>
        <v>670.48281961117664</v>
      </c>
      <c r="Z85" s="12">
        <f t="shared" si="24"/>
        <v>694.15505366107334</v>
      </c>
      <c r="AA85" s="12"/>
      <c r="AB85" s="10">
        <v>0.06</v>
      </c>
    </row>
    <row r="86" spans="1:28" x14ac:dyDescent="0.2">
      <c r="A86" s="10"/>
      <c r="B86" s="49" t="s">
        <v>6</v>
      </c>
      <c r="C86" s="49"/>
      <c r="D86" s="49"/>
      <c r="E86" s="49"/>
      <c r="F86" s="49"/>
      <c r="G86" s="50">
        <f t="shared" ref="G86:Z86" si="25">SUM(G87:G90)</f>
        <v>0</v>
      </c>
      <c r="H86" s="50">
        <f t="shared" si="25"/>
        <v>0</v>
      </c>
      <c r="I86" s="50">
        <f t="shared" si="25"/>
        <v>0</v>
      </c>
      <c r="J86" s="50">
        <f t="shared" si="25"/>
        <v>-716.1</v>
      </c>
      <c r="K86" s="50">
        <f t="shared" si="25"/>
        <v>-4774</v>
      </c>
      <c r="L86" s="50">
        <f t="shared" si="25"/>
        <v>-4942.5520375000015</v>
      </c>
      <c r="M86" s="50">
        <f t="shared" si="25"/>
        <v>-5117.055015373986</v>
      </c>
      <c r="N86" s="50">
        <f t="shared" si="25"/>
        <v>-5297.7190390105343</v>
      </c>
      <c r="O86" s="50">
        <f t="shared" si="25"/>
        <v>-5484.7616318316004</v>
      </c>
      <c r="P86" s="50">
        <f t="shared" si="25"/>
        <v>-5678.4079971954552</v>
      </c>
      <c r="Q86" s="50">
        <f t="shared" si="25"/>
        <v>-5878.89128954644</v>
      </c>
      <c r="R86" s="50">
        <f t="shared" si="25"/>
        <v>-6086.4528951379853</v>
      </c>
      <c r="S86" s="50">
        <f t="shared" si="25"/>
        <v>-6301.3427226669573</v>
      </c>
      <c r="T86" s="50">
        <f t="shared" si="25"/>
        <v>-6523.8195041691188</v>
      </c>
      <c r="U86" s="50">
        <f t="shared" si="25"/>
        <v>-6754.1511065381892</v>
      </c>
      <c r="V86" s="50">
        <f t="shared" si="25"/>
        <v>-6992.6148540434006</v>
      </c>
      <c r="W86" s="50">
        <f t="shared" si="25"/>
        <v>-7239.4978622339768</v>
      </c>
      <c r="X86" s="50">
        <f t="shared" si="25"/>
        <v>-7495.097383632472</v>
      </c>
      <c r="Y86" s="50">
        <f t="shared" si="25"/>
        <v>-7759.721165633352</v>
      </c>
      <c r="Z86" s="50">
        <f t="shared" si="25"/>
        <v>-8033.6878210374889</v>
      </c>
      <c r="AA86" s="50"/>
      <c r="AB86" s="10">
        <v>0.06</v>
      </c>
    </row>
    <row r="87" spans="1:28" x14ac:dyDescent="0.2">
      <c r="A87" s="10"/>
      <c r="B87" s="10"/>
      <c r="C87" s="10" t="s">
        <v>106</v>
      </c>
      <c r="D87" s="10"/>
      <c r="E87" s="10"/>
      <c r="F87" s="10"/>
      <c r="G87" s="12">
        <f t="shared" ref="G87:Z87" si="26">-G75*0.65%</f>
        <v>0</v>
      </c>
      <c r="H87" s="12">
        <f t="shared" si="26"/>
        <v>0</v>
      </c>
      <c r="I87" s="12">
        <f t="shared" si="26"/>
        <v>0</v>
      </c>
      <c r="J87" s="12">
        <f t="shared" si="26"/>
        <v>-46.546500000000009</v>
      </c>
      <c r="K87" s="12">
        <f t="shared" si="26"/>
        <v>-310.31000000000006</v>
      </c>
      <c r="L87" s="12">
        <f t="shared" si="26"/>
        <v>-321.26588243750007</v>
      </c>
      <c r="M87" s="12">
        <f t="shared" si="26"/>
        <v>-332.60857599930915</v>
      </c>
      <c r="N87" s="12">
        <f t="shared" si="26"/>
        <v>-344.35173753568472</v>
      </c>
      <c r="O87" s="12">
        <f t="shared" si="26"/>
        <v>-356.50950606905411</v>
      </c>
      <c r="P87" s="12">
        <f t="shared" si="26"/>
        <v>-369.09651981770469</v>
      </c>
      <c r="Q87" s="12">
        <f t="shared" si="26"/>
        <v>-382.12793382051859</v>
      </c>
      <c r="R87" s="12">
        <f t="shared" si="26"/>
        <v>-395.61943818396912</v>
      </c>
      <c r="S87" s="12">
        <f t="shared" si="26"/>
        <v>-409.58727697335217</v>
      </c>
      <c r="T87" s="12">
        <f t="shared" si="26"/>
        <v>-424.04826777099277</v>
      </c>
      <c r="U87" s="12">
        <f t="shared" si="26"/>
        <v>-439.01982192498241</v>
      </c>
      <c r="V87" s="12">
        <f t="shared" si="26"/>
        <v>-454.5199655128211</v>
      </c>
      <c r="W87" s="12">
        <f t="shared" si="26"/>
        <v>-470.56736104520854</v>
      </c>
      <c r="X87" s="12">
        <f t="shared" si="26"/>
        <v>-487.18132993611067</v>
      </c>
      <c r="Y87" s="12">
        <f t="shared" si="26"/>
        <v>-504.38187576616787</v>
      </c>
      <c r="Z87" s="12">
        <f t="shared" si="26"/>
        <v>-522.18970836743688</v>
      </c>
      <c r="AA87" s="12"/>
      <c r="AB87" s="10">
        <v>0.06</v>
      </c>
    </row>
    <row r="88" spans="1:28" x14ac:dyDescent="0.2">
      <c r="A88" s="10"/>
      <c r="B88" s="10"/>
      <c r="C88" s="10" t="s">
        <v>107</v>
      </c>
      <c r="D88" s="10"/>
      <c r="E88" s="10"/>
      <c r="F88" s="10"/>
      <c r="G88" s="12">
        <f t="shared" ref="G88:Z88" si="27">-G75*3%</f>
        <v>0</v>
      </c>
      <c r="H88" s="12">
        <f t="shared" si="27"/>
        <v>0</v>
      </c>
      <c r="I88" s="12">
        <f t="shared" si="27"/>
        <v>0</v>
      </c>
      <c r="J88" s="12">
        <f t="shared" si="27"/>
        <v>-214.83</v>
      </c>
      <c r="K88" s="12">
        <f t="shared" si="27"/>
        <v>-1432.2000000000003</v>
      </c>
      <c r="L88" s="12">
        <f t="shared" si="27"/>
        <v>-1482.7656112500001</v>
      </c>
      <c r="M88" s="12">
        <f t="shared" si="27"/>
        <v>-1535.116504612196</v>
      </c>
      <c r="N88" s="12">
        <f t="shared" si="27"/>
        <v>-1589.3157117031601</v>
      </c>
      <c r="O88" s="12">
        <f t="shared" si="27"/>
        <v>-1645.4284895494802</v>
      </c>
      <c r="P88" s="12">
        <f t="shared" si="27"/>
        <v>-1703.5223991586367</v>
      </c>
      <c r="Q88" s="12">
        <f t="shared" si="27"/>
        <v>-1763.6673868639318</v>
      </c>
      <c r="R88" s="12">
        <f t="shared" si="27"/>
        <v>-1825.9358685413956</v>
      </c>
      <c r="S88" s="12">
        <f t="shared" si="27"/>
        <v>-1890.4028168000868</v>
      </c>
      <c r="T88" s="12">
        <f t="shared" si="27"/>
        <v>-1957.1458512507354</v>
      </c>
      <c r="U88" s="12">
        <f t="shared" si="27"/>
        <v>-2026.2453319614569</v>
      </c>
      <c r="V88" s="12">
        <f t="shared" si="27"/>
        <v>-2097.7844562130199</v>
      </c>
      <c r="W88" s="12">
        <f t="shared" si="27"/>
        <v>-2171.8493586701929</v>
      </c>
      <c r="X88" s="12">
        <f t="shared" si="27"/>
        <v>-2248.5292150897412</v>
      </c>
      <c r="Y88" s="12">
        <f t="shared" si="27"/>
        <v>-2327.9163496900055</v>
      </c>
      <c r="Z88" s="12">
        <f t="shared" si="27"/>
        <v>-2410.1063463112469</v>
      </c>
      <c r="AA88" s="12"/>
      <c r="AB88" s="10">
        <v>0.06</v>
      </c>
    </row>
    <row r="89" spans="1:28" x14ac:dyDescent="0.2">
      <c r="A89" s="10"/>
      <c r="B89" s="10"/>
      <c r="C89" s="10" t="s">
        <v>320</v>
      </c>
      <c r="D89" s="10"/>
      <c r="E89" s="10"/>
      <c r="F89" s="10"/>
      <c r="G89" s="12">
        <f t="shared" ref="G89:Z89" si="28">-G75*5%</f>
        <v>0</v>
      </c>
      <c r="H89" s="12">
        <f t="shared" si="28"/>
        <v>0</v>
      </c>
      <c r="I89" s="12">
        <f t="shared" si="28"/>
        <v>0</v>
      </c>
      <c r="J89" s="12">
        <f t="shared" si="28"/>
        <v>-358.05000000000007</v>
      </c>
      <c r="K89" s="12">
        <f t="shared" si="28"/>
        <v>-2387.0000000000005</v>
      </c>
      <c r="L89" s="12">
        <f t="shared" si="28"/>
        <v>-2471.2760187500007</v>
      </c>
      <c r="M89" s="12">
        <f t="shared" si="28"/>
        <v>-2558.5275076869934</v>
      </c>
      <c r="N89" s="12">
        <f t="shared" si="28"/>
        <v>-2648.8595195052671</v>
      </c>
      <c r="O89" s="12">
        <f t="shared" si="28"/>
        <v>-2742.3808159158007</v>
      </c>
      <c r="P89" s="12">
        <f t="shared" si="28"/>
        <v>-2839.2039985977281</v>
      </c>
      <c r="Q89" s="12">
        <f t="shared" si="28"/>
        <v>-2939.44564477322</v>
      </c>
      <c r="R89" s="12">
        <f t="shared" si="28"/>
        <v>-3043.2264475689931</v>
      </c>
      <c r="S89" s="12">
        <f t="shared" si="28"/>
        <v>-3150.6713613334782</v>
      </c>
      <c r="T89" s="12">
        <f t="shared" si="28"/>
        <v>-3261.9097520845594</v>
      </c>
      <c r="U89" s="12">
        <f t="shared" si="28"/>
        <v>-3377.0755532690951</v>
      </c>
      <c r="V89" s="12">
        <f t="shared" si="28"/>
        <v>-3496.3074270217003</v>
      </c>
      <c r="W89" s="12">
        <f t="shared" si="28"/>
        <v>-3619.7489311169884</v>
      </c>
      <c r="X89" s="12">
        <f t="shared" si="28"/>
        <v>-3747.548691816236</v>
      </c>
      <c r="Y89" s="12">
        <f t="shared" si="28"/>
        <v>-3879.860582816676</v>
      </c>
      <c r="Z89" s="12">
        <f t="shared" si="28"/>
        <v>-4016.8439105187449</v>
      </c>
      <c r="AA89" s="12"/>
      <c r="AB89" s="10">
        <v>0.06</v>
      </c>
    </row>
    <row r="90" spans="1:28" x14ac:dyDescent="0.2">
      <c r="A90" s="10"/>
      <c r="B90" s="10"/>
      <c r="C90" s="10" t="s">
        <v>321</v>
      </c>
      <c r="D90" s="10"/>
      <c r="E90" s="10"/>
      <c r="F90" s="10"/>
      <c r="G90" s="12">
        <f t="shared" ref="G90:Z90" si="29">-G75*$E$30</f>
        <v>0</v>
      </c>
      <c r="H90" s="12">
        <f t="shared" si="29"/>
        <v>0</v>
      </c>
      <c r="I90" s="12">
        <f t="shared" si="29"/>
        <v>0</v>
      </c>
      <c r="J90" s="12">
        <f t="shared" si="29"/>
        <v>-96.673500000000004</v>
      </c>
      <c r="K90" s="12">
        <f t="shared" si="29"/>
        <v>-644.49000000000012</v>
      </c>
      <c r="L90" s="12">
        <f t="shared" si="29"/>
        <v>-667.24452506250009</v>
      </c>
      <c r="M90" s="12">
        <f t="shared" si="29"/>
        <v>-690.80242707548814</v>
      </c>
      <c r="N90" s="12">
        <f t="shared" si="29"/>
        <v>-715.19207026642209</v>
      </c>
      <c r="O90" s="12">
        <f t="shared" si="29"/>
        <v>-740.44282029726617</v>
      </c>
      <c r="P90" s="12">
        <f t="shared" si="29"/>
        <v>-766.58507962138651</v>
      </c>
      <c r="Q90" s="12">
        <f t="shared" si="29"/>
        <v>-793.65032408876937</v>
      </c>
      <c r="R90" s="12">
        <f t="shared" si="29"/>
        <v>-821.671140843628</v>
      </c>
      <c r="S90" s="12">
        <f t="shared" si="29"/>
        <v>-850.68126756003903</v>
      </c>
      <c r="T90" s="12">
        <f t="shared" si="29"/>
        <v>-880.71563306283099</v>
      </c>
      <c r="U90" s="12">
        <f t="shared" si="29"/>
        <v>-911.81039938265565</v>
      </c>
      <c r="V90" s="12">
        <f t="shared" si="29"/>
        <v>-944.00300529585911</v>
      </c>
      <c r="W90" s="12">
        <f t="shared" si="29"/>
        <v>-977.33221140158685</v>
      </c>
      <c r="X90" s="12">
        <f t="shared" si="29"/>
        <v>-1011.8381467903837</v>
      </c>
      <c r="Y90" s="12">
        <f t="shared" si="29"/>
        <v>-1047.5623573605023</v>
      </c>
      <c r="Z90" s="12">
        <f t="shared" si="29"/>
        <v>-1084.5478558400612</v>
      </c>
      <c r="AA90" s="12"/>
      <c r="AB90" s="10">
        <v>0.06</v>
      </c>
    </row>
    <row r="91" spans="1:28" x14ac:dyDescent="0.2">
      <c r="A91" s="10"/>
      <c r="B91" s="49" t="s">
        <v>7</v>
      </c>
      <c r="C91" s="49"/>
      <c r="D91" s="49"/>
      <c r="E91" s="49"/>
      <c r="F91" s="49"/>
      <c r="G91" s="50">
        <f t="shared" ref="G91:Z91" si="30">G75+G86</f>
        <v>0</v>
      </c>
      <c r="H91" s="50">
        <f t="shared" si="30"/>
        <v>0</v>
      </c>
      <c r="I91" s="50">
        <f t="shared" si="30"/>
        <v>0</v>
      </c>
      <c r="J91" s="50">
        <f t="shared" si="30"/>
        <v>6444.9000000000005</v>
      </c>
      <c r="K91" s="50">
        <f t="shared" si="30"/>
        <v>42966.000000000007</v>
      </c>
      <c r="L91" s="50">
        <f t="shared" si="30"/>
        <v>44482.968337500002</v>
      </c>
      <c r="M91" s="50">
        <f t="shared" si="30"/>
        <v>46053.495138365877</v>
      </c>
      <c r="N91" s="50">
        <f t="shared" si="30"/>
        <v>47679.471351094806</v>
      </c>
      <c r="O91" s="50">
        <f t="shared" si="30"/>
        <v>49362.85468648441</v>
      </c>
      <c r="P91" s="50">
        <f t="shared" si="30"/>
        <v>51105.671974759105</v>
      </c>
      <c r="Q91" s="50">
        <f t="shared" si="30"/>
        <v>52910.021605917958</v>
      </c>
      <c r="R91" s="50">
        <f t="shared" si="30"/>
        <v>54778.076056241873</v>
      </c>
      <c r="S91" s="50">
        <f t="shared" si="30"/>
        <v>56712.084504002603</v>
      </c>
      <c r="T91" s="50">
        <f t="shared" si="30"/>
        <v>58714.375537522064</v>
      </c>
      <c r="U91" s="50">
        <f t="shared" si="30"/>
        <v>60787.359958843706</v>
      </c>
      <c r="V91" s="50">
        <f t="shared" si="30"/>
        <v>62933.533686390605</v>
      </c>
      <c r="W91" s="50">
        <f t="shared" si="30"/>
        <v>65155.480760105791</v>
      </c>
      <c r="X91" s="50">
        <f t="shared" si="30"/>
        <v>67455.876452692246</v>
      </c>
      <c r="Y91" s="50">
        <f t="shared" si="30"/>
        <v>69837.490490700162</v>
      </c>
      <c r="Z91" s="50">
        <f t="shared" si="30"/>
        <v>72303.190389337411</v>
      </c>
      <c r="AA91" s="50"/>
      <c r="AB91" s="10">
        <v>0.06</v>
      </c>
    </row>
    <row r="92" spans="1:28" x14ac:dyDescent="0.2">
      <c r="A92" s="10"/>
      <c r="B92" s="49" t="s">
        <v>322</v>
      </c>
      <c r="C92" s="49"/>
      <c r="D92" s="49"/>
      <c r="E92" s="49"/>
      <c r="F92" s="49"/>
      <c r="G92" s="50">
        <f t="shared" ref="G92:Z92" si="31">SUM(G93:G98)</f>
        <v>0</v>
      </c>
      <c r="H92" s="50">
        <f t="shared" si="31"/>
        <v>0</v>
      </c>
      <c r="I92" s="50">
        <f t="shared" si="31"/>
        <v>0</v>
      </c>
      <c r="J92" s="50">
        <f t="shared" si="31"/>
        <v>-2895.8812499999999</v>
      </c>
      <c r="K92" s="50">
        <f t="shared" si="31"/>
        <v>-19305.875</v>
      </c>
      <c r="L92" s="50">
        <f t="shared" si="31"/>
        <v>-19577.607717968749</v>
      </c>
      <c r="M92" s="50">
        <f t="shared" si="31"/>
        <v>-19854.835445898785</v>
      </c>
      <c r="N92" s="50">
        <f t="shared" si="31"/>
        <v>-20137.711203452422</v>
      </c>
      <c r="O92" s="50">
        <f t="shared" si="31"/>
        <v>-20426.393002957113</v>
      </c>
      <c r="P92" s="50">
        <f t="shared" si="31"/>
        <v>-20721.044021578837</v>
      </c>
      <c r="Q92" s="50">
        <f t="shared" si="31"/>
        <v>-21021.83277953339</v>
      </c>
      <c r="R92" s="50">
        <f t="shared" si="31"/>
        <v>-21328.933324548147</v>
      </c>
      <c r="S92" s="50">
        <f t="shared" si="31"/>
        <v>-21642.525422794763</v>
      </c>
      <c r="T92" s="50">
        <f t="shared" si="31"/>
        <v>-21962.794756520667</v>
      </c>
      <c r="U92" s="50">
        <f t="shared" si="31"/>
        <v>-22289.933128615594</v>
      </c>
      <c r="V92" s="50">
        <f t="shared" si="31"/>
        <v>-22624.138674357524</v>
      </c>
      <c r="W92" s="50">
        <f t="shared" si="31"/>
        <v>-22965.616080591011</v>
      </c>
      <c r="X92" s="50">
        <f t="shared" si="31"/>
        <v>-23314.576812599942</v>
      </c>
      <c r="Y92" s="50">
        <f t="shared" si="31"/>
        <v>-23671.239348946008</v>
      </c>
      <c r="Z92" s="50">
        <f t="shared" si="31"/>
        <v>-24035.829424553485</v>
      </c>
      <c r="AA92" s="50"/>
      <c r="AB92" s="10">
        <v>0.06</v>
      </c>
    </row>
    <row r="93" spans="1:28" x14ac:dyDescent="0.2">
      <c r="A93" s="10"/>
      <c r="B93" s="10"/>
      <c r="C93" s="10" t="s">
        <v>323</v>
      </c>
      <c r="D93" s="10"/>
      <c r="E93" s="10"/>
      <c r="F93" s="10"/>
      <c r="G93" s="12">
        <f t="shared" ref="G93:Z93" si="32">-(G82+G84)*$E$28</f>
        <v>0</v>
      </c>
      <c r="H93" s="12">
        <f t="shared" si="32"/>
        <v>0</v>
      </c>
      <c r="I93" s="12">
        <f t="shared" si="32"/>
        <v>0</v>
      </c>
      <c r="J93" s="12">
        <f t="shared" si="32"/>
        <v>-108.28125</v>
      </c>
      <c r="K93" s="12">
        <f t="shared" si="32"/>
        <v>-721.875</v>
      </c>
      <c r="L93" s="12">
        <f t="shared" si="32"/>
        <v>-747.36169921875023</v>
      </c>
      <c r="M93" s="12">
        <f t="shared" si="32"/>
        <v>-773.74823821179223</v>
      </c>
      <c r="N93" s="12">
        <f t="shared" si="32"/>
        <v>-801.06638694715741</v>
      </c>
      <c r="O93" s="12">
        <f t="shared" si="32"/>
        <v>-829.34903707131059</v>
      </c>
      <c r="P93" s="12">
        <f t="shared" si="32"/>
        <v>-858.63024151140985</v>
      </c>
      <c r="Q93" s="12">
        <f t="shared" si="32"/>
        <v>-888.945255475772</v>
      </c>
      <c r="R93" s="12">
        <f t="shared" si="32"/>
        <v>-920.33057890191355</v>
      </c>
      <c r="S93" s="12">
        <f t="shared" si="32"/>
        <v>-952.82400040326945</v>
      </c>
      <c r="T93" s="12">
        <f t="shared" si="32"/>
        <v>-986.46464276750783</v>
      </c>
      <c r="U93" s="12">
        <f t="shared" si="32"/>
        <v>-1021.2930100612181</v>
      </c>
      <c r="V93" s="12">
        <f t="shared" si="32"/>
        <v>-1057.3510363976918</v>
      </c>
      <c r="W93" s="12">
        <f t="shared" si="32"/>
        <v>-1094.6821364265081</v>
      </c>
      <c r="X93" s="12">
        <f t="shared" si="32"/>
        <v>-1133.3312576057165</v>
      </c>
      <c r="Y93" s="12">
        <f t="shared" si="32"/>
        <v>-1173.3449343195591</v>
      </c>
      <c r="Z93" s="12">
        <f t="shared" si="32"/>
        <v>-1214.7713439068782</v>
      </c>
      <c r="AA93" s="12"/>
      <c r="AB93" s="10">
        <v>0.06</v>
      </c>
    </row>
    <row r="94" spans="1:28" x14ac:dyDescent="0.2">
      <c r="A94" s="10"/>
      <c r="B94" s="10"/>
      <c r="C94" s="10" t="s">
        <v>324</v>
      </c>
      <c r="D94" s="10"/>
      <c r="E94" s="10"/>
      <c r="F94" s="10"/>
      <c r="G94" s="12">
        <f t="shared" ref="G94:Z94" si="33">-G75*$E$29</f>
        <v>0</v>
      </c>
      <c r="H94" s="12">
        <f t="shared" si="33"/>
        <v>0</v>
      </c>
      <c r="I94" s="12">
        <f t="shared" si="33"/>
        <v>0</v>
      </c>
      <c r="J94" s="12">
        <f t="shared" si="33"/>
        <v>-358.05000000000007</v>
      </c>
      <c r="K94" s="12">
        <f t="shared" si="33"/>
        <v>-2387.0000000000005</v>
      </c>
      <c r="L94" s="12">
        <f t="shared" si="33"/>
        <v>-2471.2760187500007</v>
      </c>
      <c r="M94" s="12">
        <f t="shared" si="33"/>
        <v>-2558.5275076869934</v>
      </c>
      <c r="N94" s="12">
        <f t="shared" si="33"/>
        <v>-2648.8595195052671</v>
      </c>
      <c r="O94" s="12">
        <f t="shared" si="33"/>
        <v>-2742.3808159158007</v>
      </c>
      <c r="P94" s="12">
        <f t="shared" si="33"/>
        <v>-2839.2039985977281</v>
      </c>
      <c r="Q94" s="12">
        <f t="shared" si="33"/>
        <v>-2939.44564477322</v>
      </c>
      <c r="R94" s="12">
        <f t="shared" si="33"/>
        <v>-3043.2264475689931</v>
      </c>
      <c r="S94" s="12">
        <f t="shared" si="33"/>
        <v>-3150.6713613334782</v>
      </c>
      <c r="T94" s="12">
        <f t="shared" si="33"/>
        <v>-3261.9097520845594</v>
      </c>
      <c r="U94" s="12">
        <f t="shared" si="33"/>
        <v>-3377.0755532690951</v>
      </c>
      <c r="V94" s="12">
        <f t="shared" si="33"/>
        <v>-3496.3074270217003</v>
      </c>
      <c r="W94" s="12">
        <f t="shared" si="33"/>
        <v>-3619.7489311169884</v>
      </c>
      <c r="X94" s="12">
        <f t="shared" si="33"/>
        <v>-3747.548691816236</v>
      </c>
      <c r="Y94" s="12">
        <f t="shared" si="33"/>
        <v>-3879.860582816676</v>
      </c>
      <c r="Z94" s="12">
        <f t="shared" si="33"/>
        <v>-4016.8439105187449</v>
      </c>
      <c r="AA94" s="12"/>
      <c r="AB94" s="10">
        <v>0.06</v>
      </c>
    </row>
    <row r="95" spans="1:28" x14ac:dyDescent="0.2">
      <c r="A95" s="10"/>
      <c r="B95" s="10"/>
      <c r="C95" s="10" t="s">
        <v>325</v>
      </c>
      <c r="D95" s="10"/>
      <c r="E95" s="10"/>
      <c r="F95" s="10"/>
      <c r="G95" s="12">
        <f t="shared" ref="G95:Z95" si="34">-IF(G67=0,0,$E$23*(1+$E$27)^MAX(0,G67-2)*G68)</f>
        <v>0</v>
      </c>
      <c r="H95" s="12">
        <f t="shared" si="34"/>
        <v>0</v>
      </c>
      <c r="I95" s="12">
        <f t="shared" si="34"/>
        <v>0</v>
      </c>
      <c r="J95" s="12">
        <f t="shared" si="34"/>
        <v>-1319.55</v>
      </c>
      <c r="K95" s="12">
        <f t="shared" si="34"/>
        <v>-8797</v>
      </c>
      <c r="L95" s="12">
        <f t="shared" si="34"/>
        <v>-8884.9699999999993</v>
      </c>
      <c r="M95" s="12">
        <f t="shared" si="34"/>
        <v>-8973.8197</v>
      </c>
      <c r="N95" s="12">
        <f t="shared" si="34"/>
        <v>-9063.5578969999988</v>
      </c>
      <c r="O95" s="12">
        <f t="shared" si="34"/>
        <v>-9154.1934759699998</v>
      </c>
      <c r="P95" s="12">
        <f t="shared" si="34"/>
        <v>-9245.7354107296997</v>
      </c>
      <c r="Q95" s="12">
        <f t="shared" si="34"/>
        <v>-9338.1927648369983</v>
      </c>
      <c r="R95" s="12">
        <f t="shared" si="34"/>
        <v>-9431.5746924853647</v>
      </c>
      <c r="S95" s="12">
        <f t="shared" si="34"/>
        <v>-9525.890439410221</v>
      </c>
      <c r="T95" s="12">
        <f t="shared" si="34"/>
        <v>-9621.1493438043253</v>
      </c>
      <c r="U95" s="12">
        <f t="shared" si="34"/>
        <v>-9717.3608372423678</v>
      </c>
      <c r="V95" s="12">
        <f t="shared" si="34"/>
        <v>-9814.5344456147905</v>
      </c>
      <c r="W95" s="12">
        <f t="shared" si="34"/>
        <v>-9912.6797900709389</v>
      </c>
      <c r="X95" s="12">
        <f t="shared" si="34"/>
        <v>-10011.806587971647</v>
      </c>
      <c r="Y95" s="12">
        <f t="shared" si="34"/>
        <v>-10111.924653851365</v>
      </c>
      <c r="Z95" s="12">
        <f t="shared" si="34"/>
        <v>-10213.043900389875</v>
      </c>
      <c r="AA95" s="12"/>
      <c r="AB95" s="10">
        <v>0.06</v>
      </c>
    </row>
    <row r="96" spans="1:28" x14ac:dyDescent="0.2">
      <c r="A96" s="10"/>
      <c r="B96" s="10"/>
      <c r="C96" s="10" t="s">
        <v>326</v>
      </c>
      <c r="D96" s="10"/>
      <c r="E96" s="10"/>
      <c r="F96" s="10"/>
      <c r="G96" s="12">
        <f t="shared" ref="G96:Z96" si="35">-IF(G67=0,0,$E$24*(1+$E$27)^MAX(0,G67-2)*G68)</f>
        <v>0</v>
      </c>
      <c r="H96" s="12">
        <f t="shared" si="35"/>
        <v>0</v>
      </c>
      <c r="I96" s="12">
        <f t="shared" si="35"/>
        <v>0</v>
      </c>
      <c r="J96" s="12">
        <f t="shared" si="35"/>
        <v>-585</v>
      </c>
      <c r="K96" s="12">
        <f t="shared" si="35"/>
        <v>-3900</v>
      </c>
      <c r="L96" s="12">
        <f t="shared" si="35"/>
        <v>-3939</v>
      </c>
      <c r="M96" s="12">
        <f t="shared" si="35"/>
        <v>-3978.39</v>
      </c>
      <c r="N96" s="12">
        <f t="shared" si="35"/>
        <v>-4018.1738999999998</v>
      </c>
      <c r="O96" s="12">
        <f t="shared" si="35"/>
        <v>-4058.3556389999999</v>
      </c>
      <c r="P96" s="12">
        <f t="shared" si="35"/>
        <v>-4098.9391953899994</v>
      </c>
      <c r="Q96" s="12">
        <f t="shared" si="35"/>
        <v>-4139.9285873439003</v>
      </c>
      <c r="R96" s="12">
        <f t="shared" si="35"/>
        <v>-4181.3278732173385</v>
      </c>
      <c r="S96" s="12">
        <f t="shared" si="35"/>
        <v>-4223.1411519495132</v>
      </c>
      <c r="T96" s="12">
        <f t="shared" si="35"/>
        <v>-4265.3725634690081</v>
      </c>
      <c r="U96" s="12">
        <f t="shared" si="35"/>
        <v>-4308.0262891036982</v>
      </c>
      <c r="V96" s="12">
        <f t="shared" si="35"/>
        <v>-4351.1065519947342</v>
      </c>
      <c r="W96" s="12">
        <f t="shared" si="35"/>
        <v>-4394.617617514682</v>
      </c>
      <c r="X96" s="12">
        <f t="shared" si="35"/>
        <v>-4438.5637936898293</v>
      </c>
      <c r="Y96" s="12">
        <f t="shared" si="35"/>
        <v>-4482.9494316267283</v>
      </c>
      <c r="Z96" s="12">
        <f t="shared" si="35"/>
        <v>-4527.7789259429937</v>
      </c>
      <c r="AA96" s="12"/>
      <c r="AB96" s="10">
        <v>0.06</v>
      </c>
    </row>
    <row r="97" spans="1:28" x14ac:dyDescent="0.2">
      <c r="A97" s="10"/>
      <c r="B97" s="10"/>
      <c r="C97" s="10" t="s">
        <v>327</v>
      </c>
      <c r="D97" s="10"/>
      <c r="E97" s="10"/>
      <c r="F97" s="10"/>
      <c r="G97" s="12">
        <f t="shared" ref="G97:Z97" si="36">-IF(G67=0,0,$E$25*(1+$E$27)^MAX(0,G67-2)*G68)</f>
        <v>0</v>
      </c>
      <c r="H97" s="12">
        <f t="shared" si="36"/>
        <v>0</v>
      </c>
      <c r="I97" s="12">
        <f t="shared" si="36"/>
        <v>0</v>
      </c>
      <c r="J97" s="12">
        <f t="shared" si="36"/>
        <v>-300</v>
      </c>
      <c r="K97" s="12">
        <f t="shared" si="36"/>
        <v>-2000</v>
      </c>
      <c r="L97" s="12">
        <f t="shared" si="36"/>
        <v>-2020</v>
      </c>
      <c r="M97" s="12">
        <f t="shared" si="36"/>
        <v>-2040.2</v>
      </c>
      <c r="N97" s="12">
        <f t="shared" si="36"/>
        <v>-2060.6019999999999</v>
      </c>
      <c r="O97" s="12">
        <f t="shared" si="36"/>
        <v>-2081.20802</v>
      </c>
      <c r="P97" s="12">
        <f t="shared" si="36"/>
        <v>-2102.0201001999999</v>
      </c>
      <c r="Q97" s="12">
        <f t="shared" si="36"/>
        <v>-2123.0403012020001</v>
      </c>
      <c r="R97" s="12">
        <f t="shared" si="36"/>
        <v>-2144.2707042140196</v>
      </c>
      <c r="S97" s="12">
        <f t="shared" si="36"/>
        <v>-2165.7134112561603</v>
      </c>
      <c r="T97" s="12">
        <f t="shared" si="36"/>
        <v>-2187.3705453687221</v>
      </c>
      <c r="U97" s="12">
        <f t="shared" si="36"/>
        <v>-2209.2442508224094</v>
      </c>
      <c r="V97" s="12">
        <f t="shared" si="36"/>
        <v>-2231.3366933306329</v>
      </c>
      <c r="W97" s="12">
        <f t="shared" si="36"/>
        <v>-2253.6500602639394</v>
      </c>
      <c r="X97" s="12">
        <f t="shared" si="36"/>
        <v>-2276.1865608665789</v>
      </c>
      <c r="Y97" s="12">
        <f t="shared" si="36"/>
        <v>-2298.948426475245</v>
      </c>
      <c r="Z97" s="12">
        <f t="shared" si="36"/>
        <v>-2321.9379107399968</v>
      </c>
      <c r="AA97" s="12"/>
      <c r="AB97" s="10">
        <v>0.06</v>
      </c>
    </row>
    <row r="98" spans="1:28" x14ac:dyDescent="0.2">
      <c r="A98" s="10"/>
      <c r="B98" s="10"/>
      <c r="C98" s="10" t="s">
        <v>328</v>
      </c>
      <c r="D98" s="10"/>
      <c r="E98" s="10"/>
      <c r="F98" s="10"/>
      <c r="G98" s="12">
        <f t="shared" ref="G98:Z98" si="37">-IF(G67=0,0,$E$26*(1+$E$27)^MAX(0,G67-2)*G68)</f>
        <v>0</v>
      </c>
      <c r="H98" s="12">
        <f t="shared" si="37"/>
        <v>0</v>
      </c>
      <c r="I98" s="12">
        <f t="shared" si="37"/>
        <v>0</v>
      </c>
      <c r="J98" s="12">
        <f t="shared" si="37"/>
        <v>-225</v>
      </c>
      <c r="K98" s="12">
        <f t="shared" si="37"/>
        <v>-1500</v>
      </c>
      <c r="L98" s="12">
        <f t="shared" si="37"/>
        <v>-1515</v>
      </c>
      <c r="M98" s="12">
        <f t="shared" si="37"/>
        <v>-1530.15</v>
      </c>
      <c r="N98" s="12">
        <f t="shared" si="37"/>
        <v>-1545.4514999999999</v>
      </c>
      <c r="O98" s="12">
        <f t="shared" si="37"/>
        <v>-1560.906015</v>
      </c>
      <c r="P98" s="12">
        <f t="shared" si="37"/>
        <v>-1576.5150751499998</v>
      </c>
      <c r="Q98" s="12">
        <f t="shared" si="37"/>
        <v>-1592.2802259015002</v>
      </c>
      <c r="R98" s="12">
        <f t="shared" si="37"/>
        <v>-1608.2030281605148</v>
      </c>
      <c r="S98" s="12">
        <f t="shared" si="37"/>
        <v>-1624.2850584421203</v>
      </c>
      <c r="T98" s="12">
        <f t="shared" si="37"/>
        <v>-1640.5279090265417</v>
      </c>
      <c r="U98" s="12">
        <f t="shared" si="37"/>
        <v>-1656.9331881168071</v>
      </c>
      <c r="V98" s="12">
        <f t="shared" si="37"/>
        <v>-1673.5025199979748</v>
      </c>
      <c r="W98" s="12">
        <f t="shared" si="37"/>
        <v>-1690.2375451979547</v>
      </c>
      <c r="X98" s="12">
        <f t="shared" si="37"/>
        <v>-1707.1399206499343</v>
      </c>
      <c r="Y98" s="12">
        <f t="shared" si="37"/>
        <v>-1724.2113198564339</v>
      </c>
      <c r="Z98" s="12">
        <f t="shared" si="37"/>
        <v>-1741.4534330549977</v>
      </c>
      <c r="AA98" s="12"/>
      <c r="AB98" s="10">
        <v>0.06</v>
      </c>
    </row>
    <row r="99" spans="1:28" x14ac:dyDescent="0.2">
      <c r="A99" s="10"/>
      <c r="B99" s="49" t="s">
        <v>9</v>
      </c>
      <c r="C99" s="49"/>
      <c r="D99" s="49"/>
      <c r="E99" s="49"/>
      <c r="F99" s="49"/>
      <c r="G99" s="50">
        <f t="shared" ref="G99:Z99" si="38">G91+G92</f>
        <v>0</v>
      </c>
      <c r="H99" s="50">
        <f t="shared" si="38"/>
        <v>0</v>
      </c>
      <c r="I99" s="50">
        <f t="shared" si="38"/>
        <v>0</v>
      </c>
      <c r="J99" s="50">
        <f t="shared" si="38"/>
        <v>3549.0187500000006</v>
      </c>
      <c r="K99" s="50">
        <f t="shared" si="38"/>
        <v>23660.125000000007</v>
      </c>
      <c r="L99" s="50">
        <f t="shared" si="38"/>
        <v>24905.360619531253</v>
      </c>
      <c r="M99" s="50">
        <f t="shared" si="38"/>
        <v>26198.659692467092</v>
      </c>
      <c r="N99" s="50">
        <f t="shared" si="38"/>
        <v>27541.760147642384</v>
      </c>
      <c r="O99" s="50">
        <f t="shared" si="38"/>
        <v>28936.461683527297</v>
      </c>
      <c r="P99" s="50">
        <f t="shared" si="38"/>
        <v>30384.627953180268</v>
      </c>
      <c r="Q99" s="50">
        <f t="shared" si="38"/>
        <v>31888.188826384569</v>
      </c>
      <c r="R99" s="50">
        <f t="shared" si="38"/>
        <v>33449.142731693726</v>
      </c>
      <c r="S99" s="50">
        <f t="shared" si="38"/>
        <v>35069.559081207844</v>
      </c>
      <c r="T99" s="50">
        <f t="shared" si="38"/>
        <v>36751.580781001394</v>
      </c>
      <c r="U99" s="50">
        <f t="shared" si="38"/>
        <v>38497.426830228113</v>
      </c>
      <c r="V99" s="50">
        <f t="shared" si="38"/>
        <v>40309.395012033085</v>
      </c>
      <c r="W99" s="50">
        <f t="shared" si="38"/>
        <v>42189.86467951478</v>
      </c>
      <c r="X99" s="50">
        <f t="shared" si="38"/>
        <v>44141.2996400923</v>
      </c>
      <c r="Y99" s="50">
        <f t="shared" si="38"/>
        <v>46166.251141754154</v>
      </c>
      <c r="Z99" s="50">
        <f t="shared" si="38"/>
        <v>48267.360964783926</v>
      </c>
      <c r="AA99" s="50"/>
      <c r="AB99" s="10">
        <v>0.06</v>
      </c>
    </row>
    <row r="100" spans="1:28" x14ac:dyDescent="0.2">
      <c r="A100" s="10"/>
      <c r="B100" s="10"/>
      <c r="C100" s="23" t="s">
        <v>10</v>
      </c>
      <c r="D100" s="23"/>
      <c r="E100" s="23"/>
      <c r="F100" s="23"/>
      <c r="G100" s="109">
        <f t="shared" ref="G100:Z100" si="39">IFERROR(G99/G91,0)</f>
        <v>0</v>
      </c>
      <c r="H100" s="109">
        <f t="shared" si="39"/>
        <v>0</v>
      </c>
      <c r="I100" s="109">
        <f t="shared" si="39"/>
        <v>0</v>
      </c>
      <c r="J100" s="109">
        <f t="shared" si="39"/>
        <v>0.55067087929991165</v>
      </c>
      <c r="K100" s="109">
        <f t="shared" si="39"/>
        <v>0.55067087929991165</v>
      </c>
      <c r="L100" s="109">
        <f t="shared" si="39"/>
        <v>0.55988531229683147</v>
      </c>
      <c r="M100" s="109">
        <f t="shared" si="39"/>
        <v>0.56887451459990757</v>
      </c>
      <c r="N100" s="109">
        <f t="shared" si="39"/>
        <v>0.57764399157940693</v>
      </c>
      <c r="O100" s="109">
        <f t="shared" si="39"/>
        <v>0.58619911403645231</v>
      </c>
      <c r="P100" s="109">
        <f t="shared" si="39"/>
        <v>0.59454512149232908</v>
      </c>
      <c r="Q100" s="109">
        <f t="shared" si="39"/>
        <v>0.60268712539739144</v>
      </c>
      <c r="R100" s="109">
        <f t="shared" si="39"/>
        <v>0.61063011226153219</v>
      </c>
      <c r="S100" s="109">
        <f t="shared" si="39"/>
        <v>0.61837894670813442</v>
      </c>
      <c r="T100" s="109">
        <f t="shared" si="39"/>
        <v>0.62593837445337208</v>
      </c>
      <c r="U100" s="109">
        <f t="shared" si="39"/>
        <v>0.63331302521269106</v>
      </c>
      <c r="V100" s="109">
        <f t="shared" si="39"/>
        <v>0.64050741553624224</v>
      </c>
      <c r="W100" s="109">
        <f t="shared" si="39"/>
        <v>0.64752595157501036</v>
      </c>
      <c r="X100" s="109">
        <f t="shared" si="39"/>
        <v>0.65437293177932709</v>
      </c>
      <c r="Y100" s="109">
        <f t="shared" si="39"/>
        <v>0.66105254953142734</v>
      </c>
      <c r="Z100" s="109">
        <f t="shared" si="39"/>
        <v>0.66756889571365219</v>
      </c>
      <c r="AA100" s="66"/>
      <c r="AB100" s="10">
        <v>0.06</v>
      </c>
    </row>
    <row r="101" spans="1:28" x14ac:dyDescent="0.2">
      <c r="A101" s="10"/>
      <c r="B101" s="10"/>
      <c r="C101" s="10" t="s">
        <v>81</v>
      </c>
      <c r="D101" s="10"/>
      <c r="E101" s="10"/>
      <c r="F101" s="10"/>
      <c r="G101" s="12">
        <f t="shared" ref="G101:Z101" si="40">-IF(AND(G67&gt;=1,G67&lt;=$E$32),$E$22/$E$32,0)</f>
        <v>0</v>
      </c>
      <c r="H101" s="12">
        <f t="shared" si="40"/>
        <v>0</v>
      </c>
      <c r="I101" s="12">
        <f t="shared" si="40"/>
        <v>0</v>
      </c>
      <c r="J101" s="12">
        <f t="shared" si="40"/>
        <v>-9066.6666666666661</v>
      </c>
      <c r="K101" s="12">
        <f t="shared" si="40"/>
        <v>-9066.6666666666661</v>
      </c>
      <c r="L101" s="12">
        <f t="shared" si="40"/>
        <v>-9066.6666666666661</v>
      </c>
      <c r="M101" s="12">
        <f t="shared" si="40"/>
        <v>-9066.6666666666661</v>
      </c>
      <c r="N101" s="12">
        <f t="shared" si="40"/>
        <v>-9066.6666666666661</v>
      </c>
      <c r="O101" s="12">
        <f t="shared" si="40"/>
        <v>-9066.6666666666661</v>
      </c>
      <c r="P101" s="12">
        <f t="shared" si="40"/>
        <v>-9066.6666666666661</v>
      </c>
      <c r="Q101" s="12">
        <f t="shared" si="40"/>
        <v>-9066.6666666666661</v>
      </c>
      <c r="R101" s="12">
        <f t="shared" si="40"/>
        <v>-9066.6666666666661</v>
      </c>
      <c r="S101" s="12">
        <f t="shared" si="40"/>
        <v>-9066.6666666666661</v>
      </c>
      <c r="T101" s="12">
        <f t="shared" si="40"/>
        <v>-9066.6666666666661</v>
      </c>
      <c r="U101" s="12">
        <f t="shared" si="40"/>
        <v>-9066.6666666666661</v>
      </c>
      <c r="V101" s="12">
        <f t="shared" si="40"/>
        <v>-9066.6666666666661</v>
      </c>
      <c r="W101" s="12">
        <f t="shared" si="40"/>
        <v>-9066.6666666666661</v>
      </c>
      <c r="X101" s="12">
        <f t="shared" si="40"/>
        <v>-9066.6666666666661</v>
      </c>
      <c r="Y101" s="12">
        <f t="shared" si="40"/>
        <v>0</v>
      </c>
      <c r="Z101" s="12">
        <f t="shared" si="40"/>
        <v>0</v>
      </c>
      <c r="AA101" s="12"/>
      <c r="AB101" s="10">
        <v>0.06</v>
      </c>
    </row>
    <row r="102" spans="1:28" x14ac:dyDescent="0.2">
      <c r="A102" s="10"/>
      <c r="B102" s="49" t="s">
        <v>11</v>
      </c>
      <c r="C102" s="49"/>
      <c r="D102" s="49"/>
      <c r="E102" s="49"/>
      <c r="F102" s="49"/>
      <c r="G102" s="50">
        <f t="shared" ref="G102:Z102" si="41">G99+G101</f>
        <v>0</v>
      </c>
      <c r="H102" s="50">
        <f t="shared" si="41"/>
        <v>0</v>
      </c>
      <c r="I102" s="50">
        <f t="shared" si="41"/>
        <v>0</v>
      </c>
      <c r="J102" s="50">
        <f t="shared" si="41"/>
        <v>-5517.647916666665</v>
      </c>
      <c r="K102" s="50">
        <f t="shared" si="41"/>
        <v>14593.458333333341</v>
      </c>
      <c r="L102" s="50">
        <f t="shared" si="41"/>
        <v>15838.693952864587</v>
      </c>
      <c r="M102" s="50">
        <f t="shared" si="41"/>
        <v>17131.993025800424</v>
      </c>
      <c r="N102" s="50">
        <f t="shared" si="41"/>
        <v>18475.093480975716</v>
      </c>
      <c r="O102" s="50">
        <f t="shared" si="41"/>
        <v>19869.795016860633</v>
      </c>
      <c r="P102" s="50">
        <f t="shared" si="41"/>
        <v>21317.9612865136</v>
      </c>
      <c r="Q102" s="50">
        <f t="shared" si="41"/>
        <v>22821.522159717904</v>
      </c>
      <c r="R102" s="50">
        <f t="shared" si="41"/>
        <v>24382.476065027062</v>
      </c>
      <c r="S102" s="50">
        <f t="shared" si="41"/>
        <v>26002.89241454118</v>
      </c>
      <c r="T102" s="50">
        <f t="shared" si="41"/>
        <v>27684.91411433473</v>
      </c>
      <c r="U102" s="50">
        <f t="shared" si="41"/>
        <v>29430.760163561448</v>
      </c>
      <c r="V102" s="50">
        <f t="shared" si="41"/>
        <v>31242.72834536642</v>
      </c>
      <c r="W102" s="50">
        <f t="shared" si="41"/>
        <v>33123.198012848115</v>
      </c>
      <c r="X102" s="50">
        <f t="shared" si="41"/>
        <v>35074.632973425636</v>
      </c>
      <c r="Y102" s="50">
        <f t="shared" si="41"/>
        <v>46166.251141754154</v>
      </c>
      <c r="Z102" s="50">
        <f t="shared" si="41"/>
        <v>48267.360964783926</v>
      </c>
      <c r="AA102" s="50"/>
      <c r="AB102" s="10">
        <v>0.06</v>
      </c>
    </row>
    <row r="103" spans="1:28" x14ac:dyDescent="0.2">
      <c r="A103" s="10"/>
      <c r="B103" s="10"/>
      <c r="C103" s="10" t="s">
        <v>329</v>
      </c>
      <c r="D103" s="10"/>
      <c r="E103" s="10"/>
      <c r="F103" s="10"/>
      <c r="G103" s="12">
        <f t="shared" ref="G103:Z103" si="42">-G119</f>
        <v>0</v>
      </c>
      <c r="H103" s="12">
        <f t="shared" si="42"/>
        <v>0</v>
      </c>
      <c r="I103" s="12">
        <f t="shared" si="42"/>
        <v>0</v>
      </c>
      <c r="J103" s="12">
        <f t="shared" si="42"/>
        <v>0</v>
      </c>
      <c r="K103" s="12">
        <f t="shared" si="42"/>
        <v>0</v>
      </c>
      <c r="L103" s="12">
        <f t="shared" si="42"/>
        <v>0</v>
      </c>
      <c r="M103" s="12">
        <f t="shared" si="42"/>
        <v>0</v>
      </c>
      <c r="N103" s="12">
        <f t="shared" si="42"/>
        <v>0</v>
      </c>
      <c r="O103" s="12">
        <f t="shared" si="42"/>
        <v>0</v>
      </c>
      <c r="P103" s="12">
        <f t="shared" si="42"/>
        <v>0</v>
      </c>
      <c r="Q103" s="12">
        <f t="shared" si="42"/>
        <v>0</v>
      </c>
      <c r="R103" s="12">
        <f t="shared" si="42"/>
        <v>0</v>
      </c>
      <c r="S103" s="12">
        <f t="shared" si="42"/>
        <v>0</v>
      </c>
      <c r="T103" s="12">
        <f t="shared" si="42"/>
        <v>0</v>
      </c>
      <c r="U103" s="12">
        <f t="shared" si="42"/>
        <v>0</v>
      </c>
      <c r="V103" s="12">
        <f t="shared" si="42"/>
        <v>0</v>
      </c>
      <c r="W103" s="12">
        <f t="shared" si="42"/>
        <v>0</v>
      </c>
      <c r="X103" s="12">
        <f t="shared" si="42"/>
        <v>0</v>
      </c>
      <c r="Y103" s="12">
        <f t="shared" si="42"/>
        <v>0</v>
      </c>
      <c r="Z103" s="12">
        <f t="shared" si="42"/>
        <v>0</v>
      </c>
      <c r="AA103" s="12"/>
      <c r="AB103" s="10">
        <v>0.06</v>
      </c>
    </row>
    <row r="104" spans="1:28" x14ac:dyDescent="0.2">
      <c r="A104" s="10"/>
      <c r="B104" s="49" t="s">
        <v>12</v>
      </c>
      <c r="C104" s="49"/>
      <c r="D104" s="49"/>
      <c r="E104" s="49"/>
      <c r="F104" s="49"/>
      <c r="G104" s="50">
        <f t="shared" ref="G104:Z104" si="43">G102+G103</f>
        <v>0</v>
      </c>
      <c r="H104" s="50">
        <f t="shared" si="43"/>
        <v>0</v>
      </c>
      <c r="I104" s="50">
        <f t="shared" si="43"/>
        <v>0</v>
      </c>
      <c r="J104" s="50">
        <f t="shared" si="43"/>
        <v>-5517.647916666665</v>
      </c>
      <c r="K104" s="50">
        <f t="shared" si="43"/>
        <v>14593.458333333341</v>
      </c>
      <c r="L104" s="50">
        <f t="shared" si="43"/>
        <v>15838.693952864587</v>
      </c>
      <c r="M104" s="50">
        <f t="shared" si="43"/>
        <v>17131.993025800424</v>
      </c>
      <c r="N104" s="50">
        <f t="shared" si="43"/>
        <v>18475.093480975716</v>
      </c>
      <c r="O104" s="50">
        <f t="shared" si="43"/>
        <v>19869.795016860633</v>
      </c>
      <c r="P104" s="50">
        <f t="shared" si="43"/>
        <v>21317.9612865136</v>
      </c>
      <c r="Q104" s="50">
        <f t="shared" si="43"/>
        <v>22821.522159717904</v>
      </c>
      <c r="R104" s="50">
        <f t="shared" si="43"/>
        <v>24382.476065027062</v>
      </c>
      <c r="S104" s="50">
        <f t="shared" si="43"/>
        <v>26002.89241454118</v>
      </c>
      <c r="T104" s="50">
        <f t="shared" si="43"/>
        <v>27684.91411433473</v>
      </c>
      <c r="U104" s="50">
        <f t="shared" si="43"/>
        <v>29430.760163561448</v>
      </c>
      <c r="V104" s="50">
        <f t="shared" si="43"/>
        <v>31242.72834536642</v>
      </c>
      <c r="W104" s="50">
        <f t="shared" si="43"/>
        <v>33123.198012848115</v>
      </c>
      <c r="X104" s="50">
        <f t="shared" si="43"/>
        <v>35074.632973425636</v>
      </c>
      <c r="Y104" s="50">
        <f t="shared" si="43"/>
        <v>46166.251141754154</v>
      </c>
      <c r="Z104" s="50">
        <f t="shared" si="43"/>
        <v>48267.360964783926</v>
      </c>
      <c r="AA104" s="50"/>
      <c r="AB104" s="10">
        <v>0.06</v>
      </c>
    </row>
    <row r="105" spans="1:28" x14ac:dyDescent="0.2">
      <c r="A105" s="10"/>
      <c r="B105" s="10"/>
      <c r="C105" s="10" t="s">
        <v>13</v>
      </c>
      <c r="D105" s="10"/>
      <c r="E105" s="10"/>
      <c r="F105" s="10"/>
      <c r="G105" s="12">
        <f t="shared" ref="G105:Z105" si="44">-(G112+G113)</f>
        <v>0</v>
      </c>
      <c r="H105" s="12">
        <f t="shared" si="44"/>
        <v>0</v>
      </c>
      <c r="I105" s="12">
        <f t="shared" si="44"/>
        <v>0</v>
      </c>
      <c r="J105" s="12">
        <f t="shared" si="44"/>
        <v>-548.88000000000011</v>
      </c>
      <c r="K105" s="12">
        <f t="shared" si="44"/>
        <v>-3795.2000000000007</v>
      </c>
      <c r="L105" s="12">
        <f t="shared" si="44"/>
        <v>-3930.0416300000006</v>
      </c>
      <c r="M105" s="12">
        <f t="shared" si="44"/>
        <v>-4069.6440122991894</v>
      </c>
      <c r="N105" s="12">
        <f t="shared" si="44"/>
        <v>-4214.1752312084272</v>
      </c>
      <c r="O105" s="12">
        <f t="shared" si="44"/>
        <v>-4363.8093054652809</v>
      </c>
      <c r="P105" s="12">
        <f t="shared" si="44"/>
        <v>-4518.7263977563653</v>
      </c>
      <c r="Q105" s="12">
        <f t="shared" si="44"/>
        <v>-4679.1130316371518</v>
      </c>
      <c r="R105" s="12">
        <f t="shared" si="44"/>
        <v>-4845.1623161103889</v>
      </c>
      <c r="S105" s="12">
        <f t="shared" si="44"/>
        <v>-5017.0741781335655</v>
      </c>
      <c r="T105" s="12">
        <f t="shared" si="44"/>
        <v>-5195.055603335295</v>
      </c>
      <c r="U105" s="12">
        <f t="shared" si="44"/>
        <v>-5379.3208852305524</v>
      </c>
      <c r="V105" s="12">
        <f t="shared" si="44"/>
        <v>-5570.0918832347206</v>
      </c>
      <c r="W105" s="12">
        <f t="shared" si="44"/>
        <v>-5767.5982897871818</v>
      </c>
      <c r="X105" s="12">
        <f t="shared" si="44"/>
        <v>-5972.0779069059772</v>
      </c>
      <c r="Y105" s="12">
        <f t="shared" si="44"/>
        <v>-6183.7769325066811</v>
      </c>
      <c r="Z105" s="12">
        <f t="shared" si="44"/>
        <v>-6402.9502568299922</v>
      </c>
      <c r="AA105" s="12"/>
      <c r="AB105" s="10">
        <v>0.06</v>
      </c>
    </row>
    <row r="106" spans="1:28" x14ac:dyDescent="0.2">
      <c r="A106" s="10"/>
      <c r="B106" s="10"/>
      <c r="C106" s="10" t="s">
        <v>14</v>
      </c>
      <c r="D106" s="10"/>
      <c r="E106" s="10"/>
      <c r="F106" s="10"/>
      <c r="G106" s="12">
        <f t="shared" ref="G106:Z106" si="45">-G114</f>
        <v>0</v>
      </c>
      <c r="H106" s="12">
        <f t="shared" si="45"/>
        <v>0</v>
      </c>
      <c r="I106" s="12">
        <f t="shared" si="45"/>
        <v>0</v>
      </c>
      <c r="J106" s="12">
        <f t="shared" si="45"/>
        <v>-206.23680000000004</v>
      </c>
      <c r="K106" s="12">
        <f t="shared" si="45"/>
        <v>-1374.9120000000003</v>
      </c>
      <c r="L106" s="12">
        <f t="shared" si="45"/>
        <v>-1423.4549868000001</v>
      </c>
      <c r="M106" s="12">
        <f t="shared" si="45"/>
        <v>-1473.7118444277082</v>
      </c>
      <c r="N106" s="12">
        <f t="shared" si="45"/>
        <v>-1525.7430832350337</v>
      </c>
      <c r="O106" s="12">
        <f t="shared" si="45"/>
        <v>-1579.6113499675012</v>
      </c>
      <c r="P106" s="12">
        <f t="shared" si="45"/>
        <v>-1635.3815031922913</v>
      </c>
      <c r="Q106" s="12">
        <f t="shared" si="45"/>
        <v>-1693.1206913893745</v>
      </c>
      <c r="R106" s="12">
        <f t="shared" si="45"/>
        <v>-1752.8984337997399</v>
      </c>
      <c r="S106" s="12">
        <f t="shared" si="45"/>
        <v>-1814.7867041280836</v>
      </c>
      <c r="T106" s="12">
        <f t="shared" si="45"/>
        <v>-1878.8600172007061</v>
      </c>
      <c r="U106" s="12">
        <f t="shared" si="45"/>
        <v>-1945.1955186829989</v>
      </c>
      <c r="V106" s="12">
        <f t="shared" si="45"/>
        <v>-2013.8730779644993</v>
      </c>
      <c r="W106" s="12">
        <f t="shared" si="45"/>
        <v>-2084.9753843233852</v>
      </c>
      <c r="X106" s="12">
        <f t="shared" si="45"/>
        <v>-2158.5880464861516</v>
      </c>
      <c r="Y106" s="12">
        <f t="shared" si="45"/>
        <v>-2234.7996957024052</v>
      </c>
      <c r="Z106" s="12">
        <f t="shared" si="45"/>
        <v>-2313.7020924587973</v>
      </c>
      <c r="AA106" s="12"/>
      <c r="AB106" s="10">
        <v>0.06</v>
      </c>
    </row>
    <row r="107" spans="1:28" x14ac:dyDescent="0.2">
      <c r="A107" s="10"/>
      <c r="B107" s="49" t="s">
        <v>16</v>
      </c>
      <c r="C107" s="49"/>
      <c r="D107" s="49"/>
      <c r="E107" s="49"/>
      <c r="F107" s="49"/>
      <c r="G107" s="50">
        <f t="shared" ref="G107:Z107" si="46">G104+G105+G106</f>
        <v>0</v>
      </c>
      <c r="H107" s="50">
        <f t="shared" si="46"/>
        <v>0</v>
      </c>
      <c r="I107" s="50">
        <f t="shared" si="46"/>
        <v>0</v>
      </c>
      <c r="J107" s="50">
        <f t="shared" si="46"/>
        <v>-6272.7647166666648</v>
      </c>
      <c r="K107" s="50">
        <f t="shared" si="46"/>
        <v>9423.3463333333402</v>
      </c>
      <c r="L107" s="50">
        <f t="shared" si="46"/>
        <v>10485.197336064586</v>
      </c>
      <c r="M107" s="50">
        <f t="shared" si="46"/>
        <v>11588.637169073527</v>
      </c>
      <c r="N107" s="50">
        <f t="shared" si="46"/>
        <v>12735.175166532255</v>
      </c>
      <c r="O107" s="50">
        <f t="shared" si="46"/>
        <v>13926.37436142785</v>
      </c>
      <c r="P107" s="50">
        <f t="shared" si="46"/>
        <v>15163.853385564946</v>
      </c>
      <c r="Q107" s="50">
        <f t="shared" si="46"/>
        <v>16449.288436691379</v>
      </c>
      <c r="R107" s="50">
        <f t="shared" si="46"/>
        <v>17784.415315116934</v>
      </c>
      <c r="S107" s="50">
        <f t="shared" si="46"/>
        <v>19171.031532279529</v>
      </c>
      <c r="T107" s="50">
        <f t="shared" si="46"/>
        <v>20610.998493798728</v>
      </c>
      <c r="U107" s="50">
        <f t="shared" si="46"/>
        <v>22106.243759647896</v>
      </c>
      <c r="V107" s="50">
        <f t="shared" si="46"/>
        <v>23658.7633841672</v>
      </c>
      <c r="W107" s="50">
        <f t="shared" si="46"/>
        <v>25270.624338737551</v>
      </c>
      <c r="X107" s="50">
        <f t="shared" si="46"/>
        <v>26943.967020033506</v>
      </c>
      <c r="Y107" s="50">
        <f t="shared" si="46"/>
        <v>37747.674513545062</v>
      </c>
      <c r="Z107" s="50">
        <f t="shared" si="46"/>
        <v>39550.708615495132</v>
      </c>
      <c r="AA107" s="50"/>
      <c r="AB107" s="10">
        <v>0.06</v>
      </c>
    </row>
    <row r="108" spans="1:28" x14ac:dyDescent="0.2">
      <c r="A108" s="10"/>
      <c r="B108" s="10"/>
      <c r="C108" s="23" t="s">
        <v>84</v>
      </c>
      <c r="D108" s="23"/>
      <c r="E108" s="23"/>
      <c r="F108" s="23"/>
      <c r="G108" s="109">
        <f t="shared" ref="G108:Z108" si="47">IFERROR(G107/G91,0)</f>
        <v>0</v>
      </c>
      <c r="H108" s="109">
        <f t="shared" si="47"/>
        <v>0</v>
      </c>
      <c r="I108" s="109">
        <f t="shared" si="47"/>
        <v>0</v>
      </c>
      <c r="J108" s="109">
        <f t="shared" si="47"/>
        <v>-0.97329124061919725</v>
      </c>
      <c r="K108" s="109">
        <f t="shared" si="47"/>
        <v>0.21932100575648975</v>
      </c>
      <c r="L108" s="109">
        <f t="shared" si="47"/>
        <v>0.23571262728043627</v>
      </c>
      <c r="M108" s="109">
        <f t="shared" si="47"/>
        <v>0.25163425998951722</v>
      </c>
      <c r="N108" s="109">
        <f t="shared" si="47"/>
        <v>0.2670997560512976</v>
      </c>
      <c r="O108" s="109">
        <f t="shared" si="47"/>
        <v>0.28212254841981216</v>
      </c>
      <c r="P108" s="109">
        <f t="shared" si="47"/>
        <v>0.29671566383187986</v>
      </c>
      <c r="Q108" s="109">
        <f t="shared" si="47"/>
        <v>0.31089173539198733</v>
      </c>
      <c r="R108" s="109">
        <f t="shared" si="47"/>
        <v>0.32466301475899367</v>
      </c>
      <c r="S108" s="109">
        <f t="shared" si="47"/>
        <v>0.33804138394748096</v>
      </c>
      <c r="T108" s="109">
        <f t="shared" si="47"/>
        <v>0.35103836675614553</v>
      </c>
      <c r="U108" s="109">
        <f t="shared" si="47"/>
        <v>0.36366513983523885</v>
      </c>
      <c r="V108" s="109">
        <f t="shared" si="47"/>
        <v>0.37593254340465254</v>
      </c>
      <c r="W108" s="109">
        <f t="shared" si="47"/>
        <v>0.38785109163388393</v>
      </c>
      <c r="X108" s="109">
        <f t="shared" si="47"/>
        <v>0.39943098269473509</v>
      </c>
      <c r="Y108" s="109">
        <f t="shared" si="47"/>
        <v>0.54050731560252285</v>
      </c>
      <c r="Z108" s="109">
        <f t="shared" si="47"/>
        <v>0.54701194238487838</v>
      </c>
      <c r="AA108" s="66"/>
      <c r="AB108" s="10">
        <v>0.06</v>
      </c>
    </row>
    <row r="109" spans="1:28" x14ac:dyDescent="0.2">
      <c r="A109" s="10"/>
      <c r="B109" s="10"/>
      <c r="C109" s="10"/>
      <c r="D109" s="10"/>
      <c r="E109" s="10"/>
      <c r="F109" s="10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0">
        <v>0.06</v>
      </c>
    </row>
    <row r="110" spans="1:28" x14ac:dyDescent="0.2">
      <c r="A110" s="10"/>
      <c r="B110" s="24" t="s">
        <v>108</v>
      </c>
      <c r="C110" s="24"/>
      <c r="D110" s="24"/>
      <c r="E110" s="24"/>
      <c r="F110" s="24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10">
        <v>0.06</v>
      </c>
    </row>
    <row r="111" spans="1:28" x14ac:dyDescent="0.2">
      <c r="A111" s="10"/>
      <c r="B111" s="10"/>
      <c r="C111" s="10" t="s">
        <v>330</v>
      </c>
      <c r="D111" s="10"/>
      <c r="E111" s="10"/>
      <c r="F111" s="10"/>
      <c r="G111" s="12">
        <f t="shared" ref="G111:Z111" si="48">G75*32%</f>
        <v>0</v>
      </c>
      <c r="H111" s="12">
        <f t="shared" si="48"/>
        <v>0</v>
      </c>
      <c r="I111" s="12">
        <f t="shared" si="48"/>
        <v>0</v>
      </c>
      <c r="J111" s="12">
        <f t="shared" si="48"/>
        <v>2291.5200000000004</v>
      </c>
      <c r="K111" s="12">
        <f t="shared" si="48"/>
        <v>15276.800000000003</v>
      </c>
      <c r="L111" s="12">
        <f t="shared" si="48"/>
        <v>15816.166520000002</v>
      </c>
      <c r="M111" s="12">
        <f t="shared" si="48"/>
        <v>16374.576049196758</v>
      </c>
      <c r="N111" s="12">
        <f t="shared" si="48"/>
        <v>16952.700924833709</v>
      </c>
      <c r="O111" s="12">
        <f t="shared" si="48"/>
        <v>17551.237221861124</v>
      </c>
      <c r="P111" s="12">
        <f t="shared" si="48"/>
        <v>18170.905591025461</v>
      </c>
      <c r="Q111" s="12">
        <f t="shared" si="48"/>
        <v>18812.452126548607</v>
      </c>
      <c r="R111" s="12">
        <f t="shared" si="48"/>
        <v>19476.649264441556</v>
      </c>
      <c r="S111" s="12">
        <f t="shared" si="48"/>
        <v>20164.296712534262</v>
      </c>
      <c r="T111" s="12">
        <f t="shared" si="48"/>
        <v>20876.22241334118</v>
      </c>
      <c r="U111" s="12">
        <f t="shared" si="48"/>
        <v>21613.28354092221</v>
      </c>
      <c r="V111" s="12">
        <f t="shared" si="48"/>
        <v>22376.367532938883</v>
      </c>
      <c r="W111" s="12">
        <f t="shared" si="48"/>
        <v>23166.393159148727</v>
      </c>
      <c r="X111" s="12">
        <f t="shared" si="48"/>
        <v>23984.311627623909</v>
      </c>
      <c r="Y111" s="12">
        <f t="shared" si="48"/>
        <v>24831.107730026724</v>
      </c>
      <c r="Z111" s="12">
        <f t="shared" si="48"/>
        <v>25707.801027319969</v>
      </c>
      <c r="AA111" s="12"/>
      <c r="AB111" s="10">
        <v>0.06</v>
      </c>
    </row>
    <row r="112" spans="1:28" x14ac:dyDescent="0.2">
      <c r="A112" s="10"/>
      <c r="B112" s="10"/>
      <c r="C112" s="10" t="s">
        <v>25</v>
      </c>
      <c r="D112" s="10"/>
      <c r="E112" s="10"/>
      <c r="F112" s="10"/>
      <c r="G112" s="12">
        <f t="shared" ref="G112:Z112" si="49">G111*15%</f>
        <v>0</v>
      </c>
      <c r="H112" s="12">
        <f t="shared" si="49"/>
        <v>0</v>
      </c>
      <c r="I112" s="12">
        <f t="shared" si="49"/>
        <v>0</v>
      </c>
      <c r="J112" s="12">
        <f t="shared" si="49"/>
        <v>343.72800000000007</v>
      </c>
      <c r="K112" s="12">
        <f t="shared" si="49"/>
        <v>2291.5200000000004</v>
      </c>
      <c r="L112" s="12">
        <f t="shared" si="49"/>
        <v>2372.4249780000005</v>
      </c>
      <c r="M112" s="12">
        <f t="shared" si="49"/>
        <v>2456.1864073795136</v>
      </c>
      <c r="N112" s="12">
        <f t="shared" si="49"/>
        <v>2542.9051387250561</v>
      </c>
      <c r="O112" s="12">
        <f t="shared" si="49"/>
        <v>2632.6855832791684</v>
      </c>
      <c r="P112" s="12">
        <f t="shared" si="49"/>
        <v>2725.6358386538191</v>
      </c>
      <c r="Q112" s="12">
        <f t="shared" si="49"/>
        <v>2821.8678189822908</v>
      </c>
      <c r="R112" s="12">
        <f t="shared" si="49"/>
        <v>2921.4973896662332</v>
      </c>
      <c r="S112" s="12">
        <f t="shared" si="49"/>
        <v>3024.644506880139</v>
      </c>
      <c r="T112" s="12">
        <f t="shared" si="49"/>
        <v>3131.4333620011771</v>
      </c>
      <c r="U112" s="12">
        <f t="shared" si="49"/>
        <v>3241.9925311383313</v>
      </c>
      <c r="V112" s="12">
        <f t="shared" si="49"/>
        <v>3356.4551299408322</v>
      </c>
      <c r="W112" s="12">
        <f t="shared" si="49"/>
        <v>3474.9589738723089</v>
      </c>
      <c r="X112" s="12">
        <f t="shared" si="49"/>
        <v>3597.6467441435861</v>
      </c>
      <c r="Y112" s="12">
        <f t="shared" si="49"/>
        <v>3724.6661595040086</v>
      </c>
      <c r="Z112" s="12">
        <f t="shared" si="49"/>
        <v>3856.1701540979952</v>
      </c>
      <c r="AA112" s="12"/>
      <c r="AB112" s="10">
        <v>0.06</v>
      </c>
    </row>
    <row r="113" spans="1:28" x14ac:dyDescent="0.2">
      <c r="A113" s="10"/>
      <c r="B113" s="10"/>
      <c r="C113" s="10" t="s">
        <v>87</v>
      </c>
      <c r="D113" s="10"/>
      <c r="E113" s="10"/>
      <c r="F113" s="10"/>
      <c r="G113" s="12">
        <f t="shared" ref="G113:Z113" si="50">MAX(0,G111-240)*10%</f>
        <v>0</v>
      </c>
      <c r="H113" s="12">
        <f t="shared" si="50"/>
        <v>0</v>
      </c>
      <c r="I113" s="12">
        <f t="shared" si="50"/>
        <v>0</v>
      </c>
      <c r="J113" s="12">
        <f t="shared" si="50"/>
        <v>205.15200000000004</v>
      </c>
      <c r="K113" s="12">
        <f t="shared" si="50"/>
        <v>1503.6800000000003</v>
      </c>
      <c r="L113" s="12">
        <f t="shared" si="50"/>
        <v>1557.6166520000004</v>
      </c>
      <c r="M113" s="12">
        <f t="shared" si="50"/>
        <v>1613.4576049196758</v>
      </c>
      <c r="N113" s="12">
        <f t="shared" si="50"/>
        <v>1671.2700924833709</v>
      </c>
      <c r="O113" s="12">
        <f t="shared" si="50"/>
        <v>1731.1237221861124</v>
      </c>
      <c r="P113" s="12">
        <f t="shared" si="50"/>
        <v>1793.0905591025462</v>
      </c>
      <c r="Q113" s="12">
        <f t="shared" si="50"/>
        <v>1857.2452126548608</v>
      </c>
      <c r="R113" s="12">
        <f t="shared" si="50"/>
        <v>1923.6649264441558</v>
      </c>
      <c r="S113" s="12">
        <f t="shared" si="50"/>
        <v>1992.4296712534262</v>
      </c>
      <c r="T113" s="12">
        <f t="shared" si="50"/>
        <v>2063.6222413341179</v>
      </c>
      <c r="U113" s="12">
        <f t="shared" si="50"/>
        <v>2137.3283540922212</v>
      </c>
      <c r="V113" s="12">
        <f t="shared" si="50"/>
        <v>2213.6367532938884</v>
      </c>
      <c r="W113" s="12">
        <f t="shared" si="50"/>
        <v>2292.6393159148729</v>
      </c>
      <c r="X113" s="12">
        <f t="shared" si="50"/>
        <v>2374.4311627623911</v>
      </c>
      <c r="Y113" s="12">
        <f t="shared" si="50"/>
        <v>2459.1107730026724</v>
      </c>
      <c r="Z113" s="12">
        <f t="shared" si="50"/>
        <v>2546.780102731997</v>
      </c>
      <c r="AA113" s="12"/>
      <c r="AB113" s="10">
        <v>0.06</v>
      </c>
    </row>
    <row r="114" spans="1:28" x14ac:dyDescent="0.2">
      <c r="A114" s="10"/>
      <c r="B114" s="10"/>
      <c r="C114" s="10" t="s">
        <v>26</v>
      </c>
      <c r="D114" s="10"/>
      <c r="E114" s="10"/>
      <c r="F114" s="10"/>
      <c r="G114" s="12">
        <f t="shared" ref="G114:Z114" si="51">G111*9%</f>
        <v>0</v>
      </c>
      <c r="H114" s="12">
        <f t="shared" si="51"/>
        <v>0</v>
      </c>
      <c r="I114" s="12">
        <f t="shared" si="51"/>
        <v>0</v>
      </c>
      <c r="J114" s="12">
        <f t="shared" si="51"/>
        <v>206.23680000000004</v>
      </c>
      <c r="K114" s="12">
        <f t="shared" si="51"/>
        <v>1374.9120000000003</v>
      </c>
      <c r="L114" s="12">
        <f t="shared" si="51"/>
        <v>1423.4549868000001</v>
      </c>
      <c r="M114" s="12">
        <f t="shared" si="51"/>
        <v>1473.7118444277082</v>
      </c>
      <c r="N114" s="12">
        <f t="shared" si="51"/>
        <v>1525.7430832350337</v>
      </c>
      <c r="O114" s="12">
        <f t="shared" si="51"/>
        <v>1579.6113499675012</v>
      </c>
      <c r="P114" s="12">
        <f t="shared" si="51"/>
        <v>1635.3815031922913</v>
      </c>
      <c r="Q114" s="12">
        <f t="shared" si="51"/>
        <v>1693.1206913893745</v>
      </c>
      <c r="R114" s="12">
        <f t="shared" si="51"/>
        <v>1752.8984337997399</v>
      </c>
      <c r="S114" s="12">
        <f t="shared" si="51"/>
        <v>1814.7867041280836</v>
      </c>
      <c r="T114" s="12">
        <f t="shared" si="51"/>
        <v>1878.8600172007061</v>
      </c>
      <c r="U114" s="12">
        <f t="shared" si="51"/>
        <v>1945.1955186829989</v>
      </c>
      <c r="V114" s="12">
        <f t="shared" si="51"/>
        <v>2013.8730779644993</v>
      </c>
      <c r="W114" s="12">
        <f t="shared" si="51"/>
        <v>2084.9753843233852</v>
      </c>
      <c r="X114" s="12">
        <f t="shared" si="51"/>
        <v>2158.5880464861516</v>
      </c>
      <c r="Y114" s="12">
        <f t="shared" si="51"/>
        <v>2234.7996957024052</v>
      </c>
      <c r="Z114" s="12">
        <f t="shared" si="51"/>
        <v>2313.7020924587973</v>
      </c>
      <c r="AA114" s="12"/>
      <c r="AB114" s="10">
        <v>0.06</v>
      </c>
    </row>
    <row r="115" spans="1:28" x14ac:dyDescent="0.2">
      <c r="A115" s="10"/>
      <c r="B115" s="10"/>
      <c r="C115" s="10"/>
      <c r="D115" s="10"/>
      <c r="E115" s="10"/>
      <c r="F115" s="10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0">
        <v>0.06</v>
      </c>
    </row>
    <row r="116" spans="1:28" x14ac:dyDescent="0.2">
      <c r="A116" s="10"/>
      <c r="B116" s="24" t="s">
        <v>23</v>
      </c>
      <c r="C116" s="24"/>
      <c r="D116" s="24"/>
      <c r="E116" s="24"/>
      <c r="F116" s="24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10">
        <v>0.06</v>
      </c>
    </row>
    <row r="117" spans="1:28" x14ac:dyDescent="0.2">
      <c r="A117" s="10"/>
      <c r="B117" s="10"/>
      <c r="C117" s="10" t="s">
        <v>63</v>
      </c>
      <c r="D117" s="10"/>
      <c r="E117" s="10"/>
      <c r="F117" s="10"/>
      <c r="G117" s="12">
        <f>0</f>
        <v>0</v>
      </c>
      <c r="H117" s="12">
        <f t="shared" ref="H117:Z117" si="52">G121</f>
        <v>0</v>
      </c>
      <c r="I117" s="12">
        <f t="shared" si="52"/>
        <v>0</v>
      </c>
      <c r="J117" s="12">
        <f t="shared" si="52"/>
        <v>0</v>
      </c>
      <c r="K117" s="12">
        <f t="shared" si="52"/>
        <v>0</v>
      </c>
      <c r="L117" s="12">
        <f t="shared" si="52"/>
        <v>0</v>
      </c>
      <c r="M117" s="12">
        <f t="shared" si="52"/>
        <v>0</v>
      </c>
      <c r="N117" s="12">
        <f t="shared" si="52"/>
        <v>0</v>
      </c>
      <c r="O117" s="12">
        <f t="shared" si="52"/>
        <v>0</v>
      </c>
      <c r="P117" s="12">
        <f t="shared" si="52"/>
        <v>0</v>
      </c>
      <c r="Q117" s="12">
        <f t="shared" si="52"/>
        <v>0</v>
      </c>
      <c r="R117" s="12">
        <f t="shared" si="52"/>
        <v>0</v>
      </c>
      <c r="S117" s="12">
        <f t="shared" si="52"/>
        <v>0</v>
      </c>
      <c r="T117" s="12">
        <f t="shared" si="52"/>
        <v>0</v>
      </c>
      <c r="U117" s="12">
        <f t="shared" si="52"/>
        <v>0</v>
      </c>
      <c r="V117" s="12">
        <f t="shared" si="52"/>
        <v>0</v>
      </c>
      <c r="W117" s="12">
        <f t="shared" si="52"/>
        <v>0</v>
      </c>
      <c r="X117" s="12">
        <f t="shared" si="52"/>
        <v>0</v>
      </c>
      <c r="Y117" s="12">
        <f t="shared" si="52"/>
        <v>0</v>
      </c>
      <c r="Z117" s="12">
        <f t="shared" si="52"/>
        <v>0</v>
      </c>
      <c r="AA117" s="12"/>
      <c r="AB117" s="10">
        <v>0.06</v>
      </c>
    </row>
    <row r="118" spans="1:28" x14ac:dyDescent="0.2">
      <c r="A118" s="10"/>
      <c r="B118" s="10"/>
      <c r="C118" s="10" t="s">
        <v>331</v>
      </c>
      <c r="D118" s="10"/>
      <c r="E118" s="12">
        <f>SUM(G118:Z118)</f>
        <v>0</v>
      </c>
      <c r="F118" s="10"/>
      <c r="G118" s="12">
        <f t="shared" ref="G118:Z118" si="53">G62*$E$33</f>
        <v>0</v>
      </c>
      <c r="H118" s="12">
        <f t="shared" si="53"/>
        <v>0</v>
      </c>
      <c r="I118" s="12">
        <f t="shared" si="53"/>
        <v>0</v>
      </c>
      <c r="J118" s="12">
        <f t="shared" si="53"/>
        <v>0</v>
      </c>
      <c r="K118" s="12">
        <f t="shared" si="53"/>
        <v>0</v>
      </c>
      <c r="L118" s="12">
        <f t="shared" si="53"/>
        <v>0</v>
      </c>
      <c r="M118" s="12">
        <f t="shared" si="53"/>
        <v>0</v>
      </c>
      <c r="N118" s="12">
        <f t="shared" si="53"/>
        <v>0</v>
      </c>
      <c r="O118" s="12">
        <f t="shared" si="53"/>
        <v>0</v>
      </c>
      <c r="P118" s="12">
        <f t="shared" si="53"/>
        <v>0</v>
      </c>
      <c r="Q118" s="12">
        <f t="shared" si="53"/>
        <v>0</v>
      </c>
      <c r="R118" s="12">
        <f t="shared" si="53"/>
        <v>0</v>
      </c>
      <c r="S118" s="12">
        <f t="shared" si="53"/>
        <v>0</v>
      </c>
      <c r="T118" s="12">
        <f t="shared" si="53"/>
        <v>0</v>
      </c>
      <c r="U118" s="12">
        <f t="shared" si="53"/>
        <v>0</v>
      </c>
      <c r="V118" s="12">
        <f t="shared" si="53"/>
        <v>0</v>
      </c>
      <c r="W118" s="12">
        <f t="shared" si="53"/>
        <v>0</v>
      </c>
      <c r="X118" s="12">
        <f t="shared" si="53"/>
        <v>0</v>
      </c>
      <c r="Y118" s="12">
        <f t="shared" si="53"/>
        <v>0</v>
      </c>
      <c r="Z118" s="12">
        <f t="shared" si="53"/>
        <v>0</v>
      </c>
      <c r="AA118" s="12"/>
      <c r="AB118" s="10">
        <v>0.06</v>
      </c>
    </row>
    <row r="119" spans="1:28" x14ac:dyDescent="0.2">
      <c r="A119" s="10"/>
      <c r="B119" s="10"/>
      <c r="C119" s="10" t="s">
        <v>332</v>
      </c>
      <c r="D119" s="10"/>
      <c r="E119" s="12">
        <f>SUM(G119:Z119)</f>
        <v>0</v>
      </c>
      <c r="F119" s="10"/>
      <c r="G119" s="12">
        <f t="shared" ref="G119:Z119" si="54">(G117+G118/2)*$E$34</f>
        <v>0</v>
      </c>
      <c r="H119" s="12">
        <f t="shared" si="54"/>
        <v>0</v>
      </c>
      <c r="I119" s="12">
        <f t="shared" si="54"/>
        <v>0</v>
      </c>
      <c r="J119" s="12">
        <f t="shared" si="54"/>
        <v>0</v>
      </c>
      <c r="K119" s="12">
        <f t="shared" si="54"/>
        <v>0</v>
      </c>
      <c r="L119" s="12">
        <f t="shared" si="54"/>
        <v>0</v>
      </c>
      <c r="M119" s="12">
        <f t="shared" si="54"/>
        <v>0</v>
      </c>
      <c r="N119" s="12">
        <f t="shared" si="54"/>
        <v>0</v>
      </c>
      <c r="O119" s="12">
        <f t="shared" si="54"/>
        <v>0</v>
      </c>
      <c r="P119" s="12">
        <f t="shared" si="54"/>
        <v>0</v>
      </c>
      <c r="Q119" s="12">
        <f t="shared" si="54"/>
        <v>0</v>
      </c>
      <c r="R119" s="12">
        <f t="shared" si="54"/>
        <v>0</v>
      </c>
      <c r="S119" s="12">
        <f t="shared" si="54"/>
        <v>0</v>
      </c>
      <c r="T119" s="12">
        <f t="shared" si="54"/>
        <v>0</v>
      </c>
      <c r="U119" s="12">
        <f t="shared" si="54"/>
        <v>0</v>
      </c>
      <c r="V119" s="12">
        <f t="shared" si="54"/>
        <v>0</v>
      </c>
      <c r="W119" s="12">
        <f t="shared" si="54"/>
        <v>0</v>
      </c>
      <c r="X119" s="12">
        <f t="shared" si="54"/>
        <v>0</v>
      </c>
      <c r="Y119" s="12">
        <f t="shared" si="54"/>
        <v>0</v>
      </c>
      <c r="Z119" s="12">
        <f t="shared" si="54"/>
        <v>0</v>
      </c>
      <c r="AA119" s="12"/>
      <c r="AB119" s="10">
        <v>0.06</v>
      </c>
    </row>
    <row r="120" spans="1:28" x14ac:dyDescent="0.2">
      <c r="A120" s="10"/>
      <c r="B120" s="10"/>
      <c r="C120" s="10" t="s">
        <v>65</v>
      </c>
      <c r="D120" s="10"/>
      <c r="E120" s="12">
        <f>SUM(G120:Z120)</f>
        <v>0</v>
      </c>
      <c r="F120" s="10"/>
      <c r="G120" s="12">
        <f t="shared" ref="G120:Z120" si="55">-IF(AND(G$6&gt;=$E$36,G$6&lt;$E$36+$E$35),MIN(G117,SUM($G$118:$Z$118)/$E$35),0)</f>
        <v>0</v>
      </c>
      <c r="H120" s="12">
        <f t="shared" si="55"/>
        <v>0</v>
      </c>
      <c r="I120" s="12">
        <f t="shared" si="55"/>
        <v>0</v>
      </c>
      <c r="J120" s="12">
        <f t="shared" si="55"/>
        <v>0</v>
      </c>
      <c r="K120" s="12">
        <f t="shared" si="55"/>
        <v>0</v>
      </c>
      <c r="L120" s="12">
        <f t="shared" si="55"/>
        <v>0</v>
      </c>
      <c r="M120" s="12">
        <f t="shared" si="55"/>
        <v>0</v>
      </c>
      <c r="N120" s="12">
        <f t="shared" si="55"/>
        <v>0</v>
      </c>
      <c r="O120" s="12">
        <f t="shared" si="55"/>
        <v>0</v>
      </c>
      <c r="P120" s="12">
        <f t="shared" si="55"/>
        <v>0</v>
      </c>
      <c r="Q120" s="12">
        <f t="shared" si="55"/>
        <v>0</v>
      </c>
      <c r="R120" s="12">
        <f t="shared" si="55"/>
        <v>0</v>
      </c>
      <c r="S120" s="12">
        <f t="shared" si="55"/>
        <v>0</v>
      </c>
      <c r="T120" s="12">
        <f t="shared" si="55"/>
        <v>0</v>
      </c>
      <c r="U120" s="12">
        <f t="shared" si="55"/>
        <v>0</v>
      </c>
      <c r="V120" s="12">
        <f t="shared" si="55"/>
        <v>0</v>
      </c>
      <c r="W120" s="12">
        <f t="shared" si="55"/>
        <v>0</v>
      </c>
      <c r="X120" s="12">
        <f t="shared" si="55"/>
        <v>0</v>
      </c>
      <c r="Y120" s="12">
        <f t="shared" si="55"/>
        <v>0</v>
      </c>
      <c r="Z120" s="12">
        <f t="shared" si="55"/>
        <v>0</v>
      </c>
      <c r="AA120" s="12"/>
      <c r="AB120" s="10">
        <v>0.06</v>
      </c>
    </row>
    <row r="121" spans="1:28" x14ac:dyDescent="0.2">
      <c r="A121" s="10"/>
      <c r="B121" s="49" t="s">
        <v>67</v>
      </c>
      <c r="C121" s="49"/>
      <c r="D121" s="49"/>
      <c r="E121" s="49"/>
      <c r="F121" s="49"/>
      <c r="G121" s="50">
        <f t="shared" ref="G121:Z121" si="56">G117+G118+G120</f>
        <v>0</v>
      </c>
      <c r="H121" s="50">
        <f t="shared" si="56"/>
        <v>0</v>
      </c>
      <c r="I121" s="50">
        <f t="shared" si="56"/>
        <v>0</v>
      </c>
      <c r="J121" s="50">
        <f t="shared" si="56"/>
        <v>0</v>
      </c>
      <c r="K121" s="50">
        <f t="shared" si="56"/>
        <v>0</v>
      </c>
      <c r="L121" s="50">
        <f t="shared" si="56"/>
        <v>0</v>
      </c>
      <c r="M121" s="50">
        <f t="shared" si="56"/>
        <v>0</v>
      </c>
      <c r="N121" s="50">
        <f t="shared" si="56"/>
        <v>0</v>
      </c>
      <c r="O121" s="50">
        <f t="shared" si="56"/>
        <v>0</v>
      </c>
      <c r="P121" s="50">
        <f t="shared" si="56"/>
        <v>0</v>
      </c>
      <c r="Q121" s="50">
        <f t="shared" si="56"/>
        <v>0</v>
      </c>
      <c r="R121" s="50">
        <f t="shared" si="56"/>
        <v>0</v>
      </c>
      <c r="S121" s="50">
        <f t="shared" si="56"/>
        <v>0</v>
      </c>
      <c r="T121" s="50">
        <f t="shared" si="56"/>
        <v>0</v>
      </c>
      <c r="U121" s="50">
        <f t="shared" si="56"/>
        <v>0</v>
      </c>
      <c r="V121" s="50">
        <f t="shared" si="56"/>
        <v>0</v>
      </c>
      <c r="W121" s="50">
        <f t="shared" si="56"/>
        <v>0</v>
      </c>
      <c r="X121" s="50">
        <f t="shared" si="56"/>
        <v>0</v>
      </c>
      <c r="Y121" s="50">
        <f t="shared" si="56"/>
        <v>0</v>
      </c>
      <c r="Z121" s="50">
        <f t="shared" si="56"/>
        <v>0</v>
      </c>
      <c r="AA121" s="50"/>
      <c r="AB121" s="10">
        <v>0.06</v>
      </c>
    </row>
    <row r="122" spans="1:28" x14ac:dyDescent="0.2">
      <c r="A122" s="10"/>
      <c r="B122" s="10"/>
      <c r="C122" s="23" t="s">
        <v>333</v>
      </c>
      <c r="D122" s="23"/>
      <c r="E122" s="23"/>
      <c r="F122" s="23"/>
      <c r="G122" s="69" t="str">
        <f t="shared" ref="G122:Z122" si="57">IF(AND(G67&gt;=1,G119-G120&gt;0),G99/(G119-G120),"")</f>
        <v/>
      </c>
      <c r="H122" s="69" t="str">
        <f t="shared" si="57"/>
        <v/>
      </c>
      <c r="I122" s="69" t="str">
        <f t="shared" si="57"/>
        <v/>
      </c>
      <c r="J122" s="69" t="str">
        <f t="shared" si="57"/>
        <v/>
      </c>
      <c r="K122" s="69" t="str">
        <f t="shared" si="57"/>
        <v/>
      </c>
      <c r="L122" s="69" t="str">
        <f t="shared" si="57"/>
        <v/>
      </c>
      <c r="M122" s="69" t="str">
        <f t="shared" si="57"/>
        <v/>
      </c>
      <c r="N122" s="69" t="str">
        <f t="shared" si="57"/>
        <v/>
      </c>
      <c r="O122" s="69" t="str">
        <f t="shared" si="57"/>
        <v/>
      </c>
      <c r="P122" s="69" t="str">
        <f t="shared" si="57"/>
        <v/>
      </c>
      <c r="Q122" s="69" t="str">
        <f t="shared" si="57"/>
        <v/>
      </c>
      <c r="R122" s="69" t="str">
        <f t="shared" si="57"/>
        <v/>
      </c>
      <c r="S122" s="69" t="str">
        <f t="shared" si="57"/>
        <v/>
      </c>
      <c r="T122" s="69" t="str">
        <f t="shared" si="57"/>
        <v/>
      </c>
      <c r="U122" s="69" t="str">
        <f t="shared" si="57"/>
        <v/>
      </c>
      <c r="V122" s="69" t="str">
        <f t="shared" si="57"/>
        <v/>
      </c>
      <c r="W122" s="69" t="str">
        <f t="shared" si="57"/>
        <v/>
      </c>
      <c r="X122" s="69" t="str">
        <f t="shared" si="57"/>
        <v/>
      </c>
      <c r="Y122" s="69" t="str">
        <f t="shared" si="57"/>
        <v/>
      </c>
      <c r="Z122" s="69" t="str">
        <f t="shared" si="57"/>
        <v/>
      </c>
      <c r="AA122" s="66"/>
      <c r="AB122" s="10">
        <v>0.06</v>
      </c>
    </row>
    <row r="123" spans="1:28" x14ac:dyDescent="0.2">
      <c r="A123" s="10"/>
      <c r="B123" s="10"/>
      <c r="C123" s="10"/>
      <c r="D123" s="10"/>
      <c r="E123" s="10"/>
      <c r="F123" s="10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0">
        <v>0.06</v>
      </c>
    </row>
    <row r="124" spans="1:28" x14ac:dyDescent="0.2">
      <c r="A124" s="10"/>
      <c r="B124" s="24" t="s">
        <v>15</v>
      </c>
      <c r="C124" s="24"/>
      <c r="D124" s="24"/>
      <c r="E124" s="24"/>
      <c r="F124" s="24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10">
        <v>0.06</v>
      </c>
    </row>
    <row r="125" spans="1:28" x14ac:dyDescent="0.2">
      <c r="A125" s="10"/>
      <c r="B125" s="10"/>
      <c r="C125" s="10" t="s">
        <v>9</v>
      </c>
      <c r="D125" s="10"/>
      <c r="E125" s="10"/>
      <c r="F125" s="10"/>
      <c r="G125" s="12">
        <f t="shared" ref="G125:Z125" si="58">G99</f>
        <v>0</v>
      </c>
      <c r="H125" s="12">
        <f t="shared" si="58"/>
        <v>0</v>
      </c>
      <c r="I125" s="12">
        <f t="shared" si="58"/>
        <v>0</v>
      </c>
      <c r="J125" s="12">
        <f t="shared" si="58"/>
        <v>3549.0187500000006</v>
      </c>
      <c r="K125" s="12">
        <f t="shared" si="58"/>
        <v>23660.125000000007</v>
      </c>
      <c r="L125" s="12">
        <f t="shared" si="58"/>
        <v>24905.360619531253</v>
      </c>
      <c r="M125" s="12">
        <f t="shared" si="58"/>
        <v>26198.659692467092</v>
      </c>
      <c r="N125" s="12">
        <f t="shared" si="58"/>
        <v>27541.760147642384</v>
      </c>
      <c r="O125" s="12">
        <f t="shared" si="58"/>
        <v>28936.461683527297</v>
      </c>
      <c r="P125" s="12">
        <f t="shared" si="58"/>
        <v>30384.627953180268</v>
      </c>
      <c r="Q125" s="12">
        <f t="shared" si="58"/>
        <v>31888.188826384569</v>
      </c>
      <c r="R125" s="12">
        <f t="shared" si="58"/>
        <v>33449.142731693726</v>
      </c>
      <c r="S125" s="12">
        <f t="shared" si="58"/>
        <v>35069.559081207844</v>
      </c>
      <c r="T125" s="12">
        <f t="shared" si="58"/>
        <v>36751.580781001394</v>
      </c>
      <c r="U125" s="12">
        <f t="shared" si="58"/>
        <v>38497.426830228113</v>
      </c>
      <c r="V125" s="12">
        <f t="shared" si="58"/>
        <v>40309.395012033085</v>
      </c>
      <c r="W125" s="12">
        <f t="shared" si="58"/>
        <v>42189.86467951478</v>
      </c>
      <c r="X125" s="12">
        <f t="shared" si="58"/>
        <v>44141.2996400923</v>
      </c>
      <c r="Y125" s="12">
        <f t="shared" si="58"/>
        <v>46166.251141754154</v>
      </c>
      <c r="Z125" s="12">
        <f t="shared" si="58"/>
        <v>48267.360964783926</v>
      </c>
      <c r="AA125" s="12"/>
      <c r="AB125" s="10">
        <v>0.06</v>
      </c>
    </row>
    <row r="126" spans="1:28" x14ac:dyDescent="0.2">
      <c r="A126" s="10"/>
      <c r="B126" s="10"/>
      <c r="C126" s="10" t="s">
        <v>109</v>
      </c>
      <c r="D126" s="10"/>
      <c r="E126" s="10"/>
      <c r="F126" s="10"/>
      <c r="G126" s="12">
        <f t="shared" ref="G126:Z126" si="59">G105+G106</f>
        <v>0</v>
      </c>
      <c r="H126" s="12">
        <f t="shared" si="59"/>
        <v>0</v>
      </c>
      <c r="I126" s="12">
        <f t="shared" si="59"/>
        <v>0</v>
      </c>
      <c r="J126" s="12">
        <f t="shared" si="59"/>
        <v>-755.11680000000013</v>
      </c>
      <c r="K126" s="12">
        <f t="shared" si="59"/>
        <v>-5170.112000000001</v>
      </c>
      <c r="L126" s="12">
        <f t="shared" si="59"/>
        <v>-5353.496616800001</v>
      </c>
      <c r="M126" s="12">
        <f t="shared" si="59"/>
        <v>-5543.3558567268974</v>
      </c>
      <c r="N126" s="12">
        <f t="shared" si="59"/>
        <v>-5739.918314443461</v>
      </c>
      <c r="O126" s="12">
        <f t="shared" si="59"/>
        <v>-5943.420655432782</v>
      </c>
      <c r="P126" s="12">
        <f t="shared" si="59"/>
        <v>-6154.1079009486566</v>
      </c>
      <c r="Q126" s="12">
        <f t="shared" si="59"/>
        <v>-6372.2337230265266</v>
      </c>
      <c r="R126" s="12">
        <f t="shared" si="59"/>
        <v>-6598.0607499101288</v>
      </c>
      <c r="S126" s="12">
        <f t="shared" si="59"/>
        <v>-6831.8608822616488</v>
      </c>
      <c r="T126" s="12">
        <f t="shared" si="59"/>
        <v>-7073.9156205360014</v>
      </c>
      <c r="U126" s="12">
        <f t="shared" si="59"/>
        <v>-7324.5164039135516</v>
      </c>
      <c r="V126" s="12">
        <f t="shared" si="59"/>
        <v>-7583.9649611992199</v>
      </c>
      <c r="W126" s="12">
        <f t="shared" si="59"/>
        <v>-7852.5736741105666</v>
      </c>
      <c r="X126" s="12">
        <f t="shared" si="59"/>
        <v>-8130.6659533921284</v>
      </c>
      <c r="Y126" s="12">
        <f t="shared" si="59"/>
        <v>-8418.5766282090863</v>
      </c>
      <c r="Z126" s="12">
        <f t="shared" si="59"/>
        <v>-8716.65234928879</v>
      </c>
      <c r="AA126" s="12"/>
      <c r="AB126" s="10">
        <v>0.06</v>
      </c>
    </row>
    <row r="127" spans="1:28" x14ac:dyDescent="0.2">
      <c r="A127" s="10"/>
      <c r="B127" s="10"/>
      <c r="C127" s="10" t="s">
        <v>334</v>
      </c>
      <c r="D127" s="10"/>
      <c r="E127" s="10"/>
      <c r="F127" s="10"/>
      <c r="G127" s="12">
        <f t="shared" ref="G127:Z127" si="60">-G64</f>
        <v>0</v>
      </c>
      <c r="H127" s="12">
        <f t="shared" si="60"/>
        <v>0</v>
      </c>
      <c r="I127" s="12">
        <f t="shared" si="60"/>
        <v>-54400</v>
      </c>
      <c r="J127" s="12">
        <f t="shared" si="60"/>
        <v>-81671.61</v>
      </c>
      <c r="K127" s="12">
        <f t="shared" si="60"/>
        <v>-477.40000000000009</v>
      </c>
      <c r="L127" s="12">
        <f t="shared" si="60"/>
        <v>-494.25520375000008</v>
      </c>
      <c r="M127" s="12">
        <f t="shared" si="60"/>
        <v>-511.70550153739867</v>
      </c>
      <c r="N127" s="12">
        <f t="shared" si="60"/>
        <v>-529.77190390105341</v>
      </c>
      <c r="O127" s="12">
        <f t="shared" si="60"/>
        <v>-548.47616318316011</v>
      </c>
      <c r="P127" s="12">
        <f t="shared" si="60"/>
        <v>-567.84079971954566</v>
      </c>
      <c r="Q127" s="12">
        <f t="shared" si="60"/>
        <v>-587.88912895464398</v>
      </c>
      <c r="R127" s="12">
        <f t="shared" si="60"/>
        <v>-608.64528951379862</v>
      </c>
      <c r="S127" s="12">
        <f t="shared" si="60"/>
        <v>-630.13427226669569</v>
      </c>
      <c r="T127" s="12">
        <f t="shared" si="60"/>
        <v>-652.38195041691188</v>
      </c>
      <c r="U127" s="12">
        <f t="shared" si="60"/>
        <v>-675.41511065381906</v>
      </c>
      <c r="V127" s="12">
        <f t="shared" si="60"/>
        <v>-699.26148540434008</v>
      </c>
      <c r="W127" s="12">
        <f t="shared" si="60"/>
        <v>-723.94978622339772</v>
      </c>
      <c r="X127" s="12">
        <f t="shared" si="60"/>
        <v>-749.50973836324715</v>
      </c>
      <c r="Y127" s="12">
        <f t="shared" si="60"/>
        <v>-775.97211656333513</v>
      </c>
      <c r="Z127" s="12">
        <f t="shared" si="60"/>
        <v>-803.36878210374903</v>
      </c>
      <c r="AA127" s="12"/>
      <c r="AB127" s="10">
        <v>0.06</v>
      </c>
    </row>
    <row r="128" spans="1:28" x14ac:dyDescent="0.2">
      <c r="A128" s="10"/>
      <c r="B128" s="31" t="s">
        <v>335</v>
      </c>
      <c r="C128" s="31"/>
      <c r="D128" s="31"/>
      <c r="E128" s="31"/>
      <c r="F128" s="31"/>
      <c r="G128" s="32">
        <f t="shared" ref="G128:Z128" si="61">G125+G126+G127</f>
        <v>0</v>
      </c>
      <c r="H128" s="32">
        <f t="shared" si="61"/>
        <v>0</v>
      </c>
      <c r="I128" s="32">
        <f t="shared" si="61"/>
        <v>-54400</v>
      </c>
      <c r="J128" s="32">
        <f t="shared" si="61"/>
        <v>-78877.708050000001</v>
      </c>
      <c r="K128" s="32">
        <f t="shared" si="61"/>
        <v>18012.613000000005</v>
      </c>
      <c r="L128" s="32">
        <f t="shared" si="61"/>
        <v>19057.608798981251</v>
      </c>
      <c r="M128" s="32">
        <f t="shared" si="61"/>
        <v>20143.598334202798</v>
      </c>
      <c r="N128" s="32">
        <f t="shared" si="61"/>
        <v>21272.069929297872</v>
      </c>
      <c r="O128" s="32">
        <f t="shared" si="61"/>
        <v>22444.564864911354</v>
      </c>
      <c r="P128" s="32">
        <f t="shared" si="61"/>
        <v>23662.679252512065</v>
      </c>
      <c r="Q128" s="32">
        <f t="shared" si="61"/>
        <v>24928.065974403398</v>
      </c>
      <c r="R128" s="32">
        <f t="shared" si="61"/>
        <v>26242.436692269799</v>
      </c>
      <c r="S128" s="32">
        <f t="shared" si="61"/>
        <v>27607.563926679501</v>
      </c>
      <c r="T128" s="32">
        <f t="shared" si="61"/>
        <v>29025.283210048481</v>
      </c>
      <c r="U128" s="32">
        <f t="shared" si="61"/>
        <v>30497.495315660741</v>
      </c>
      <c r="V128" s="32">
        <f t="shared" si="61"/>
        <v>32026.168565429525</v>
      </c>
      <c r="W128" s="32">
        <f t="shared" si="61"/>
        <v>33613.341219180817</v>
      </c>
      <c r="X128" s="32">
        <f t="shared" si="61"/>
        <v>35261.123948336928</v>
      </c>
      <c r="Y128" s="32">
        <f t="shared" si="61"/>
        <v>36971.702396981731</v>
      </c>
      <c r="Z128" s="32">
        <f t="shared" si="61"/>
        <v>38747.339833391394</v>
      </c>
      <c r="AA128" s="32">
        <f>Z128/$E$38</f>
        <v>387473.39833391394</v>
      </c>
      <c r="AB128" s="10">
        <v>0.06</v>
      </c>
    </row>
    <row r="129" spans="1:28" x14ac:dyDescent="0.2">
      <c r="A129" s="10"/>
      <c r="B129" s="10"/>
      <c r="C129" s="10" t="s">
        <v>336</v>
      </c>
      <c r="D129" s="10"/>
      <c r="E129" s="10"/>
      <c r="F129" s="10"/>
      <c r="G129" s="12">
        <f t="shared" ref="G129:Z129" si="62">G118</f>
        <v>0</v>
      </c>
      <c r="H129" s="12">
        <f t="shared" si="62"/>
        <v>0</v>
      </c>
      <c r="I129" s="12">
        <f t="shared" si="62"/>
        <v>0</v>
      </c>
      <c r="J129" s="12">
        <f t="shared" si="62"/>
        <v>0</v>
      </c>
      <c r="K129" s="12">
        <f t="shared" si="62"/>
        <v>0</v>
      </c>
      <c r="L129" s="12">
        <f t="shared" si="62"/>
        <v>0</v>
      </c>
      <c r="M129" s="12">
        <f t="shared" si="62"/>
        <v>0</v>
      </c>
      <c r="N129" s="12">
        <f t="shared" si="62"/>
        <v>0</v>
      </c>
      <c r="O129" s="12">
        <f t="shared" si="62"/>
        <v>0</v>
      </c>
      <c r="P129" s="12">
        <f t="shared" si="62"/>
        <v>0</v>
      </c>
      <c r="Q129" s="12">
        <f t="shared" si="62"/>
        <v>0</v>
      </c>
      <c r="R129" s="12">
        <f t="shared" si="62"/>
        <v>0</v>
      </c>
      <c r="S129" s="12">
        <f t="shared" si="62"/>
        <v>0</v>
      </c>
      <c r="T129" s="12">
        <f t="shared" si="62"/>
        <v>0</v>
      </c>
      <c r="U129" s="12">
        <f t="shared" si="62"/>
        <v>0</v>
      </c>
      <c r="V129" s="12">
        <f t="shared" si="62"/>
        <v>0</v>
      </c>
      <c r="W129" s="12">
        <f t="shared" si="62"/>
        <v>0</v>
      </c>
      <c r="X129" s="12">
        <f t="shared" si="62"/>
        <v>0</v>
      </c>
      <c r="Y129" s="12">
        <f t="shared" si="62"/>
        <v>0</v>
      </c>
      <c r="Z129" s="12">
        <f t="shared" si="62"/>
        <v>0</v>
      </c>
      <c r="AA129" s="12"/>
      <c r="AB129" s="10">
        <v>0.06</v>
      </c>
    </row>
    <row r="130" spans="1:28" x14ac:dyDescent="0.2">
      <c r="A130" s="10"/>
      <c r="B130" s="10"/>
      <c r="C130" s="10" t="s">
        <v>337</v>
      </c>
      <c r="D130" s="10"/>
      <c r="E130" s="10"/>
      <c r="F130" s="10"/>
      <c r="G130" s="12">
        <f t="shared" ref="G130:Z130" si="63">-G119</f>
        <v>0</v>
      </c>
      <c r="H130" s="12">
        <f t="shared" si="63"/>
        <v>0</v>
      </c>
      <c r="I130" s="12">
        <f t="shared" si="63"/>
        <v>0</v>
      </c>
      <c r="J130" s="12">
        <f t="shared" si="63"/>
        <v>0</v>
      </c>
      <c r="K130" s="12">
        <f t="shared" si="63"/>
        <v>0</v>
      </c>
      <c r="L130" s="12">
        <f t="shared" si="63"/>
        <v>0</v>
      </c>
      <c r="M130" s="12">
        <f t="shared" si="63"/>
        <v>0</v>
      </c>
      <c r="N130" s="12">
        <f t="shared" si="63"/>
        <v>0</v>
      </c>
      <c r="O130" s="12">
        <f t="shared" si="63"/>
        <v>0</v>
      </c>
      <c r="P130" s="12">
        <f t="shared" si="63"/>
        <v>0</v>
      </c>
      <c r="Q130" s="12">
        <f t="shared" si="63"/>
        <v>0</v>
      </c>
      <c r="R130" s="12">
        <f t="shared" si="63"/>
        <v>0</v>
      </c>
      <c r="S130" s="12">
        <f t="shared" si="63"/>
        <v>0</v>
      </c>
      <c r="T130" s="12">
        <f t="shared" si="63"/>
        <v>0</v>
      </c>
      <c r="U130" s="12">
        <f t="shared" si="63"/>
        <v>0</v>
      </c>
      <c r="V130" s="12">
        <f t="shared" si="63"/>
        <v>0</v>
      </c>
      <c r="W130" s="12">
        <f t="shared" si="63"/>
        <v>0</v>
      </c>
      <c r="X130" s="12">
        <f t="shared" si="63"/>
        <v>0</v>
      </c>
      <c r="Y130" s="12">
        <f t="shared" si="63"/>
        <v>0</v>
      </c>
      <c r="Z130" s="12">
        <f t="shared" si="63"/>
        <v>0</v>
      </c>
      <c r="AA130" s="12"/>
      <c r="AB130" s="10">
        <v>0.06</v>
      </c>
    </row>
    <row r="131" spans="1:28" x14ac:dyDescent="0.2">
      <c r="A131" s="10"/>
      <c r="B131" s="10"/>
      <c r="C131" s="10" t="s">
        <v>338</v>
      </c>
      <c r="D131" s="10"/>
      <c r="E131" s="10"/>
      <c r="F131" s="10"/>
      <c r="G131" s="12">
        <f t="shared" ref="G131:Z131" si="64">G120</f>
        <v>0</v>
      </c>
      <c r="H131" s="12">
        <f t="shared" si="64"/>
        <v>0</v>
      </c>
      <c r="I131" s="12">
        <f t="shared" si="64"/>
        <v>0</v>
      </c>
      <c r="J131" s="12">
        <f t="shared" si="64"/>
        <v>0</v>
      </c>
      <c r="K131" s="12">
        <f t="shared" si="64"/>
        <v>0</v>
      </c>
      <c r="L131" s="12">
        <f t="shared" si="64"/>
        <v>0</v>
      </c>
      <c r="M131" s="12">
        <f t="shared" si="64"/>
        <v>0</v>
      </c>
      <c r="N131" s="12">
        <f t="shared" si="64"/>
        <v>0</v>
      </c>
      <c r="O131" s="12">
        <f t="shared" si="64"/>
        <v>0</v>
      </c>
      <c r="P131" s="12">
        <f t="shared" si="64"/>
        <v>0</v>
      </c>
      <c r="Q131" s="12">
        <f t="shared" si="64"/>
        <v>0</v>
      </c>
      <c r="R131" s="12">
        <f t="shared" si="64"/>
        <v>0</v>
      </c>
      <c r="S131" s="12">
        <f t="shared" si="64"/>
        <v>0</v>
      </c>
      <c r="T131" s="12">
        <f t="shared" si="64"/>
        <v>0</v>
      </c>
      <c r="U131" s="12">
        <f t="shared" si="64"/>
        <v>0</v>
      </c>
      <c r="V131" s="12">
        <f t="shared" si="64"/>
        <v>0</v>
      </c>
      <c r="W131" s="12">
        <f t="shared" si="64"/>
        <v>0</v>
      </c>
      <c r="X131" s="12">
        <f t="shared" si="64"/>
        <v>0</v>
      </c>
      <c r="Y131" s="12">
        <f t="shared" si="64"/>
        <v>0</v>
      </c>
      <c r="Z131" s="12">
        <f t="shared" si="64"/>
        <v>0</v>
      </c>
      <c r="AA131" s="12"/>
      <c r="AB131" s="10">
        <v>0.06</v>
      </c>
    </row>
    <row r="132" spans="1:28" x14ac:dyDescent="0.2">
      <c r="A132" s="10"/>
      <c r="B132" s="31" t="s">
        <v>339</v>
      </c>
      <c r="C132" s="31"/>
      <c r="D132" s="31"/>
      <c r="E132" s="31"/>
      <c r="F132" s="31"/>
      <c r="G132" s="32">
        <f t="shared" ref="G132:Z132" si="65">G128+G129+G130+G131</f>
        <v>0</v>
      </c>
      <c r="H132" s="32">
        <f t="shared" si="65"/>
        <v>0</v>
      </c>
      <c r="I132" s="32">
        <f t="shared" si="65"/>
        <v>-54400</v>
      </c>
      <c r="J132" s="32">
        <f t="shared" si="65"/>
        <v>-78877.708050000001</v>
      </c>
      <c r="K132" s="32">
        <f t="shared" si="65"/>
        <v>18012.613000000005</v>
      </c>
      <c r="L132" s="32">
        <f t="shared" si="65"/>
        <v>19057.608798981251</v>
      </c>
      <c r="M132" s="32">
        <f t="shared" si="65"/>
        <v>20143.598334202798</v>
      </c>
      <c r="N132" s="32">
        <f t="shared" si="65"/>
        <v>21272.069929297872</v>
      </c>
      <c r="O132" s="32">
        <f t="shared" si="65"/>
        <v>22444.564864911354</v>
      </c>
      <c r="P132" s="32">
        <f t="shared" si="65"/>
        <v>23662.679252512065</v>
      </c>
      <c r="Q132" s="32">
        <f t="shared" si="65"/>
        <v>24928.065974403398</v>
      </c>
      <c r="R132" s="32">
        <f t="shared" si="65"/>
        <v>26242.436692269799</v>
      </c>
      <c r="S132" s="32">
        <f t="shared" si="65"/>
        <v>27607.563926679501</v>
      </c>
      <c r="T132" s="32">
        <f t="shared" si="65"/>
        <v>29025.283210048481</v>
      </c>
      <c r="U132" s="32">
        <f t="shared" si="65"/>
        <v>30497.495315660741</v>
      </c>
      <c r="V132" s="32">
        <f t="shared" si="65"/>
        <v>32026.168565429525</v>
      </c>
      <c r="W132" s="32">
        <f t="shared" si="65"/>
        <v>33613.341219180817</v>
      </c>
      <c r="X132" s="32">
        <f t="shared" si="65"/>
        <v>35261.123948336928</v>
      </c>
      <c r="Y132" s="32">
        <f t="shared" si="65"/>
        <v>36971.702396981731</v>
      </c>
      <c r="Z132" s="32">
        <f t="shared" si="65"/>
        <v>38747.339833391394</v>
      </c>
      <c r="AA132" s="32">
        <f>Z132/$E$38-Z121</f>
        <v>387473.39833391394</v>
      </c>
      <c r="AB132" s="10">
        <v>0.06</v>
      </c>
    </row>
    <row r="133" spans="1:28" x14ac:dyDescent="0.2">
      <c r="A133" s="10"/>
      <c r="B133" s="10"/>
      <c r="C133" s="23" t="s">
        <v>340</v>
      </c>
      <c r="D133" s="23"/>
      <c r="E133" s="23"/>
      <c r="F133" s="23"/>
      <c r="G133" s="66">
        <f>G132</f>
        <v>0</v>
      </c>
      <c r="H133" s="66">
        <f t="shared" ref="H133:Z133" si="66">G133+H132</f>
        <v>0</v>
      </c>
      <c r="I133" s="66">
        <f t="shared" si="66"/>
        <v>-54400</v>
      </c>
      <c r="J133" s="66">
        <f t="shared" si="66"/>
        <v>-133277.70805000002</v>
      </c>
      <c r="K133" s="66">
        <f t="shared" si="66"/>
        <v>-115265.09505</v>
      </c>
      <c r="L133" s="66">
        <f t="shared" si="66"/>
        <v>-96207.486251018752</v>
      </c>
      <c r="M133" s="66">
        <f t="shared" si="66"/>
        <v>-76063.887916815962</v>
      </c>
      <c r="N133" s="66">
        <f t="shared" si="66"/>
        <v>-54791.817987518094</v>
      </c>
      <c r="O133" s="66">
        <f t="shared" si="66"/>
        <v>-32347.25312260674</v>
      </c>
      <c r="P133" s="66">
        <f t="shared" si="66"/>
        <v>-8684.5738700946749</v>
      </c>
      <c r="Q133" s="66">
        <f t="shared" si="66"/>
        <v>16243.492104308723</v>
      </c>
      <c r="R133" s="66">
        <f t="shared" si="66"/>
        <v>42485.928796578519</v>
      </c>
      <c r="S133" s="66">
        <f t="shared" si="66"/>
        <v>70093.492723258023</v>
      </c>
      <c r="T133" s="66">
        <f t="shared" si="66"/>
        <v>99118.775933306504</v>
      </c>
      <c r="U133" s="66">
        <f t="shared" si="66"/>
        <v>129616.27124896724</v>
      </c>
      <c r="V133" s="66">
        <f t="shared" si="66"/>
        <v>161642.43981439676</v>
      </c>
      <c r="W133" s="66">
        <f t="shared" si="66"/>
        <v>195255.78103357757</v>
      </c>
      <c r="X133" s="66">
        <f t="shared" si="66"/>
        <v>230516.9049819145</v>
      </c>
      <c r="Y133" s="66">
        <f t="shared" si="66"/>
        <v>267488.60737889621</v>
      </c>
      <c r="Z133" s="66">
        <f t="shared" si="66"/>
        <v>306235.94721228757</v>
      </c>
      <c r="AA133" s="66"/>
      <c r="AB133" s="10">
        <v>0.06</v>
      </c>
    </row>
    <row r="134" spans="1:28" x14ac:dyDescent="0.2">
      <c r="A134" s="10"/>
      <c r="B134" s="10"/>
      <c r="C134" s="10"/>
      <c r="D134" s="10"/>
      <c r="E134" s="10"/>
      <c r="F134" s="10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0">
        <v>0.06</v>
      </c>
    </row>
    <row r="135" spans="1:28" x14ac:dyDescent="0.2">
      <c r="A135" s="10"/>
      <c r="B135" s="24" t="s">
        <v>341</v>
      </c>
      <c r="C135" s="24"/>
      <c r="D135" s="24"/>
      <c r="E135" s="24"/>
      <c r="F135" s="24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10">
        <v>0.06</v>
      </c>
    </row>
    <row r="136" spans="1:28" x14ac:dyDescent="0.2">
      <c r="A136" s="10"/>
      <c r="B136" s="10"/>
      <c r="C136" s="23" t="s">
        <v>143</v>
      </c>
      <c r="D136" s="23"/>
      <c r="E136" s="23"/>
      <c r="F136" s="23"/>
      <c r="G136" s="66">
        <f>G132</f>
        <v>0</v>
      </c>
      <c r="H136" s="66">
        <f t="shared" ref="H136:Z136" si="67">G136+H132</f>
        <v>0</v>
      </c>
      <c r="I136" s="66">
        <f t="shared" si="67"/>
        <v>-54400</v>
      </c>
      <c r="J136" s="66">
        <f t="shared" si="67"/>
        <v>-133277.70805000002</v>
      </c>
      <c r="K136" s="66">
        <f t="shared" si="67"/>
        <v>-115265.09505</v>
      </c>
      <c r="L136" s="66">
        <f t="shared" si="67"/>
        <v>-96207.486251018752</v>
      </c>
      <c r="M136" s="66">
        <f t="shared" si="67"/>
        <v>-76063.887916815962</v>
      </c>
      <c r="N136" s="66">
        <f t="shared" si="67"/>
        <v>-54791.817987518094</v>
      </c>
      <c r="O136" s="66">
        <f t="shared" si="67"/>
        <v>-32347.25312260674</v>
      </c>
      <c r="P136" s="66">
        <f t="shared" si="67"/>
        <v>-8684.5738700946749</v>
      </c>
      <c r="Q136" s="66">
        <f t="shared" si="67"/>
        <v>16243.492104308723</v>
      </c>
      <c r="R136" s="66">
        <f t="shared" si="67"/>
        <v>42485.928796578519</v>
      </c>
      <c r="S136" s="66">
        <f t="shared" si="67"/>
        <v>70093.492723258023</v>
      </c>
      <c r="T136" s="66">
        <f t="shared" si="67"/>
        <v>99118.775933306504</v>
      </c>
      <c r="U136" s="66">
        <f t="shared" si="67"/>
        <v>129616.27124896724</v>
      </c>
      <c r="V136" s="66">
        <f t="shared" si="67"/>
        <v>161642.43981439676</v>
      </c>
      <c r="W136" s="66">
        <f t="shared" si="67"/>
        <v>195255.78103357757</v>
      </c>
      <c r="X136" s="66">
        <f t="shared" si="67"/>
        <v>230516.9049819145</v>
      </c>
      <c r="Y136" s="66">
        <f t="shared" si="67"/>
        <v>267488.60737889621</v>
      </c>
      <c r="Z136" s="66">
        <f t="shared" si="67"/>
        <v>306235.94721228757</v>
      </c>
      <c r="AA136" s="66"/>
      <c r="AB136" s="10">
        <v>0.06</v>
      </c>
    </row>
    <row r="137" spans="1:28" x14ac:dyDescent="0.2">
      <c r="A137" s="10"/>
      <c r="B137" s="10"/>
      <c r="C137" s="23" t="s">
        <v>144</v>
      </c>
      <c r="D137" s="23"/>
      <c r="E137" s="23"/>
      <c r="F137" s="23"/>
      <c r="G137" s="67">
        <f t="shared" ref="G137:AA137" si="68">1/(1+$E$37)^(COLUMN(G137)-COLUMN($G$137))</f>
        <v>1</v>
      </c>
      <c r="H137" s="67">
        <f t="shared" si="68"/>
        <v>0.9174311926605504</v>
      </c>
      <c r="I137" s="67">
        <f t="shared" si="68"/>
        <v>0.84167999326655996</v>
      </c>
      <c r="J137" s="67">
        <f t="shared" si="68"/>
        <v>0.77218348006106419</v>
      </c>
      <c r="K137" s="67">
        <f t="shared" si="68"/>
        <v>0.7084252110651964</v>
      </c>
      <c r="L137" s="67">
        <f t="shared" si="68"/>
        <v>0.64993138629834524</v>
      </c>
      <c r="M137" s="67">
        <f t="shared" si="68"/>
        <v>0.5962673268792158</v>
      </c>
      <c r="N137" s="67">
        <f t="shared" si="68"/>
        <v>0.54703424484331731</v>
      </c>
      <c r="O137" s="67">
        <f t="shared" si="68"/>
        <v>0.50186627967276809</v>
      </c>
      <c r="P137" s="67">
        <f t="shared" si="68"/>
        <v>0.46042777951630098</v>
      </c>
      <c r="Q137" s="67">
        <f t="shared" si="68"/>
        <v>0.42241080689568894</v>
      </c>
      <c r="R137" s="67">
        <f t="shared" si="68"/>
        <v>0.38753285036301738</v>
      </c>
      <c r="S137" s="67">
        <f t="shared" si="68"/>
        <v>0.35553472510368567</v>
      </c>
      <c r="T137" s="67">
        <f t="shared" si="68"/>
        <v>0.32617864688411524</v>
      </c>
      <c r="U137" s="67">
        <f t="shared" si="68"/>
        <v>0.29924646503129837</v>
      </c>
      <c r="V137" s="67">
        <f t="shared" si="68"/>
        <v>0.27453804131311776</v>
      </c>
      <c r="W137" s="67">
        <f t="shared" si="68"/>
        <v>0.2518697626725851</v>
      </c>
      <c r="X137" s="67">
        <f t="shared" si="68"/>
        <v>0.23107317676383954</v>
      </c>
      <c r="Y137" s="67">
        <f t="shared" si="68"/>
        <v>0.21199374015031147</v>
      </c>
      <c r="Z137" s="67">
        <f t="shared" si="68"/>
        <v>0.19448966986267105</v>
      </c>
      <c r="AA137" s="67">
        <f t="shared" si="68"/>
        <v>0.17843088978226704</v>
      </c>
      <c r="AB137" s="10">
        <v>0.06</v>
      </c>
    </row>
    <row r="138" spans="1:28" x14ac:dyDescent="0.2">
      <c r="A138" s="10"/>
      <c r="B138" s="10"/>
      <c r="C138" s="23" t="s">
        <v>145</v>
      </c>
      <c r="D138" s="23"/>
      <c r="E138" s="23"/>
      <c r="F138" s="23"/>
      <c r="G138" s="66">
        <f t="shared" ref="G138:AA138" si="69">G132*G137</f>
        <v>0</v>
      </c>
      <c r="H138" s="66">
        <f t="shared" si="69"/>
        <v>0</v>
      </c>
      <c r="I138" s="66">
        <f t="shared" si="69"/>
        <v>-45787.391633700863</v>
      </c>
      <c r="J138" s="66">
        <f t="shared" si="69"/>
        <v>-60908.063101289619</v>
      </c>
      <c r="K138" s="66">
        <f t="shared" si="69"/>
        <v>12760.589166360704</v>
      </c>
      <c r="L138" s="66">
        <f t="shared" si="69"/>
        <v>12386.138106253427</v>
      </c>
      <c r="M138" s="66">
        <f t="shared" si="69"/>
        <v>12010.969532463727</v>
      </c>
      <c r="N138" s="66">
        <f t="shared" si="69"/>
        <v>11636.550710027699</v>
      </c>
      <c r="O138" s="66">
        <f t="shared" si="69"/>
        <v>11264.170267627185</v>
      </c>
      <c r="P138" s="66">
        <f t="shared" si="69"/>
        <v>10894.954865640575</v>
      </c>
      <c r="Q138" s="66">
        <f t="shared" si="69"/>
        <v>10529.884462596709</v>
      </c>
      <c r="R138" s="66">
        <f t="shared" si="69"/>
        <v>10169.806291826349</v>
      </c>
      <c r="S138" s="66">
        <f t="shared" si="69"/>
        <v>9815.4476514544258</v>
      </c>
      <c r="T138" s="66">
        <f t="shared" si="69"/>
        <v>9467.4276028818422</v>
      </c>
      <c r="U138" s="66">
        <f t="shared" si="69"/>
        <v>9126.2676655200576</v>
      </c>
      <c r="V138" s="66">
        <f t="shared" si="69"/>
        <v>8792.4015887167643</v>
      </c>
      <c r="W138" s="66">
        <f t="shared" si="69"/>
        <v>8466.1842755076941</v>
      </c>
      <c r="X138" s="66">
        <f t="shared" si="69"/>
        <v>8147.8999270057147</v>
      </c>
      <c r="Y138" s="66">
        <f t="shared" si="69"/>
        <v>7837.7694708603931</v>
      </c>
      <c r="Z138" s="66">
        <f t="shared" si="69"/>
        <v>7535.9573322530159</v>
      </c>
      <c r="AA138" s="66">
        <f t="shared" si="69"/>
        <v>69137.223231679047</v>
      </c>
      <c r="AB138" s="10">
        <v>0.06</v>
      </c>
    </row>
    <row r="139" spans="1:28" x14ac:dyDescent="0.2">
      <c r="A139" s="10"/>
      <c r="B139" s="10"/>
      <c r="C139" s="23" t="s">
        <v>146</v>
      </c>
      <c r="D139" s="23"/>
      <c r="E139" s="23"/>
      <c r="F139" s="23"/>
      <c r="G139" s="66">
        <f>G138</f>
        <v>0</v>
      </c>
      <c r="H139" s="66">
        <f t="shared" ref="H139:Z139" si="70">G139+H138</f>
        <v>0</v>
      </c>
      <c r="I139" s="66">
        <f t="shared" si="70"/>
        <v>-45787.391633700863</v>
      </c>
      <c r="J139" s="66">
        <f t="shared" si="70"/>
        <v>-106695.45473499049</v>
      </c>
      <c r="K139" s="66">
        <f t="shared" si="70"/>
        <v>-93934.865568629786</v>
      </c>
      <c r="L139" s="66">
        <f t="shared" si="70"/>
        <v>-81548.727462376351</v>
      </c>
      <c r="M139" s="66">
        <f t="shared" si="70"/>
        <v>-69537.757929912623</v>
      </c>
      <c r="N139" s="66">
        <f t="shared" si="70"/>
        <v>-57901.20721988492</v>
      </c>
      <c r="O139" s="66">
        <f t="shared" si="70"/>
        <v>-46637.036952257738</v>
      </c>
      <c r="P139" s="66">
        <f t="shared" si="70"/>
        <v>-35742.082086617163</v>
      </c>
      <c r="Q139" s="66">
        <f t="shared" si="70"/>
        <v>-25212.197624020453</v>
      </c>
      <c r="R139" s="66">
        <f t="shared" si="70"/>
        <v>-15042.391332194104</v>
      </c>
      <c r="S139" s="66">
        <f t="shared" si="70"/>
        <v>-5226.9436807396778</v>
      </c>
      <c r="T139" s="66">
        <f t="shared" si="70"/>
        <v>4240.4839221421644</v>
      </c>
      <c r="U139" s="66">
        <f t="shared" si="70"/>
        <v>13366.751587662222</v>
      </c>
      <c r="V139" s="66">
        <f t="shared" si="70"/>
        <v>22159.153176378986</v>
      </c>
      <c r="W139" s="66">
        <f t="shared" si="70"/>
        <v>30625.33745188668</v>
      </c>
      <c r="X139" s="66">
        <f t="shared" si="70"/>
        <v>38773.237378892394</v>
      </c>
      <c r="Y139" s="66">
        <f t="shared" si="70"/>
        <v>46611.00684975279</v>
      </c>
      <c r="Z139" s="66">
        <f t="shared" si="70"/>
        <v>54146.964182005802</v>
      </c>
      <c r="AA139" s="66"/>
      <c r="AB139" s="10">
        <v>0.06</v>
      </c>
    </row>
    <row r="140" spans="1:28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>
        <v>0.06</v>
      </c>
    </row>
    <row r="141" spans="1:28" x14ac:dyDescent="0.2">
      <c r="A141" s="10"/>
      <c r="B141" s="81" t="s">
        <v>149</v>
      </c>
      <c r="C141" s="81"/>
      <c r="D141" s="81"/>
      <c r="E141" s="9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>
        <v>0.06</v>
      </c>
    </row>
    <row r="142" spans="1:28" x14ac:dyDescent="0.2">
      <c r="A142" s="10"/>
      <c r="B142" s="10"/>
      <c r="C142" s="10" t="s">
        <v>150</v>
      </c>
      <c r="D142" s="10"/>
      <c r="E142" s="72">
        <f>IRR($G$132:$AA$132)</f>
        <v>0.18005338922109515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>
        <v>0.06</v>
      </c>
    </row>
    <row r="143" spans="1:28" x14ac:dyDescent="0.2">
      <c r="A143" s="10"/>
      <c r="B143" s="10"/>
      <c r="C143" s="10" t="s">
        <v>151</v>
      </c>
      <c r="D143" s="10"/>
      <c r="E143" s="72">
        <f>IFERROR(IRR($G$132:$Z$132),"n/a")</f>
        <v>0.15008702498414994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>
        <v>0.06</v>
      </c>
    </row>
    <row r="144" spans="1:28" x14ac:dyDescent="0.2">
      <c r="A144" s="10"/>
      <c r="B144" s="10"/>
      <c r="C144" s="10" t="s">
        <v>152</v>
      </c>
      <c r="D144" s="10"/>
      <c r="E144" s="72">
        <f>$E$37</f>
        <v>0.09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>
        <v>0.06</v>
      </c>
    </row>
    <row r="145" spans="1:28" x14ac:dyDescent="0.2">
      <c r="A145" s="10"/>
      <c r="B145" s="10"/>
      <c r="C145" s="10" t="s">
        <v>153</v>
      </c>
      <c r="D145" s="10"/>
      <c r="E145" s="73">
        <f>SUM($G$138:$AA$138)</f>
        <v>123284.18741368485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>
        <v>0.06</v>
      </c>
    </row>
    <row r="146" spans="1:28" x14ac:dyDescent="0.2">
      <c r="A146" s="10"/>
      <c r="B146" s="10"/>
      <c r="C146" s="10" t="s">
        <v>154</v>
      </c>
      <c r="D146" s="10"/>
      <c r="E146" s="73">
        <f>SUM($G$138:$Z$138)</f>
        <v>54146.964182005802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>
        <v>0.06</v>
      </c>
    </row>
    <row r="147" spans="1:28" x14ac:dyDescent="0.2">
      <c r="A147" s="10"/>
      <c r="B147" s="10"/>
      <c r="C147" s="10" t="s">
        <v>155</v>
      </c>
      <c r="D147" s="10"/>
      <c r="E147" s="73">
        <f>$AA$138</f>
        <v>69137.223231679047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>
        <v>0.06</v>
      </c>
    </row>
    <row r="148" spans="1:28" x14ac:dyDescent="0.2">
      <c r="A148" s="10"/>
      <c r="B148" s="10"/>
      <c r="C148" s="10" t="s">
        <v>156</v>
      </c>
      <c r="D148" s="10"/>
      <c r="E148" s="74">
        <f>SUMIF($G$138:$AA$138,"&gt;0")/-SUMIF($G$138:$AA$138,"&lt;0")</f>
        <v>2.1554774073543932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>
        <v>0.06</v>
      </c>
    </row>
    <row r="149" spans="1:28" x14ac:dyDescent="0.2">
      <c r="A149" s="10"/>
      <c r="B149" s="81" t="s">
        <v>157</v>
      </c>
      <c r="C149" s="81"/>
      <c r="D149" s="81"/>
      <c r="E149" s="9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>
        <v>0.06</v>
      </c>
    </row>
    <row r="150" spans="1:28" x14ac:dyDescent="0.2">
      <c r="A150" s="10"/>
      <c r="B150" s="10"/>
      <c r="C150" s="10" t="s">
        <v>158</v>
      </c>
      <c r="D150" s="10"/>
      <c r="E150" s="73">
        <f>-SUMIF($G$132:$Z$132,"&lt;0")</f>
        <v>133277.70805000002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>
        <v>0.06</v>
      </c>
    </row>
    <row r="151" spans="1:28" x14ac:dyDescent="0.2">
      <c r="A151" s="10"/>
      <c r="B151" s="10"/>
      <c r="C151" s="10" t="s">
        <v>159</v>
      </c>
      <c r="D151" s="10"/>
      <c r="E151" s="73">
        <f>-MIN(0,MIN($G$136:$Z$136))</f>
        <v>133277.70805000002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>
        <v>0.06</v>
      </c>
    </row>
    <row r="152" spans="1:28" x14ac:dyDescent="0.2">
      <c r="A152" s="10"/>
      <c r="B152" s="10"/>
      <c r="C152" s="10" t="s">
        <v>160</v>
      </c>
      <c r="D152" s="10"/>
      <c r="E152" s="75">
        <f>INDEX($G$6:$Z$6,MATCH(MIN($G$136:$Z$136),$G$136:$Z$136,0))</f>
        <v>2029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>
        <v>0.06</v>
      </c>
    </row>
    <row r="153" spans="1:28" x14ac:dyDescent="0.2">
      <c r="A153" s="10"/>
      <c r="B153" s="10"/>
      <c r="C153" s="10" t="s">
        <v>161</v>
      </c>
      <c r="D153" s="10"/>
      <c r="E153" s="75">
        <f>COUNTIF($G$132:$Z$132,"&lt;0")</f>
        <v>2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>
        <v>0.06</v>
      </c>
    </row>
    <row r="154" spans="1:28" x14ac:dyDescent="0.2">
      <c r="A154" s="10"/>
      <c r="B154" s="10"/>
      <c r="C154" s="10" t="s">
        <v>1041</v>
      </c>
      <c r="D154" s="10"/>
      <c r="E154" s="316">
        <f>IF(COUNTIF($G$136:$Z$136,"&lt;0")=COUNT($G$136:$Z$136),"&gt; 20 years",COUNTIF($G$136:$Z$136,"&lt;0"))</f>
        <v>8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</row>
    <row r="155" spans="1:28" x14ac:dyDescent="0.2">
      <c r="A155" s="10"/>
      <c r="B155" s="81" t="s">
        <v>162</v>
      </c>
      <c r="C155" s="81"/>
      <c r="D155" s="81"/>
      <c r="E155" s="9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>
        <v>0.06</v>
      </c>
    </row>
    <row r="156" spans="1:28" x14ac:dyDescent="0.2">
      <c r="A156" s="10"/>
      <c r="B156" s="10"/>
      <c r="C156" s="10" t="s">
        <v>163</v>
      </c>
      <c r="D156" s="10"/>
      <c r="E156" s="73">
        <f>SUMIF($G$132:$Z$132,"&gt;0")</f>
        <v>439513.65526228771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>
        <v>0.06</v>
      </c>
    </row>
    <row r="157" spans="1:28" x14ac:dyDescent="0.2">
      <c r="A157" s="10"/>
      <c r="B157" s="10"/>
      <c r="C157" s="10" t="s">
        <v>164</v>
      </c>
      <c r="D157" s="10"/>
      <c r="E157" s="73">
        <f>SUM($G$132:$Z$132)</f>
        <v>306235.94721228757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>
        <v>0.06</v>
      </c>
    </row>
    <row r="158" spans="1:28" x14ac:dyDescent="0.2">
      <c r="A158" s="10"/>
      <c r="B158" s="10"/>
      <c r="C158" s="10" t="s">
        <v>165</v>
      </c>
      <c r="D158" s="10"/>
      <c r="E158" s="74">
        <f>E156/E150</f>
        <v>3.2977281924551196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>
        <v>0.06</v>
      </c>
    </row>
    <row r="159" spans="1:28" x14ac:dyDescent="0.2">
      <c r="A159" s="10"/>
      <c r="B159" s="10"/>
      <c r="C159" s="10" t="s">
        <v>166</v>
      </c>
      <c r="D159" s="10"/>
      <c r="E159" s="74">
        <f>(E156+$AA$132)/E150</f>
        <v>6.2049915600735863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>
        <v>0.06</v>
      </c>
    </row>
    <row r="160" spans="1:28" x14ac:dyDescent="0.2">
      <c r="A160" s="10"/>
      <c r="B160" s="10"/>
      <c r="C160" s="10" t="s">
        <v>167</v>
      </c>
      <c r="D160" s="10"/>
      <c r="E160" s="73">
        <f>IFERROR(AVERAGEIF($G$132:$Z$132,"&gt;0"),0)</f>
        <v>27469.603453892982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>
        <v>0.06</v>
      </c>
    </row>
    <row r="161" spans="1:28" x14ac:dyDescent="0.2">
      <c r="A161" s="10"/>
      <c r="B161" s="10"/>
      <c r="C161" s="10" t="s">
        <v>168</v>
      </c>
      <c r="D161" s="10"/>
      <c r="E161" s="72">
        <f>IFERROR(E160/E151,"n/a")</f>
        <v>0.20610801202844498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>
        <v>0.06</v>
      </c>
    </row>
    <row r="162" spans="1:28" x14ac:dyDescent="0.2">
      <c r="A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>
        <v>0.06</v>
      </c>
    </row>
    <row r="163" spans="1:28" x14ac:dyDescent="0.2">
      <c r="A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>
        <v>0.06</v>
      </c>
    </row>
    <row r="164" spans="1:28" x14ac:dyDescent="0.2">
      <c r="A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>
        <v>0.06</v>
      </c>
    </row>
    <row r="165" spans="1:28" x14ac:dyDescent="0.2">
      <c r="A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>
        <v>0.06</v>
      </c>
    </row>
    <row r="166" spans="1:28" x14ac:dyDescent="0.2">
      <c r="A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>
        <v>0.06</v>
      </c>
    </row>
    <row r="167" spans="1:28" x14ac:dyDescent="0.2">
      <c r="A167" s="10"/>
      <c r="B167" s="81" t="s">
        <v>342</v>
      </c>
      <c r="C167" s="81"/>
      <c r="D167" s="81"/>
      <c r="E167" s="9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>
        <v>0.06</v>
      </c>
    </row>
    <row r="168" spans="1:28" x14ac:dyDescent="0.2">
      <c r="A168" s="10"/>
      <c r="B168" s="10"/>
      <c r="C168" s="10" t="s">
        <v>343</v>
      </c>
      <c r="D168" s="10"/>
      <c r="E168" s="72">
        <f>$E$33</f>
        <v>0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>
        <v>0.06</v>
      </c>
    </row>
    <row r="169" spans="1:28" x14ac:dyDescent="0.2">
      <c r="A169" s="10"/>
      <c r="B169" s="10"/>
      <c r="C169" s="10" t="s">
        <v>174</v>
      </c>
      <c r="D169" s="10"/>
      <c r="E169" s="73">
        <f>MAX($G$121:$Z$121)</f>
        <v>0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>
        <v>0.06</v>
      </c>
    </row>
    <row r="170" spans="1:28" x14ac:dyDescent="0.2">
      <c r="A170" s="10"/>
      <c r="B170" s="10"/>
      <c r="C170" s="10" t="s">
        <v>175</v>
      </c>
      <c r="D170" s="10"/>
      <c r="E170" s="74">
        <f>IFERROR(MIN($G$122:$Z$122),"n/a")</f>
        <v>0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>
        <v>0.06</v>
      </c>
    </row>
    <row r="171" spans="1:28" x14ac:dyDescent="0.2">
      <c r="A171" s="10"/>
      <c r="B171" s="10"/>
      <c r="C171" s="10" t="s">
        <v>176</v>
      </c>
      <c r="D171" s="10"/>
      <c r="E171" s="74" t="str">
        <f>IFERROR(AVERAGE($G$122:$Z$122),"n/a")</f>
        <v>n/a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>
        <v>0.06</v>
      </c>
    </row>
    <row r="172" spans="1:28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>
        <v>0.06</v>
      </c>
    </row>
    <row r="173" spans="1:28" x14ac:dyDescent="0.2">
      <c r="A173" s="10"/>
      <c r="B173" s="24" t="s">
        <v>344</v>
      </c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10">
        <v>0.06</v>
      </c>
    </row>
    <row r="174" spans="1:28" x14ac:dyDescent="0.2">
      <c r="A174" s="10"/>
      <c r="B174" s="10"/>
      <c r="C174" s="23" t="s">
        <v>143</v>
      </c>
      <c r="D174" s="23"/>
      <c r="E174" s="23"/>
      <c r="F174" s="23"/>
      <c r="G174" s="66">
        <f>G128</f>
        <v>0</v>
      </c>
      <c r="H174" s="66">
        <f t="shared" ref="H174:Z174" si="71">G174+H128</f>
        <v>0</v>
      </c>
      <c r="I174" s="66">
        <f t="shared" si="71"/>
        <v>-54400</v>
      </c>
      <c r="J174" s="66">
        <f t="shared" si="71"/>
        <v>-133277.70805000002</v>
      </c>
      <c r="K174" s="66">
        <f t="shared" si="71"/>
        <v>-115265.09505</v>
      </c>
      <c r="L174" s="66">
        <f t="shared" si="71"/>
        <v>-96207.486251018752</v>
      </c>
      <c r="M174" s="66">
        <f t="shared" si="71"/>
        <v>-76063.887916815962</v>
      </c>
      <c r="N174" s="66">
        <f t="shared" si="71"/>
        <v>-54791.817987518094</v>
      </c>
      <c r="O174" s="66">
        <f t="shared" si="71"/>
        <v>-32347.25312260674</v>
      </c>
      <c r="P174" s="66">
        <f t="shared" si="71"/>
        <v>-8684.5738700946749</v>
      </c>
      <c r="Q174" s="66">
        <f t="shared" si="71"/>
        <v>16243.492104308723</v>
      </c>
      <c r="R174" s="66">
        <f t="shared" si="71"/>
        <v>42485.928796578519</v>
      </c>
      <c r="S174" s="66">
        <f t="shared" si="71"/>
        <v>70093.492723258023</v>
      </c>
      <c r="T174" s="66">
        <f t="shared" si="71"/>
        <v>99118.775933306504</v>
      </c>
      <c r="U174" s="66">
        <f t="shared" si="71"/>
        <v>129616.27124896724</v>
      </c>
      <c r="V174" s="66">
        <f t="shared" si="71"/>
        <v>161642.43981439676</v>
      </c>
      <c r="W174" s="66">
        <f t="shared" si="71"/>
        <v>195255.78103357757</v>
      </c>
      <c r="X174" s="66">
        <f t="shared" si="71"/>
        <v>230516.9049819145</v>
      </c>
      <c r="Y174" s="66">
        <f t="shared" si="71"/>
        <v>267488.60737889621</v>
      </c>
      <c r="Z174" s="66">
        <f t="shared" si="71"/>
        <v>306235.94721228757</v>
      </c>
      <c r="AA174" s="66"/>
      <c r="AB174" s="10">
        <v>0.06</v>
      </c>
    </row>
    <row r="175" spans="1:28" x14ac:dyDescent="0.2">
      <c r="A175" s="10"/>
      <c r="B175" s="10"/>
      <c r="C175" s="23" t="s">
        <v>144</v>
      </c>
      <c r="D175" s="23"/>
      <c r="E175" s="23"/>
      <c r="F175" s="23"/>
      <c r="G175" s="67">
        <f t="shared" ref="G175:AA175" si="72">1/(1+$E$37)^(COLUMN(G175)-COLUMN($G$175))</f>
        <v>1</v>
      </c>
      <c r="H175" s="67">
        <f t="shared" si="72"/>
        <v>0.9174311926605504</v>
      </c>
      <c r="I175" s="67">
        <f t="shared" si="72"/>
        <v>0.84167999326655996</v>
      </c>
      <c r="J175" s="67">
        <f t="shared" si="72"/>
        <v>0.77218348006106419</v>
      </c>
      <c r="K175" s="67">
        <f t="shared" si="72"/>
        <v>0.7084252110651964</v>
      </c>
      <c r="L175" s="67">
        <f t="shared" si="72"/>
        <v>0.64993138629834524</v>
      </c>
      <c r="M175" s="67">
        <f t="shared" si="72"/>
        <v>0.5962673268792158</v>
      </c>
      <c r="N175" s="67">
        <f t="shared" si="72"/>
        <v>0.54703424484331731</v>
      </c>
      <c r="O175" s="67">
        <f t="shared" si="72"/>
        <v>0.50186627967276809</v>
      </c>
      <c r="P175" s="67">
        <f t="shared" si="72"/>
        <v>0.46042777951630098</v>
      </c>
      <c r="Q175" s="67">
        <f t="shared" si="72"/>
        <v>0.42241080689568894</v>
      </c>
      <c r="R175" s="67">
        <f t="shared" si="72"/>
        <v>0.38753285036301738</v>
      </c>
      <c r="S175" s="67">
        <f t="shared" si="72"/>
        <v>0.35553472510368567</v>
      </c>
      <c r="T175" s="67">
        <f t="shared" si="72"/>
        <v>0.32617864688411524</v>
      </c>
      <c r="U175" s="67">
        <f t="shared" si="72"/>
        <v>0.29924646503129837</v>
      </c>
      <c r="V175" s="67">
        <f t="shared" si="72"/>
        <v>0.27453804131311776</v>
      </c>
      <c r="W175" s="67">
        <f t="shared" si="72"/>
        <v>0.2518697626725851</v>
      </c>
      <c r="X175" s="67">
        <f t="shared" si="72"/>
        <v>0.23107317676383954</v>
      </c>
      <c r="Y175" s="67">
        <f t="shared" si="72"/>
        <v>0.21199374015031147</v>
      </c>
      <c r="Z175" s="67">
        <f t="shared" si="72"/>
        <v>0.19448966986267105</v>
      </c>
      <c r="AA175" s="67">
        <f t="shared" si="72"/>
        <v>0.17843088978226704</v>
      </c>
      <c r="AB175" s="10">
        <v>0.06</v>
      </c>
    </row>
    <row r="176" spans="1:28" x14ac:dyDescent="0.2">
      <c r="A176" s="10"/>
      <c r="B176" s="10"/>
      <c r="C176" s="23" t="s">
        <v>145</v>
      </c>
      <c r="D176" s="23"/>
      <c r="E176" s="23"/>
      <c r="F176" s="23"/>
      <c r="G176" s="66">
        <f t="shared" ref="G176:AA176" si="73">G128*G175</f>
        <v>0</v>
      </c>
      <c r="H176" s="66">
        <f t="shared" si="73"/>
        <v>0</v>
      </c>
      <c r="I176" s="66">
        <f t="shared" si="73"/>
        <v>-45787.391633700863</v>
      </c>
      <c r="J176" s="66">
        <f t="shared" si="73"/>
        <v>-60908.063101289619</v>
      </c>
      <c r="K176" s="66">
        <f t="shared" si="73"/>
        <v>12760.589166360704</v>
      </c>
      <c r="L176" s="66">
        <f t="shared" si="73"/>
        <v>12386.138106253427</v>
      </c>
      <c r="M176" s="66">
        <f t="shared" si="73"/>
        <v>12010.969532463727</v>
      </c>
      <c r="N176" s="66">
        <f t="shared" si="73"/>
        <v>11636.550710027699</v>
      </c>
      <c r="O176" s="66">
        <f t="shared" si="73"/>
        <v>11264.170267627185</v>
      </c>
      <c r="P176" s="66">
        <f t="shared" si="73"/>
        <v>10894.954865640575</v>
      </c>
      <c r="Q176" s="66">
        <f t="shared" si="73"/>
        <v>10529.884462596709</v>
      </c>
      <c r="R176" s="66">
        <f t="shared" si="73"/>
        <v>10169.806291826349</v>
      </c>
      <c r="S176" s="66">
        <f t="shared" si="73"/>
        <v>9815.4476514544258</v>
      </c>
      <c r="T176" s="66">
        <f t="shared" si="73"/>
        <v>9467.4276028818422</v>
      </c>
      <c r="U176" s="66">
        <f t="shared" si="73"/>
        <v>9126.2676655200576</v>
      </c>
      <c r="V176" s="66">
        <f t="shared" si="73"/>
        <v>8792.4015887167643</v>
      </c>
      <c r="W176" s="66">
        <f t="shared" si="73"/>
        <v>8466.1842755076941</v>
      </c>
      <c r="X176" s="66">
        <f t="shared" si="73"/>
        <v>8147.8999270057147</v>
      </c>
      <c r="Y176" s="66">
        <f t="shared" si="73"/>
        <v>7837.7694708603931</v>
      </c>
      <c r="Z176" s="66">
        <f t="shared" si="73"/>
        <v>7535.9573322530159</v>
      </c>
      <c r="AA176" s="66">
        <f t="shared" si="73"/>
        <v>69137.223231679047</v>
      </c>
      <c r="AB176" s="10">
        <v>0.06</v>
      </c>
    </row>
    <row r="177" spans="1:28" x14ac:dyDescent="0.2">
      <c r="A177" s="10"/>
      <c r="B177" s="10"/>
      <c r="C177" s="23" t="s">
        <v>146</v>
      </c>
      <c r="D177" s="23"/>
      <c r="E177" s="23"/>
      <c r="F177" s="23"/>
      <c r="G177" s="66">
        <f>G176</f>
        <v>0</v>
      </c>
      <c r="H177" s="66">
        <f t="shared" ref="H177:Z177" si="74">G177+H176</f>
        <v>0</v>
      </c>
      <c r="I177" s="66">
        <f t="shared" si="74"/>
        <v>-45787.391633700863</v>
      </c>
      <c r="J177" s="66">
        <f t="shared" si="74"/>
        <v>-106695.45473499049</v>
      </c>
      <c r="K177" s="66">
        <f t="shared" si="74"/>
        <v>-93934.865568629786</v>
      </c>
      <c r="L177" s="66">
        <f t="shared" si="74"/>
        <v>-81548.727462376351</v>
      </c>
      <c r="M177" s="66">
        <f t="shared" si="74"/>
        <v>-69537.757929912623</v>
      </c>
      <c r="N177" s="66">
        <f t="shared" si="74"/>
        <v>-57901.20721988492</v>
      </c>
      <c r="O177" s="66">
        <f t="shared" si="74"/>
        <v>-46637.036952257738</v>
      </c>
      <c r="P177" s="66">
        <f t="shared" si="74"/>
        <v>-35742.082086617163</v>
      </c>
      <c r="Q177" s="66">
        <f t="shared" si="74"/>
        <v>-25212.197624020453</v>
      </c>
      <c r="R177" s="66">
        <f t="shared" si="74"/>
        <v>-15042.391332194104</v>
      </c>
      <c r="S177" s="66">
        <f t="shared" si="74"/>
        <v>-5226.9436807396778</v>
      </c>
      <c r="T177" s="66">
        <f t="shared" si="74"/>
        <v>4240.4839221421644</v>
      </c>
      <c r="U177" s="66">
        <f t="shared" si="74"/>
        <v>13366.751587662222</v>
      </c>
      <c r="V177" s="66">
        <f t="shared" si="74"/>
        <v>22159.153176378986</v>
      </c>
      <c r="W177" s="66">
        <f t="shared" si="74"/>
        <v>30625.33745188668</v>
      </c>
      <c r="X177" s="66">
        <f t="shared" si="74"/>
        <v>38773.237378892394</v>
      </c>
      <c r="Y177" s="66">
        <f t="shared" si="74"/>
        <v>46611.00684975279</v>
      </c>
      <c r="Z177" s="66">
        <f t="shared" si="74"/>
        <v>54146.964182005802</v>
      </c>
      <c r="AA177" s="66"/>
      <c r="AB177" s="10">
        <v>0.06</v>
      </c>
    </row>
    <row r="178" spans="1:28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>
        <v>0.06</v>
      </c>
    </row>
    <row r="179" spans="1:28" x14ac:dyDescent="0.2">
      <c r="A179" s="10"/>
      <c r="B179" s="81" t="s">
        <v>149</v>
      </c>
      <c r="C179" s="81"/>
      <c r="D179" s="81"/>
      <c r="E179" s="9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>
        <v>0.06</v>
      </c>
    </row>
    <row r="180" spans="1:28" x14ac:dyDescent="0.2">
      <c r="A180" s="10"/>
      <c r="B180" s="10"/>
      <c r="C180" s="10" t="s">
        <v>150</v>
      </c>
      <c r="D180" s="10"/>
      <c r="E180" s="72">
        <f>IRR($G$128:$AA$128)</f>
        <v>0.18005338922109515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>
        <v>0.06</v>
      </c>
    </row>
    <row r="181" spans="1:28" x14ac:dyDescent="0.2">
      <c r="A181" s="10"/>
      <c r="B181" s="10"/>
      <c r="C181" s="10" t="s">
        <v>151</v>
      </c>
      <c r="D181" s="10"/>
      <c r="E181" s="72">
        <f>IFERROR(IRR($G$128:$Z$128),"n/a")</f>
        <v>0.15008702498414994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>
        <v>0.06</v>
      </c>
    </row>
    <row r="182" spans="1:28" x14ac:dyDescent="0.2">
      <c r="A182" s="10"/>
      <c r="B182" s="10"/>
      <c r="C182" s="10" t="s">
        <v>152</v>
      </c>
      <c r="D182" s="10"/>
      <c r="E182" s="72">
        <f>$E$37</f>
        <v>0.09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>
        <v>0.06</v>
      </c>
    </row>
    <row r="183" spans="1:28" x14ac:dyDescent="0.2">
      <c r="A183" s="10"/>
      <c r="B183" s="10"/>
      <c r="C183" s="10" t="s">
        <v>153</v>
      </c>
      <c r="D183" s="10"/>
      <c r="E183" s="73">
        <f>SUM($G$176:$AA$176)</f>
        <v>123284.18741368485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>
        <v>0.06</v>
      </c>
    </row>
    <row r="184" spans="1:28" x14ac:dyDescent="0.2">
      <c r="A184" s="10"/>
      <c r="B184" s="10"/>
      <c r="C184" s="10" t="s">
        <v>154</v>
      </c>
      <c r="D184" s="10"/>
      <c r="E184" s="73">
        <f>SUM($G$176:$Z$176)</f>
        <v>54146.964182005802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>
        <v>0.06</v>
      </c>
    </row>
    <row r="185" spans="1:28" x14ac:dyDescent="0.2">
      <c r="A185" s="10"/>
      <c r="B185" s="10"/>
      <c r="C185" s="10" t="s">
        <v>155</v>
      </c>
      <c r="D185" s="10"/>
      <c r="E185" s="73">
        <f>$AA$176</f>
        <v>69137.223231679047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>
        <v>0.06</v>
      </c>
    </row>
    <row r="186" spans="1:28" x14ac:dyDescent="0.2">
      <c r="A186" s="10"/>
      <c r="B186" s="10"/>
      <c r="C186" s="10" t="s">
        <v>156</v>
      </c>
      <c r="D186" s="10"/>
      <c r="E186" s="74">
        <f>SUMIF($G$176:$AA$176,"&gt;0")/-SUMIF($G$176:$AA$176,"&lt;0")</f>
        <v>2.1554774073543932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>
        <v>0.06</v>
      </c>
    </row>
    <row r="187" spans="1:28" x14ac:dyDescent="0.2">
      <c r="A187" s="10"/>
      <c r="B187" s="81" t="s">
        <v>157</v>
      </c>
      <c r="C187" s="81"/>
      <c r="D187" s="81"/>
      <c r="E187" s="9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>
        <v>0.06</v>
      </c>
    </row>
    <row r="188" spans="1:28" x14ac:dyDescent="0.2">
      <c r="A188" s="10"/>
      <c r="B188" s="10"/>
      <c r="C188" s="10" t="s">
        <v>158</v>
      </c>
      <c r="D188" s="10"/>
      <c r="E188" s="73">
        <f>-SUMIF($G$128:$Z$128,"&lt;0")</f>
        <v>133277.70805000002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>
        <v>0.06</v>
      </c>
    </row>
    <row r="189" spans="1:28" x14ac:dyDescent="0.2">
      <c r="A189" s="10"/>
      <c r="B189" s="10"/>
      <c r="C189" s="10" t="s">
        <v>159</v>
      </c>
      <c r="D189" s="10"/>
      <c r="E189" s="73">
        <f>-MIN(0,MIN($G$174:$Z$174))</f>
        <v>133277.70805000002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>
        <v>0.06</v>
      </c>
    </row>
    <row r="190" spans="1:28" x14ac:dyDescent="0.2">
      <c r="A190" s="10"/>
      <c r="B190" s="10"/>
      <c r="C190" s="10" t="s">
        <v>160</v>
      </c>
      <c r="D190" s="10"/>
      <c r="E190" s="75">
        <f>INDEX($G$6:$Z$6,MATCH(MIN($G$174:$Z$174),$G$174:$Z$174,0))</f>
        <v>2029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>
        <v>0.06</v>
      </c>
    </row>
    <row r="191" spans="1:28" x14ac:dyDescent="0.2">
      <c r="A191" s="10"/>
      <c r="B191" s="10"/>
      <c r="C191" s="10" t="s">
        <v>161</v>
      </c>
      <c r="D191" s="10"/>
      <c r="E191" s="75">
        <f>COUNTIF($G$128:$Z$128,"&lt;0")</f>
        <v>2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>
        <v>0.06</v>
      </c>
    </row>
    <row r="192" spans="1:28" x14ac:dyDescent="0.2">
      <c r="A192" s="10"/>
      <c r="B192" s="10"/>
      <c r="C192" s="10" t="s">
        <v>1041</v>
      </c>
      <c r="D192" s="10"/>
      <c r="E192" s="316">
        <f>IF(COUNTIF($G$174:$Z$174,"&lt;0")=COUNT($G$174:$Z$174),"&gt; 20 years",COUNTIF($G$174:$Z$174,"&lt;0"))</f>
        <v>8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</row>
    <row r="193" spans="1:28" x14ac:dyDescent="0.2">
      <c r="A193" s="10"/>
      <c r="B193" s="81" t="s">
        <v>162</v>
      </c>
      <c r="C193" s="81"/>
      <c r="D193" s="81"/>
      <c r="E193" s="9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>
        <v>0.06</v>
      </c>
    </row>
    <row r="194" spans="1:28" x14ac:dyDescent="0.2">
      <c r="A194" s="10"/>
      <c r="B194" s="10"/>
      <c r="C194" s="10" t="s">
        <v>163</v>
      </c>
      <c r="D194" s="10"/>
      <c r="E194" s="73">
        <f>SUMIF($G$128:$Z$128,"&gt;0")</f>
        <v>439513.65526228771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>
        <v>0.06</v>
      </c>
    </row>
    <row r="195" spans="1:28" x14ac:dyDescent="0.2">
      <c r="A195" s="10"/>
      <c r="B195" s="10"/>
      <c r="C195" s="10" t="s">
        <v>164</v>
      </c>
      <c r="D195" s="10"/>
      <c r="E195" s="73">
        <f>SUM($G$128:$Z$128)</f>
        <v>306235.94721228757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>
        <v>0.06</v>
      </c>
    </row>
    <row r="196" spans="1:28" x14ac:dyDescent="0.2">
      <c r="A196" s="10"/>
      <c r="B196" s="10"/>
      <c r="C196" s="10" t="s">
        <v>165</v>
      </c>
      <c r="D196" s="10"/>
      <c r="E196" s="74">
        <f>E194/E188</f>
        <v>3.2977281924551196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>
        <v>0.06</v>
      </c>
    </row>
    <row r="197" spans="1:28" x14ac:dyDescent="0.2">
      <c r="A197" s="10"/>
      <c r="B197" s="10"/>
      <c r="C197" s="10" t="s">
        <v>166</v>
      </c>
      <c r="D197" s="10"/>
      <c r="E197" s="74">
        <f>(E194+$AA$128)/E188</f>
        <v>6.2049915600735863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>
        <v>0.06</v>
      </c>
    </row>
    <row r="198" spans="1:28" x14ac:dyDescent="0.2">
      <c r="A198" s="10"/>
      <c r="B198" s="10"/>
      <c r="C198" s="10" t="s">
        <v>167</v>
      </c>
      <c r="D198" s="10"/>
      <c r="E198" s="73">
        <f>IFERROR(AVERAGEIF($G$128:$Z$128,"&gt;0"),0)</f>
        <v>27469.603453892982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>
        <v>0.06</v>
      </c>
    </row>
    <row r="199" spans="1:28" x14ac:dyDescent="0.2">
      <c r="A199" s="10"/>
      <c r="B199" s="10"/>
      <c r="C199" s="10" t="s">
        <v>168</v>
      </c>
      <c r="D199" s="10"/>
      <c r="E199" s="72">
        <f>IFERROR(E198/E189,"n/a")</f>
        <v>0.20610801202844498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>
        <v>0.06</v>
      </c>
    </row>
    <row r="200" spans="1:28" x14ac:dyDescent="0.2">
      <c r="A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>
        <v>0.06</v>
      </c>
    </row>
    <row r="201" spans="1:28" x14ac:dyDescent="0.2">
      <c r="A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>
        <v>0.06</v>
      </c>
    </row>
    <row r="202" spans="1:28" x14ac:dyDescent="0.2">
      <c r="A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>
        <v>0.06</v>
      </c>
    </row>
    <row r="203" spans="1:28" x14ac:dyDescent="0.2">
      <c r="A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>
        <v>0.06</v>
      </c>
    </row>
    <row r="204" spans="1:28" x14ac:dyDescent="0.2">
      <c r="A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>
        <v>0.06</v>
      </c>
    </row>
    <row r="205" spans="1:28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>
        <v>0.06</v>
      </c>
    </row>
    <row r="206" spans="1:28" x14ac:dyDescent="0.2">
      <c r="A206" s="10"/>
      <c r="B206" s="24" t="s">
        <v>345</v>
      </c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10">
        <v>0.06</v>
      </c>
    </row>
    <row r="207" spans="1:28" x14ac:dyDescent="0.2">
      <c r="A207" s="10"/>
      <c r="B207" s="10"/>
      <c r="C207" s="49" t="s">
        <v>181</v>
      </c>
      <c r="D207" s="49"/>
      <c r="E207" s="49" t="s">
        <v>346</v>
      </c>
      <c r="F207" s="49"/>
      <c r="G207" s="49" t="s">
        <v>347</v>
      </c>
      <c r="H207" s="49"/>
      <c r="I207" s="49" t="s">
        <v>348</v>
      </c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>
        <v>0.06</v>
      </c>
    </row>
    <row r="208" spans="1:28" x14ac:dyDescent="0.2">
      <c r="A208" s="10"/>
      <c r="B208" s="10"/>
      <c r="C208" s="10" t="s">
        <v>349</v>
      </c>
      <c r="D208" s="10"/>
      <c r="E208" s="122">
        <f>INDEX($G$69:$Z$69,MATCH($E$20+1,$G$6:$Z$6,0))</f>
        <v>213262.50000000003</v>
      </c>
      <c r="F208" s="116"/>
      <c r="G208" s="119">
        <v>193875</v>
      </c>
      <c r="H208" s="116"/>
      <c r="I208" s="115">
        <f t="shared" ref="I208:I215" si="75">IFERROR(E208-G208,"")</f>
        <v>19387.500000000029</v>
      </c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>
        <v>0.06</v>
      </c>
    </row>
    <row r="209" spans="1:28" x14ac:dyDescent="0.2">
      <c r="A209" s="10"/>
      <c r="B209" s="10"/>
      <c r="C209" s="10" t="s">
        <v>350</v>
      </c>
      <c r="D209" s="10"/>
      <c r="E209" s="123">
        <f>INDEX($G$75:$Z$75,MATCH($E$20+1,$G$6:$Z$6,0))</f>
        <v>47740.000000000007</v>
      </c>
      <c r="F209" s="116"/>
      <c r="G209" s="120">
        <v>43400</v>
      </c>
      <c r="H209" s="116"/>
      <c r="I209" s="117">
        <f t="shared" si="75"/>
        <v>4340.0000000000073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>
        <v>0.06</v>
      </c>
    </row>
    <row r="210" spans="1:28" x14ac:dyDescent="0.2">
      <c r="A210" s="10"/>
      <c r="B210" s="10"/>
      <c r="C210" s="10" t="s">
        <v>351</v>
      </c>
      <c r="D210" s="10"/>
      <c r="E210" s="123">
        <f>INDEX($G$99:$Z$99,MATCH($E$20+1,$G$6:$Z$6,0))</f>
        <v>23660.125000000007</v>
      </c>
      <c r="F210" s="116"/>
      <c r="G210" s="120">
        <v>20000</v>
      </c>
      <c r="H210" s="116"/>
      <c r="I210" s="117">
        <f t="shared" si="75"/>
        <v>3660.1250000000073</v>
      </c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>
        <v>0.06</v>
      </c>
    </row>
    <row r="211" spans="1:28" x14ac:dyDescent="0.2">
      <c r="A211" s="10"/>
      <c r="B211" s="10"/>
      <c r="C211" s="10" t="s">
        <v>352</v>
      </c>
      <c r="D211" s="10"/>
      <c r="E211" s="123">
        <f>INDEX($G$99:$Z$99,MATCH($E$20+9,$G$6:$Z$6,0))</f>
        <v>35069.559081207844</v>
      </c>
      <c r="F211" s="116"/>
      <c r="G211" s="120">
        <v>30300</v>
      </c>
      <c r="H211" s="116"/>
      <c r="I211" s="117">
        <f t="shared" si="75"/>
        <v>4769.5590812078444</v>
      </c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>
        <v>0.06</v>
      </c>
    </row>
    <row r="212" spans="1:28" x14ac:dyDescent="0.2">
      <c r="A212" s="10"/>
      <c r="B212" s="10"/>
      <c r="C212" s="10" t="s">
        <v>353</v>
      </c>
      <c r="D212" s="10"/>
      <c r="E212" s="124">
        <f>INDEX($G$99:$Z$99,MATCH($E$20+9,$G$6:$Z$6,0))/INDEX($G$75:$Z$75,MATCH($E$20+9,$G$6:$Z$6,0))</f>
        <v>0.55654105203732096</v>
      </c>
      <c r="F212" s="116"/>
      <c r="G212" s="121">
        <v>0.53</v>
      </c>
      <c r="H212" s="116"/>
      <c r="I212" s="118">
        <f t="shared" si="75"/>
        <v>2.6541052037320934E-2</v>
      </c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>
        <v>0.06</v>
      </c>
    </row>
    <row r="213" spans="1:28" x14ac:dyDescent="0.2">
      <c r="A213" s="10"/>
      <c r="B213" s="10"/>
      <c r="C213" s="10" t="s">
        <v>354</v>
      </c>
      <c r="D213" s="10"/>
      <c r="E213" s="123">
        <f>$E$62</f>
        <v>136000</v>
      </c>
      <c r="F213" s="116"/>
      <c r="G213" s="120">
        <v>103800</v>
      </c>
      <c r="H213" s="116"/>
      <c r="I213" s="117">
        <f t="shared" si="75"/>
        <v>32200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>
        <v>0.06</v>
      </c>
    </row>
    <row r="214" spans="1:28" x14ac:dyDescent="0.2">
      <c r="A214" s="10"/>
      <c r="B214" s="10"/>
      <c r="C214" s="10" t="s">
        <v>355</v>
      </c>
      <c r="D214" s="10"/>
      <c r="E214" s="124">
        <f>E180</f>
        <v>0.18005338922109515</v>
      </c>
      <c r="F214" s="116"/>
      <c r="G214" s="121">
        <v>0.219</v>
      </c>
      <c r="H214" s="116"/>
      <c r="I214" s="118">
        <f t="shared" si="75"/>
        <v>-3.894661077890485E-2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>
        <v>0.06</v>
      </c>
    </row>
    <row r="215" spans="1:28" x14ac:dyDescent="0.2">
      <c r="A215" s="10"/>
      <c r="B215" s="10"/>
      <c r="C215" s="10" t="s">
        <v>1019</v>
      </c>
      <c r="D215" s="10"/>
      <c r="E215" s="123">
        <f>E183</f>
        <v>123284.18741368485</v>
      </c>
      <c r="F215" s="116"/>
      <c r="G215" s="120">
        <v>92749</v>
      </c>
      <c r="H215" s="116"/>
      <c r="I215" s="117">
        <f t="shared" si="75"/>
        <v>30535.187413684849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>
        <v>0.06</v>
      </c>
    </row>
    <row r="217" spans="1:28" x14ac:dyDescent="0.2">
      <c r="A217" s="10"/>
      <c r="B217" s="10"/>
      <c r="C217" s="84" t="s">
        <v>1032</v>
      </c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>
        <v>0.06</v>
      </c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49706-056F-8447-BA21-ABB9EB16FED2}">
  <dimension ref="A1:AB205"/>
  <sheetViews>
    <sheetView showGridLines="0" workbookViewId="0">
      <pane xSplit="5" ySplit="6" topLeftCell="G75" activePane="bottomRight" state="frozen"/>
      <selection pane="topRight" activeCell="F1" sqref="F1"/>
      <selection pane="bottomLeft" activeCell="A7" sqref="A7"/>
      <selection pane="bottomRight" activeCell="B1" sqref="B1"/>
    </sheetView>
  </sheetViews>
  <sheetFormatPr baseColWidth="10" defaultRowHeight="15" x14ac:dyDescent="0.2"/>
  <cols>
    <col min="1" max="1" width="1.6640625" customWidth="1"/>
    <col min="2" max="2" width="2.33203125" customWidth="1"/>
    <col min="3" max="3" width="55" customWidth="1"/>
    <col min="4" max="4" width="1.6640625" customWidth="1"/>
    <col min="5" max="5" width="14.1640625" customWidth="1"/>
    <col min="6" max="6" width="1.6640625" customWidth="1"/>
    <col min="7" max="27" width="10.33203125" customWidth="1"/>
  </cols>
  <sheetData>
    <row r="1" spans="1:28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16" x14ac:dyDescent="0.2">
      <c r="A2" s="7"/>
      <c r="B2" s="151" t="s">
        <v>509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x14ac:dyDescent="0.2">
      <c r="A3" s="7"/>
      <c r="B3" s="23" t="s">
        <v>520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x14ac:dyDescent="0.2">
      <c r="A6" s="7"/>
      <c r="B6" s="24" t="s">
        <v>1</v>
      </c>
      <c r="C6" s="24"/>
      <c r="D6" s="24"/>
      <c r="E6" s="26" t="s">
        <v>115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7"/>
    </row>
    <row r="7" spans="1:28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7"/>
      <c r="B8" s="24" t="s">
        <v>510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7"/>
    </row>
    <row r="9" spans="1:28" x14ac:dyDescent="0.2">
      <c r="A9" s="7"/>
      <c r="B9" s="7"/>
      <c r="C9" s="7" t="s">
        <v>511</v>
      </c>
      <c r="D9" s="7"/>
      <c r="E9" s="58">
        <v>575</v>
      </c>
      <c r="F9" s="53"/>
      <c r="G9" s="53"/>
      <c r="H9" s="53"/>
      <c r="I9" s="53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">
      <c r="A10" s="7"/>
      <c r="B10" s="7"/>
      <c r="C10" s="7" t="s">
        <v>521</v>
      </c>
      <c r="D10" s="7"/>
      <c r="E10" s="58">
        <v>681</v>
      </c>
      <c r="F10" s="53"/>
      <c r="G10" s="53"/>
      <c r="H10" s="53"/>
      <c r="I10" s="53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">
      <c r="A11" s="7"/>
      <c r="B11" s="7"/>
      <c r="C11" s="7" t="s">
        <v>512</v>
      </c>
      <c r="D11" s="7"/>
      <c r="E11" s="58">
        <v>272000</v>
      </c>
      <c r="F11" s="53"/>
      <c r="G11" s="53"/>
      <c r="H11" s="53"/>
      <c r="I11" s="53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2">
      <c r="A12" s="7"/>
      <c r="B12" s="7"/>
      <c r="C12" s="7" t="s">
        <v>513</v>
      </c>
      <c r="D12" s="7"/>
      <c r="E12" s="57">
        <f>$E$11/$E$10</f>
        <v>399.41262848751836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">
      <c r="A13" s="7"/>
      <c r="B13" s="7"/>
      <c r="C13" s="7" t="s">
        <v>522</v>
      </c>
      <c r="D13" s="7"/>
      <c r="E13" s="113">
        <v>0.43</v>
      </c>
      <c r="F13" s="53"/>
      <c r="G13" s="53"/>
      <c r="H13" s="53"/>
      <c r="I13" s="53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">
      <c r="A14" s="7"/>
      <c r="B14" s="7"/>
      <c r="C14" s="7" t="s">
        <v>514</v>
      </c>
      <c r="D14" s="7"/>
      <c r="E14" s="36">
        <f>E34/$E$9</f>
        <v>0.20173913043478262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">
      <c r="A16" s="7"/>
      <c r="B16" s="24" t="s">
        <v>515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7"/>
    </row>
    <row r="17" spans="1:28" x14ac:dyDescent="0.2">
      <c r="A17" s="7"/>
      <c r="B17" s="7"/>
      <c r="C17" s="7" t="s">
        <v>523</v>
      </c>
      <c r="D17" s="7"/>
      <c r="E17" s="58">
        <v>1500</v>
      </c>
      <c r="F17" s="53"/>
      <c r="G17" s="53"/>
      <c r="H17" s="53"/>
      <c r="I17" s="53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">
      <c r="A18" s="7"/>
      <c r="B18" s="7"/>
      <c r="C18" s="7" t="s">
        <v>524</v>
      </c>
      <c r="D18" s="7"/>
      <c r="E18" s="58">
        <v>2500</v>
      </c>
      <c r="F18" s="53"/>
      <c r="G18" s="53"/>
      <c r="H18" s="53"/>
      <c r="I18" s="53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">
      <c r="A19" s="7"/>
      <c r="B19" s="7"/>
      <c r="C19" s="7" t="s">
        <v>516</v>
      </c>
      <c r="D19" s="7"/>
      <c r="E19" s="58">
        <v>1200</v>
      </c>
      <c r="F19" s="53"/>
      <c r="G19" s="53"/>
      <c r="H19" s="53"/>
      <c r="I19" s="53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2">
      <c r="A20" s="7"/>
      <c r="B20" s="7"/>
      <c r="C20" s="7" t="s">
        <v>517</v>
      </c>
      <c r="D20" s="7"/>
      <c r="E20" s="58">
        <v>1300</v>
      </c>
      <c r="F20" s="53"/>
      <c r="G20" s="53"/>
      <c r="H20" s="53"/>
      <c r="I20" s="53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2">
      <c r="A21" s="7"/>
      <c r="B21" s="7"/>
      <c r="C21" s="7" t="s">
        <v>518</v>
      </c>
      <c r="D21" s="7"/>
      <c r="E21" s="58">
        <v>1000</v>
      </c>
      <c r="F21" s="53"/>
      <c r="G21" s="53"/>
      <c r="H21" s="53"/>
      <c r="I21" s="53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">
      <c r="A22" s="7"/>
      <c r="B22" s="7"/>
      <c r="C22" s="7" t="s">
        <v>120</v>
      </c>
      <c r="D22" s="7"/>
      <c r="E22" s="148">
        <f>SUM(E17:E21)</f>
        <v>7500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">
      <c r="A23" s="7"/>
      <c r="B23" s="7"/>
      <c r="C23" s="7" t="s">
        <v>519</v>
      </c>
      <c r="D23" s="7"/>
      <c r="E23" s="153">
        <f>'SENIOR LIVING'!$E$179</f>
        <v>14350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">
      <c r="A24" s="7"/>
      <c r="B24" s="7"/>
      <c r="C24" s="7" t="s">
        <v>525</v>
      </c>
      <c r="D24" s="7"/>
      <c r="E24" s="57">
        <f>$E$23*30%</f>
        <v>4305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">
      <c r="A25" s="7"/>
      <c r="B25" s="7"/>
      <c r="C25" s="7" t="s">
        <v>526</v>
      </c>
      <c r="D25" s="7"/>
      <c r="E25" s="37">
        <f>ROUNDUP($E$22/$E$24,0)</f>
        <v>2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">
      <c r="A26" s="7"/>
      <c r="B26" s="7"/>
      <c r="C26" s="7" t="s">
        <v>527</v>
      </c>
      <c r="D26" s="7"/>
      <c r="E26" s="58">
        <v>2400</v>
      </c>
      <c r="F26" s="53"/>
      <c r="G26" s="53"/>
      <c r="H26" s="53"/>
      <c r="I26" s="53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">
      <c r="A28" s="7"/>
      <c r="B28" s="24" t="s">
        <v>528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7"/>
    </row>
    <row r="29" spans="1:28" ht="28" customHeight="1" x14ac:dyDescent="0.2">
      <c r="A29" s="7"/>
      <c r="B29" s="7"/>
      <c r="C29" s="156" t="s">
        <v>36</v>
      </c>
      <c r="D29" s="156"/>
      <c r="E29" s="156" t="s">
        <v>529</v>
      </c>
      <c r="F29" s="156" t="s">
        <v>530</v>
      </c>
      <c r="G29" s="156" t="s">
        <v>531</v>
      </c>
      <c r="H29" s="156" t="s">
        <v>532</v>
      </c>
      <c r="I29" s="156" t="s">
        <v>533</v>
      </c>
      <c r="J29" s="156" t="s">
        <v>534</v>
      </c>
      <c r="K29" s="156" t="s">
        <v>535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">
      <c r="A30" s="7"/>
      <c r="B30" s="7"/>
      <c r="C30" s="7" t="s">
        <v>536</v>
      </c>
      <c r="D30" s="7"/>
      <c r="E30" s="149">
        <v>18</v>
      </c>
      <c r="F30" s="158">
        <v>2.5</v>
      </c>
      <c r="G30" s="57">
        <v>1500</v>
      </c>
      <c r="H30" s="57">
        <v>110</v>
      </c>
      <c r="I30" s="57">
        <v>140</v>
      </c>
      <c r="J30" s="57">
        <f>E30*F30</f>
        <v>45</v>
      </c>
      <c r="K30" s="57">
        <f>J30*G30</f>
        <v>67500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">
      <c r="A31" s="7"/>
      <c r="B31" s="7"/>
      <c r="C31" s="7" t="s">
        <v>537</v>
      </c>
      <c r="D31" s="7"/>
      <c r="E31" s="149">
        <v>60</v>
      </c>
      <c r="F31" s="158">
        <v>1.5</v>
      </c>
      <c r="G31" s="57">
        <v>400</v>
      </c>
      <c r="H31" s="57">
        <v>35</v>
      </c>
      <c r="I31" s="57">
        <v>110</v>
      </c>
      <c r="J31" s="57">
        <f>E31*F31</f>
        <v>90</v>
      </c>
      <c r="K31" s="57">
        <f>J31*G31</f>
        <v>36000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">
      <c r="A32" s="7"/>
      <c r="B32" s="7"/>
      <c r="C32" s="7" t="s">
        <v>538</v>
      </c>
      <c r="D32" s="7"/>
      <c r="E32" s="149">
        <v>8</v>
      </c>
      <c r="F32" s="158">
        <v>4</v>
      </c>
      <c r="G32" s="57">
        <v>3000</v>
      </c>
      <c r="H32" s="57">
        <v>70</v>
      </c>
      <c r="I32" s="57">
        <v>0</v>
      </c>
      <c r="J32" s="57">
        <f>E32*F32</f>
        <v>32</v>
      </c>
      <c r="K32" s="57">
        <f>J32*G32</f>
        <v>96000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x14ac:dyDescent="0.2">
      <c r="A33" s="7"/>
      <c r="B33" s="7"/>
      <c r="C33" s="7" t="s">
        <v>539</v>
      </c>
      <c r="D33" s="7"/>
      <c r="E33" s="149">
        <v>30</v>
      </c>
      <c r="F33" s="158">
        <v>1</v>
      </c>
      <c r="G33" s="57">
        <v>800</v>
      </c>
      <c r="H33" s="57">
        <v>40</v>
      </c>
      <c r="I33" s="57">
        <v>0</v>
      </c>
      <c r="J33" s="57">
        <f>E33*F33</f>
        <v>30</v>
      </c>
      <c r="K33" s="57">
        <f>J33*G33</f>
        <v>24000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">
      <c r="A34" s="7"/>
      <c r="B34" s="7"/>
      <c r="C34" s="157" t="s">
        <v>24</v>
      </c>
      <c r="D34" s="157"/>
      <c r="E34" s="159">
        <f>SUM(E30:E33)</f>
        <v>116</v>
      </c>
      <c r="F34" s="160"/>
      <c r="G34" s="159"/>
      <c r="H34" s="159"/>
      <c r="I34" s="159"/>
      <c r="J34" s="159">
        <f>SUM(J30:J33)</f>
        <v>197</v>
      </c>
      <c r="K34" s="159">
        <f>SUM(K30:K33)</f>
        <v>223500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">
      <c r="A36" s="7"/>
      <c r="B36" s="7"/>
      <c r="C36" s="7" t="s">
        <v>540</v>
      </c>
      <c r="D36" s="7"/>
      <c r="E36" s="19">
        <f>SUMPRODUCT(E30:E33,F30:F33,H30:H33)</f>
        <v>11540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">
      <c r="A37" s="7"/>
      <c r="B37" s="7"/>
      <c r="C37" s="7" t="s">
        <v>541</v>
      </c>
      <c r="D37" s="7"/>
      <c r="E37" s="19">
        <f>SUMPRODUCT(K30:K33,I30:I33)/1000</f>
        <v>13410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x14ac:dyDescent="0.2">
      <c r="A38" s="7"/>
      <c r="B38" s="7"/>
      <c r="C38" s="7" t="s">
        <v>542</v>
      </c>
      <c r="D38" s="7"/>
      <c r="E38" s="113">
        <v>0.15</v>
      </c>
      <c r="F38" s="53"/>
      <c r="G38" s="53"/>
      <c r="H38" s="53"/>
      <c r="I38" s="53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x14ac:dyDescent="0.2">
      <c r="A39" s="7"/>
      <c r="B39" s="7"/>
      <c r="C39" s="7" t="s">
        <v>543</v>
      </c>
      <c r="D39" s="7"/>
      <c r="E39" s="19">
        <f>$E$36*$E$38</f>
        <v>1731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x14ac:dyDescent="0.2">
      <c r="A40" s="7"/>
      <c r="B40" s="7"/>
      <c r="C40" s="7" t="s">
        <v>544</v>
      </c>
      <c r="D40" s="7"/>
      <c r="E40" s="38">
        <v>1000</v>
      </c>
      <c r="F40" s="53"/>
      <c r="G40" s="53"/>
      <c r="H40" s="53"/>
      <c r="I40" s="53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x14ac:dyDescent="0.2">
      <c r="A41" s="7"/>
      <c r="B41" s="7"/>
      <c r="C41" s="7" t="s">
        <v>545</v>
      </c>
      <c r="D41" s="7"/>
      <c r="E41" s="62">
        <f>$E$36+$E$37+$E$39+$E$40</f>
        <v>27681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x14ac:dyDescent="0.2">
      <c r="A43" s="7"/>
      <c r="B43" s="24" t="s">
        <v>546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7"/>
    </row>
    <row r="44" spans="1:28" x14ac:dyDescent="0.2">
      <c r="A44" s="7"/>
      <c r="B44" s="7"/>
      <c r="C44" s="7" t="s">
        <v>547</v>
      </c>
      <c r="D44" s="7"/>
      <c r="E44" s="113">
        <v>0.65</v>
      </c>
      <c r="F44" s="53"/>
      <c r="G44" s="53"/>
      <c r="H44" s="53"/>
      <c r="I44" s="53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x14ac:dyDescent="0.2">
      <c r="A45" s="7"/>
      <c r="B45" s="7"/>
      <c r="C45" s="7" t="s">
        <v>548</v>
      </c>
      <c r="D45" s="7"/>
      <c r="E45" s="113">
        <v>0.2</v>
      </c>
      <c r="F45" s="53"/>
      <c r="G45" s="53"/>
      <c r="H45" s="53"/>
      <c r="I45" s="53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x14ac:dyDescent="0.2">
      <c r="A46" s="7"/>
      <c r="B46" s="7"/>
      <c r="C46" s="7" t="s">
        <v>549</v>
      </c>
      <c r="D46" s="7"/>
      <c r="E46" s="46">
        <v>6500</v>
      </c>
      <c r="F46" s="53"/>
      <c r="G46" s="53"/>
      <c r="H46" s="53"/>
      <c r="I46" s="53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x14ac:dyDescent="0.2">
      <c r="A47" s="7"/>
      <c r="B47" s="7"/>
      <c r="C47" s="7" t="s">
        <v>550</v>
      </c>
      <c r="D47" s="7"/>
      <c r="E47" s="132">
        <f>0.65%+3%+5%</f>
        <v>8.6499999999999994E-2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x14ac:dyDescent="0.2">
      <c r="A48" s="7"/>
      <c r="B48" s="7"/>
      <c r="C48" s="7" t="s">
        <v>378</v>
      </c>
      <c r="D48" s="7"/>
      <c r="E48" s="113">
        <v>0.02</v>
      </c>
      <c r="F48" s="53"/>
      <c r="G48" s="53"/>
      <c r="H48" s="53"/>
      <c r="I48" s="53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">
      <c r="A49" s="7"/>
      <c r="B49" s="7"/>
      <c r="C49" s="7" t="s">
        <v>551</v>
      </c>
      <c r="D49" s="7"/>
      <c r="E49" s="62">
        <f>$E$41*(1-$E$47-$E$48)-$E$37*$E$44-($E$36+$E$39)*$E$45-$E$46</f>
        <v>6862.2734999999993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">
      <c r="A50" s="7"/>
      <c r="B50" s="7"/>
      <c r="C50" s="7" t="s">
        <v>552</v>
      </c>
      <c r="D50" s="7"/>
      <c r="E50" s="43">
        <f>$E$49/$E$41</f>
        <v>0.24790554893248073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">
      <c r="A51" s="7"/>
      <c r="B51" s="7"/>
      <c r="C51" s="7" t="s">
        <v>553</v>
      </c>
      <c r="D51" s="7"/>
      <c r="E51" s="58">
        <v>600</v>
      </c>
      <c r="F51" s="53"/>
      <c r="G51" s="53"/>
      <c r="H51" s="53"/>
      <c r="I51" s="53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">
      <c r="A52" s="7"/>
      <c r="B52" s="7"/>
      <c r="C52" s="7" t="s">
        <v>554</v>
      </c>
      <c r="D52" s="7"/>
      <c r="E52" s="19">
        <f>$E$22*$E$51/1000</f>
        <v>4500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">
      <c r="A53" s="7"/>
      <c r="B53" s="7"/>
      <c r="C53" s="7" t="s">
        <v>555</v>
      </c>
      <c r="D53" s="7"/>
      <c r="E53" s="41">
        <f>'SENIOR LIVING'!$E$60</f>
        <v>7200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">
      <c r="A55" s="7"/>
      <c r="B55" s="24" t="s">
        <v>556</v>
      </c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7"/>
    </row>
    <row r="56" spans="1:28" x14ac:dyDescent="0.2">
      <c r="A56" s="7"/>
      <c r="B56" s="7"/>
      <c r="C56" s="7" t="s">
        <v>557</v>
      </c>
      <c r="D56" s="7"/>
      <c r="E56" s="60">
        <v>7000</v>
      </c>
      <c r="F56" s="53"/>
      <c r="G56" s="53"/>
      <c r="H56" s="53"/>
      <c r="I56" s="53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">
      <c r="A57" s="7"/>
      <c r="B57" s="7"/>
      <c r="C57" s="7" t="s">
        <v>385</v>
      </c>
      <c r="D57" s="7"/>
      <c r="E57" s="39">
        <v>0.03</v>
      </c>
      <c r="F57" s="53"/>
      <c r="G57" s="53"/>
      <c r="H57" s="53"/>
      <c r="I57" s="53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">
      <c r="A58" s="7"/>
      <c r="B58" s="7"/>
      <c r="C58" s="7" t="s">
        <v>127</v>
      </c>
      <c r="D58" s="7"/>
      <c r="E58" s="39">
        <v>0.04</v>
      </c>
      <c r="F58" s="53"/>
      <c r="G58" s="53"/>
      <c r="H58" s="53"/>
      <c r="I58" s="53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">
      <c r="A59" s="7"/>
      <c r="B59" s="7"/>
      <c r="C59" s="7" t="s">
        <v>558</v>
      </c>
      <c r="D59" s="7"/>
      <c r="E59" s="152">
        <f>'SENIOR LIVING'!$E$34</f>
        <v>2029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">
      <c r="A60" s="7"/>
      <c r="B60" s="7"/>
      <c r="C60" s="7" t="s">
        <v>386</v>
      </c>
      <c r="D60" s="7"/>
      <c r="E60" s="113">
        <v>0.4</v>
      </c>
      <c r="F60" s="53"/>
      <c r="G60" s="53"/>
      <c r="H60" s="53"/>
      <c r="I60" s="53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">
      <c r="A61" s="7"/>
      <c r="B61" s="7"/>
      <c r="C61" s="7" t="s">
        <v>229</v>
      </c>
      <c r="D61" s="7"/>
      <c r="E61" s="152">
        <f>'SENIOR LIVING'!$E$36</f>
        <v>2031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">
      <c r="A62" s="7"/>
      <c r="B62" s="7"/>
      <c r="C62" s="7" t="s">
        <v>559</v>
      </c>
      <c r="D62" s="7"/>
      <c r="E62" s="113">
        <v>0.6</v>
      </c>
      <c r="F62" s="53"/>
      <c r="G62" s="53"/>
      <c r="H62" s="53"/>
      <c r="I62" s="53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">
      <c r="A63" s="7"/>
      <c r="B63" s="7"/>
      <c r="C63" s="7" t="s">
        <v>560</v>
      </c>
      <c r="D63" s="7"/>
      <c r="E63" s="113">
        <v>0.8</v>
      </c>
      <c r="F63" s="53"/>
      <c r="G63" s="53"/>
      <c r="H63" s="53"/>
      <c r="I63" s="53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">
      <c r="A64" s="7"/>
      <c r="B64" s="7"/>
      <c r="C64" s="7" t="s">
        <v>561</v>
      </c>
      <c r="D64" s="7"/>
      <c r="E64" s="112">
        <f>'CLUB MED'!$E$14</f>
        <v>5.6800000000000003E-2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">
      <c r="A65" s="7"/>
      <c r="B65" s="7"/>
      <c r="C65" s="7" t="s">
        <v>562</v>
      </c>
      <c r="D65" s="7"/>
      <c r="E65" s="42">
        <f>'SENIOR LIVING'!$E$214</f>
        <v>0.18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">
      <c r="A66" s="7"/>
      <c r="B66" s="7"/>
      <c r="C66" s="7" t="s">
        <v>563</v>
      </c>
      <c r="D66" s="7"/>
      <c r="E66" s="113">
        <v>0.2</v>
      </c>
      <c r="F66" s="53"/>
      <c r="G66" s="53"/>
      <c r="H66" s="53"/>
      <c r="I66" s="53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">
      <c r="A67" s="7"/>
      <c r="B67" s="7"/>
      <c r="C67" s="7" t="s">
        <v>564</v>
      </c>
      <c r="D67" s="7"/>
      <c r="E67" s="113">
        <v>0.3</v>
      </c>
      <c r="F67" s="53"/>
      <c r="G67" s="53"/>
      <c r="H67" s="53"/>
      <c r="I67" s="53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x14ac:dyDescent="0.2">
      <c r="A68" s="7"/>
      <c r="B68" s="7"/>
      <c r="C68" s="7" t="s">
        <v>390</v>
      </c>
      <c r="D68" s="7"/>
      <c r="E68" s="39">
        <v>0.04</v>
      </c>
      <c r="F68" s="53"/>
      <c r="G68" s="53"/>
      <c r="H68" s="53"/>
      <c r="I68" s="53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x14ac:dyDescent="0.2">
      <c r="A69" s="7"/>
      <c r="B69" s="7"/>
      <c r="C69" s="7" t="s">
        <v>486</v>
      </c>
      <c r="D69" s="7"/>
      <c r="E69" s="39">
        <v>0.03</v>
      </c>
      <c r="F69" s="53"/>
      <c r="G69" s="53"/>
      <c r="H69" s="53"/>
      <c r="I69" s="53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x14ac:dyDescent="0.2">
      <c r="A70" s="7"/>
      <c r="B70" s="7"/>
      <c r="C70" s="7" t="s">
        <v>55</v>
      </c>
      <c r="D70" s="7"/>
      <c r="E70" s="42">
        <f>MANAGEMENT!$H$6</f>
        <v>0.09</v>
      </c>
      <c r="F70" s="53"/>
      <c r="G70" s="53"/>
      <c r="H70" s="53"/>
      <c r="I70" s="53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x14ac:dyDescent="0.2">
      <c r="A72" s="7"/>
      <c r="B72" s="24" t="s">
        <v>565</v>
      </c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7"/>
    </row>
    <row r="73" spans="1:28" x14ac:dyDescent="0.2">
      <c r="A73" s="7"/>
      <c r="B73" s="7"/>
      <c r="C73" s="23" t="s">
        <v>295</v>
      </c>
      <c r="D73" s="23"/>
      <c r="E73" s="23"/>
      <c r="F73" s="23"/>
      <c r="G73" s="109">
        <f t="shared" ref="G73:Z73" si="1">IF(G$6=$E$59,$E$60,IF(G$6=$E$59+1,1-$E$60,0))</f>
        <v>0</v>
      </c>
      <c r="H73" s="109">
        <f t="shared" si="1"/>
        <v>0</v>
      </c>
      <c r="I73" s="109">
        <f t="shared" si="1"/>
        <v>0</v>
      </c>
      <c r="J73" s="109">
        <f t="shared" si="1"/>
        <v>0.4</v>
      </c>
      <c r="K73" s="109">
        <f t="shared" si="1"/>
        <v>0.6</v>
      </c>
      <c r="L73" s="109">
        <f t="shared" si="1"/>
        <v>0</v>
      </c>
      <c r="M73" s="109">
        <f t="shared" si="1"/>
        <v>0</v>
      </c>
      <c r="N73" s="109">
        <f t="shared" si="1"/>
        <v>0</v>
      </c>
      <c r="O73" s="109">
        <f t="shared" si="1"/>
        <v>0</v>
      </c>
      <c r="P73" s="109">
        <f t="shared" si="1"/>
        <v>0</v>
      </c>
      <c r="Q73" s="109">
        <f t="shared" si="1"/>
        <v>0</v>
      </c>
      <c r="R73" s="109">
        <f t="shared" si="1"/>
        <v>0</v>
      </c>
      <c r="S73" s="109">
        <f t="shared" si="1"/>
        <v>0</v>
      </c>
      <c r="T73" s="109">
        <f t="shared" si="1"/>
        <v>0</v>
      </c>
      <c r="U73" s="109">
        <f t="shared" si="1"/>
        <v>0</v>
      </c>
      <c r="V73" s="109">
        <f t="shared" si="1"/>
        <v>0</v>
      </c>
      <c r="W73" s="109">
        <f t="shared" si="1"/>
        <v>0</v>
      </c>
      <c r="X73" s="109">
        <f t="shared" si="1"/>
        <v>0</v>
      </c>
      <c r="Y73" s="109">
        <f t="shared" si="1"/>
        <v>0</v>
      </c>
      <c r="Z73" s="109">
        <f t="shared" si="1"/>
        <v>0</v>
      </c>
      <c r="AA73" s="66"/>
      <c r="AB73" s="7"/>
    </row>
    <row r="74" spans="1:28" x14ac:dyDescent="0.2">
      <c r="A74" s="7"/>
      <c r="B74" s="7"/>
      <c r="C74" s="7" t="s">
        <v>403</v>
      </c>
      <c r="D74" s="7"/>
      <c r="E74" s="19">
        <f>SUM(G74:Z74)</f>
        <v>52500</v>
      </c>
      <c r="F74" s="7"/>
      <c r="G74" s="19">
        <f t="shared" ref="G74:Z74" si="2">$E$22*$E$56/1000*G73</f>
        <v>0</v>
      </c>
      <c r="H74" s="19">
        <f t="shared" si="2"/>
        <v>0</v>
      </c>
      <c r="I74" s="19">
        <f t="shared" si="2"/>
        <v>0</v>
      </c>
      <c r="J74" s="19">
        <f t="shared" si="2"/>
        <v>21000</v>
      </c>
      <c r="K74" s="19">
        <f t="shared" si="2"/>
        <v>31500</v>
      </c>
      <c r="L74" s="19">
        <f t="shared" si="2"/>
        <v>0</v>
      </c>
      <c r="M74" s="19">
        <f t="shared" si="2"/>
        <v>0</v>
      </c>
      <c r="N74" s="19">
        <f t="shared" si="2"/>
        <v>0</v>
      </c>
      <c r="O74" s="19">
        <f t="shared" si="2"/>
        <v>0</v>
      </c>
      <c r="P74" s="19">
        <f t="shared" si="2"/>
        <v>0</v>
      </c>
      <c r="Q74" s="19">
        <f t="shared" si="2"/>
        <v>0</v>
      </c>
      <c r="R74" s="19">
        <f t="shared" si="2"/>
        <v>0</v>
      </c>
      <c r="S74" s="19">
        <f t="shared" si="2"/>
        <v>0</v>
      </c>
      <c r="T74" s="19">
        <f t="shared" si="2"/>
        <v>0</v>
      </c>
      <c r="U74" s="19">
        <f t="shared" si="2"/>
        <v>0</v>
      </c>
      <c r="V74" s="19">
        <f t="shared" si="2"/>
        <v>0</v>
      </c>
      <c r="W74" s="19">
        <f t="shared" si="2"/>
        <v>0</v>
      </c>
      <c r="X74" s="19">
        <f t="shared" si="2"/>
        <v>0</v>
      </c>
      <c r="Y74" s="19">
        <f t="shared" si="2"/>
        <v>0</v>
      </c>
      <c r="Z74" s="19">
        <f t="shared" si="2"/>
        <v>0</v>
      </c>
      <c r="AA74" s="19"/>
      <c r="AB74" s="7"/>
    </row>
    <row r="75" spans="1:28" x14ac:dyDescent="0.2">
      <c r="A75" s="7"/>
      <c r="B75" s="7"/>
      <c r="C75" s="7" t="s">
        <v>405</v>
      </c>
      <c r="D75" s="7"/>
      <c r="E75" s="19">
        <f>SUM(G75:Z75)</f>
        <v>1575</v>
      </c>
      <c r="F75" s="7"/>
      <c r="G75" s="19">
        <f t="shared" ref="G75:Z75" si="3">G74*$E$57</f>
        <v>0</v>
      </c>
      <c r="H75" s="19">
        <f t="shared" si="3"/>
        <v>0</v>
      </c>
      <c r="I75" s="19">
        <f t="shared" si="3"/>
        <v>0</v>
      </c>
      <c r="J75" s="19">
        <f t="shared" si="3"/>
        <v>630</v>
      </c>
      <c r="K75" s="19">
        <f t="shared" si="3"/>
        <v>945</v>
      </c>
      <c r="L75" s="19">
        <f t="shared" si="3"/>
        <v>0</v>
      </c>
      <c r="M75" s="19">
        <f t="shared" si="3"/>
        <v>0</v>
      </c>
      <c r="N75" s="19">
        <f t="shared" si="3"/>
        <v>0</v>
      </c>
      <c r="O75" s="19">
        <f t="shared" si="3"/>
        <v>0</v>
      </c>
      <c r="P75" s="19">
        <f t="shared" si="3"/>
        <v>0</v>
      </c>
      <c r="Q75" s="19">
        <f t="shared" si="3"/>
        <v>0</v>
      </c>
      <c r="R75" s="19">
        <f t="shared" si="3"/>
        <v>0</v>
      </c>
      <c r="S75" s="19">
        <f t="shared" si="3"/>
        <v>0</v>
      </c>
      <c r="T75" s="19">
        <f t="shared" si="3"/>
        <v>0</v>
      </c>
      <c r="U75" s="19">
        <f t="shared" si="3"/>
        <v>0</v>
      </c>
      <c r="V75" s="19">
        <f t="shared" si="3"/>
        <v>0</v>
      </c>
      <c r="W75" s="19">
        <f t="shared" si="3"/>
        <v>0</v>
      </c>
      <c r="X75" s="19">
        <f t="shared" si="3"/>
        <v>0</v>
      </c>
      <c r="Y75" s="19">
        <f t="shared" si="3"/>
        <v>0</v>
      </c>
      <c r="Z75" s="19">
        <f t="shared" si="3"/>
        <v>0</v>
      </c>
      <c r="AA75" s="19"/>
      <c r="AB75" s="7"/>
    </row>
    <row r="76" spans="1:28" x14ac:dyDescent="0.2">
      <c r="A76" s="7"/>
      <c r="B76" s="7"/>
      <c r="C76" s="7" t="s">
        <v>105</v>
      </c>
      <c r="D76" s="7"/>
      <c r="E76" s="19">
        <f>SUM(G76:Z76)</f>
        <v>2100</v>
      </c>
      <c r="F76" s="7"/>
      <c r="G76" s="19">
        <f t="shared" ref="G76:Z76" si="4">G74*$E$58</f>
        <v>0</v>
      </c>
      <c r="H76" s="19">
        <f t="shared" si="4"/>
        <v>0</v>
      </c>
      <c r="I76" s="19">
        <f t="shared" si="4"/>
        <v>0</v>
      </c>
      <c r="J76" s="19">
        <f t="shared" si="4"/>
        <v>840</v>
      </c>
      <c r="K76" s="19">
        <f t="shared" si="4"/>
        <v>1260</v>
      </c>
      <c r="L76" s="19">
        <f t="shared" si="4"/>
        <v>0</v>
      </c>
      <c r="M76" s="19">
        <f t="shared" si="4"/>
        <v>0</v>
      </c>
      <c r="N76" s="19">
        <f t="shared" si="4"/>
        <v>0</v>
      </c>
      <c r="O76" s="19">
        <f t="shared" si="4"/>
        <v>0</v>
      </c>
      <c r="P76" s="19">
        <f t="shared" si="4"/>
        <v>0</v>
      </c>
      <c r="Q76" s="19">
        <f t="shared" si="4"/>
        <v>0</v>
      </c>
      <c r="R76" s="19">
        <f t="shared" si="4"/>
        <v>0</v>
      </c>
      <c r="S76" s="19">
        <f t="shared" si="4"/>
        <v>0</v>
      </c>
      <c r="T76" s="19">
        <f t="shared" si="4"/>
        <v>0</v>
      </c>
      <c r="U76" s="19">
        <f t="shared" si="4"/>
        <v>0</v>
      </c>
      <c r="V76" s="19">
        <f t="shared" si="4"/>
        <v>0</v>
      </c>
      <c r="W76" s="19">
        <f t="shared" si="4"/>
        <v>0</v>
      </c>
      <c r="X76" s="19">
        <f t="shared" si="4"/>
        <v>0</v>
      </c>
      <c r="Y76" s="19">
        <f t="shared" si="4"/>
        <v>0</v>
      </c>
      <c r="Z76" s="19">
        <f t="shared" si="4"/>
        <v>0</v>
      </c>
      <c r="AA76" s="19"/>
      <c r="AB76" s="7"/>
    </row>
    <row r="77" spans="1:28" x14ac:dyDescent="0.2">
      <c r="A77" s="7"/>
      <c r="B77" s="29" t="s">
        <v>302</v>
      </c>
      <c r="C77" s="29"/>
      <c r="D77" s="29"/>
      <c r="E77" s="30">
        <f>SUM(G77:Z77)</f>
        <v>56175</v>
      </c>
      <c r="F77" s="29"/>
      <c r="G77" s="30">
        <f t="shared" ref="G77:Z77" si="5">SUM(G74:G76)</f>
        <v>0</v>
      </c>
      <c r="H77" s="30">
        <f t="shared" si="5"/>
        <v>0</v>
      </c>
      <c r="I77" s="30">
        <f t="shared" si="5"/>
        <v>0</v>
      </c>
      <c r="J77" s="30">
        <f t="shared" si="5"/>
        <v>22470</v>
      </c>
      <c r="K77" s="30">
        <f t="shared" si="5"/>
        <v>33705</v>
      </c>
      <c r="L77" s="30">
        <f t="shared" si="5"/>
        <v>0</v>
      </c>
      <c r="M77" s="30">
        <f t="shared" si="5"/>
        <v>0</v>
      </c>
      <c r="N77" s="30">
        <f t="shared" si="5"/>
        <v>0</v>
      </c>
      <c r="O77" s="30">
        <f t="shared" si="5"/>
        <v>0</v>
      </c>
      <c r="P77" s="30">
        <f t="shared" si="5"/>
        <v>0</v>
      </c>
      <c r="Q77" s="30">
        <f t="shared" si="5"/>
        <v>0</v>
      </c>
      <c r="R77" s="30">
        <f t="shared" si="5"/>
        <v>0</v>
      </c>
      <c r="S77" s="30">
        <f t="shared" si="5"/>
        <v>0</v>
      </c>
      <c r="T77" s="30">
        <f t="shared" si="5"/>
        <v>0</v>
      </c>
      <c r="U77" s="30">
        <f t="shared" si="5"/>
        <v>0</v>
      </c>
      <c r="V77" s="30">
        <f t="shared" si="5"/>
        <v>0</v>
      </c>
      <c r="W77" s="30">
        <f t="shared" si="5"/>
        <v>0</v>
      </c>
      <c r="X77" s="30">
        <f t="shared" si="5"/>
        <v>0</v>
      </c>
      <c r="Y77" s="30">
        <f t="shared" si="5"/>
        <v>0</v>
      </c>
      <c r="Z77" s="30">
        <f t="shared" si="5"/>
        <v>0</v>
      </c>
      <c r="AA77" s="30"/>
      <c r="AB77" s="7"/>
    </row>
    <row r="78" spans="1:28" x14ac:dyDescent="0.2">
      <c r="A78" s="7"/>
      <c r="B78" s="7"/>
      <c r="C78" s="7"/>
      <c r="D78" s="7"/>
      <c r="E78" s="7"/>
      <c r="F78" s="7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7"/>
    </row>
    <row r="79" spans="1:28" x14ac:dyDescent="0.2">
      <c r="A79" s="7"/>
      <c r="B79" s="24" t="s">
        <v>566</v>
      </c>
      <c r="C79" s="24"/>
      <c r="D79" s="24"/>
      <c r="E79" s="24"/>
      <c r="F79" s="24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7"/>
    </row>
    <row r="80" spans="1:28" x14ac:dyDescent="0.2">
      <c r="A80" s="7"/>
      <c r="B80" s="7"/>
      <c r="C80" s="7" t="s">
        <v>567</v>
      </c>
      <c r="D80" s="7"/>
      <c r="E80" s="62" cm="1">
        <f t="array" ref="E80">SUMPRODUCT($G$77:$Z$77,1/(1+$E$65)^($G$6:$Z$6-$G$6))/((1-$E$69-$E$68)*($E$66/(1+$E$65)^($E$59-$G$6)+$E$67/(1+$E$65)^($E$59+1-$G$6)+(1-$E$66-$E$67)/(1+$E$65)^($E$61-$G$6)))</f>
        <v>67469.327949393381</v>
      </c>
      <c r="F80" s="7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7"/>
    </row>
    <row r="81" spans="1:28" x14ac:dyDescent="0.2">
      <c r="A81" s="7"/>
      <c r="B81" s="7"/>
      <c r="C81" s="7" t="s">
        <v>568</v>
      </c>
      <c r="D81" s="7"/>
      <c r="E81" s="62">
        <f>ROUNDUP($E$80,-2)</f>
        <v>67500</v>
      </c>
      <c r="F81" s="7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7"/>
    </row>
    <row r="82" spans="1:28" x14ac:dyDescent="0.2">
      <c r="A82" s="7"/>
      <c r="B82" s="7"/>
      <c r="C82" s="7" t="s">
        <v>569</v>
      </c>
      <c r="D82" s="7"/>
      <c r="E82" s="57">
        <f>$E$81*1000/$E$22</f>
        <v>9000</v>
      </c>
      <c r="F82" s="7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7"/>
    </row>
    <row r="83" spans="1:28" x14ac:dyDescent="0.2">
      <c r="A83" s="7"/>
      <c r="B83" s="7"/>
      <c r="C83" s="7" t="s">
        <v>570</v>
      </c>
      <c r="D83" s="7"/>
      <c r="E83" s="57">
        <f>$E$77*1000/$E$22</f>
        <v>7490</v>
      </c>
      <c r="F83" s="7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7"/>
    </row>
    <row r="84" spans="1:28" x14ac:dyDescent="0.2">
      <c r="A84" s="7"/>
      <c r="B84" s="7"/>
      <c r="C84" s="7" t="s">
        <v>489</v>
      </c>
      <c r="D84" s="7"/>
      <c r="E84" s="43">
        <f>($E$81*(1-$E$69-$E$68)-$E$77)/$E$81</f>
        <v>9.7777777777777672E-2</v>
      </c>
      <c r="F84" s="7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7"/>
    </row>
    <row r="85" spans="1:28" x14ac:dyDescent="0.2">
      <c r="A85" s="7"/>
      <c r="B85" s="7"/>
      <c r="C85" s="7"/>
      <c r="D85" s="7"/>
      <c r="E85" s="7"/>
      <c r="F85" s="7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7"/>
    </row>
    <row r="86" spans="1:28" x14ac:dyDescent="0.2">
      <c r="A86" s="7"/>
      <c r="B86" s="24" t="s">
        <v>571</v>
      </c>
      <c r="C86" s="24"/>
      <c r="D86" s="24"/>
      <c r="E86" s="24"/>
      <c r="F86" s="24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7"/>
    </row>
    <row r="87" spans="1:28" x14ac:dyDescent="0.2">
      <c r="A87" s="7"/>
      <c r="B87" s="7"/>
      <c r="C87" s="23" t="s">
        <v>304</v>
      </c>
      <c r="D87" s="23"/>
      <c r="E87" s="23"/>
      <c r="F87" s="23"/>
      <c r="G87" s="110">
        <f t="shared" ref="G87:Z87" si="6">IF(G$6&gt;=$E$61,G$6-$E$61+1,0)</f>
        <v>0</v>
      </c>
      <c r="H87" s="110">
        <f t="shared" si="6"/>
        <v>0</v>
      </c>
      <c r="I87" s="110">
        <f t="shared" si="6"/>
        <v>0</v>
      </c>
      <c r="J87" s="110">
        <f t="shared" si="6"/>
        <v>0</v>
      </c>
      <c r="K87" s="110">
        <f t="shared" si="6"/>
        <v>0</v>
      </c>
      <c r="L87" s="110">
        <f t="shared" si="6"/>
        <v>1</v>
      </c>
      <c r="M87" s="110">
        <f t="shared" si="6"/>
        <v>2</v>
      </c>
      <c r="N87" s="110">
        <f t="shared" si="6"/>
        <v>3</v>
      </c>
      <c r="O87" s="110">
        <f t="shared" si="6"/>
        <v>4</v>
      </c>
      <c r="P87" s="110">
        <f t="shared" si="6"/>
        <v>5</v>
      </c>
      <c r="Q87" s="110">
        <f t="shared" si="6"/>
        <v>6</v>
      </c>
      <c r="R87" s="110">
        <f t="shared" si="6"/>
        <v>7</v>
      </c>
      <c r="S87" s="110">
        <f t="shared" si="6"/>
        <v>8</v>
      </c>
      <c r="T87" s="110">
        <f t="shared" si="6"/>
        <v>9</v>
      </c>
      <c r="U87" s="110">
        <f t="shared" si="6"/>
        <v>10</v>
      </c>
      <c r="V87" s="110">
        <f t="shared" si="6"/>
        <v>11</v>
      </c>
      <c r="W87" s="110">
        <f t="shared" si="6"/>
        <v>12</v>
      </c>
      <c r="X87" s="110">
        <f t="shared" si="6"/>
        <v>13</v>
      </c>
      <c r="Y87" s="110">
        <f t="shared" si="6"/>
        <v>14</v>
      </c>
      <c r="Z87" s="110">
        <f t="shared" si="6"/>
        <v>15</v>
      </c>
      <c r="AA87" s="66"/>
      <c r="AB87" s="7"/>
    </row>
    <row r="88" spans="1:28" x14ac:dyDescent="0.2">
      <c r="A88" s="7"/>
      <c r="B88" s="7"/>
      <c r="C88" s="23" t="s">
        <v>572</v>
      </c>
      <c r="D88" s="23"/>
      <c r="E88" s="23"/>
      <c r="F88" s="23"/>
      <c r="G88" s="109">
        <f t="shared" ref="G88:Z88" si="7">IF(G87=0,0,IF(G87=1,$E$62,IF(G87=2,$E$63,1)))</f>
        <v>0</v>
      </c>
      <c r="H88" s="109">
        <f t="shared" si="7"/>
        <v>0</v>
      </c>
      <c r="I88" s="109">
        <f t="shared" si="7"/>
        <v>0</v>
      </c>
      <c r="J88" s="109">
        <f t="shared" si="7"/>
        <v>0</v>
      </c>
      <c r="K88" s="109">
        <f t="shared" si="7"/>
        <v>0</v>
      </c>
      <c r="L88" s="109">
        <f t="shared" si="7"/>
        <v>0.6</v>
      </c>
      <c r="M88" s="109">
        <f t="shared" si="7"/>
        <v>0.8</v>
      </c>
      <c r="N88" s="109">
        <f t="shared" si="7"/>
        <v>1</v>
      </c>
      <c r="O88" s="109">
        <f t="shared" si="7"/>
        <v>1</v>
      </c>
      <c r="P88" s="109">
        <f t="shared" si="7"/>
        <v>1</v>
      </c>
      <c r="Q88" s="109">
        <f t="shared" si="7"/>
        <v>1</v>
      </c>
      <c r="R88" s="109">
        <f t="shared" si="7"/>
        <v>1</v>
      </c>
      <c r="S88" s="109">
        <f t="shared" si="7"/>
        <v>1</v>
      </c>
      <c r="T88" s="109">
        <f t="shared" si="7"/>
        <v>1</v>
      </c>
      <c r="U88" s="109">
        <f t="shared" si="7"/>
        <v>1</v>
      </c>
      <c r="V88" s="109">
        <f t="shared" si="7"/>
        <v>1</v>
      </c>
      <c r="W88" s="109">
        <f t="shared" si="7"/>
        <v>1</v>
      </c>
      <c r="X88" s="109">
        <f t="shared" si="7"/>
        <v>1</v>
      </c>
      <c r="Y88" s="109">
        <f t="shared" si="7"/>
        <v>1</v>
      </c>
      <c r="Z88" s="109">
        <f t="shared" si="7"/>
        <v>1</v>
      </c>
      <c r="AA88" s="66"/>
      <c r="AB88" s="7"/>
    </row>
    <row r="89" spans="1:28" x14ac:dyDescent="0.2">
      <c r="A89" s="7"/>
      <c r="B89" s="7"/>
      <c r="C89" s="23" t="s">
        <v>573</v>
      </c>
      <c r="D89" s="23"/>
      <c r="E89" s="23"/>
      <c r="F89" s="23"/>
      <c r="G89" s="67">
        <f t="shared" ref="G89:Z89" si="8">(1+$E$64)^(G$6-$G$6)</f>
        <v>1</v>
      </c>
      <c r="H89" s="67">
        <f t="shared" si="8"/>
        <v>1.0568</v>
      </c>
      <c r="I89" s="67">
        <f t="shared" si="8"/>
        <v>1.11682624</v>
      </c>
      <c r="J89" s="67">
        <f t="shared" si="8"/>
        <v>1.1802619704319999</v>
      </c>
      <c r="K89" s="67">
        <f t="shared" si="8"/>
        <v>1.2473008503525376</v>
      </c>
      <c r="L89" s="67">
        <f t="shared" si="8"/>
        <v>1.3181475386525616</v>
      </c>
      <c r="M89" s="67">
        <f t="shared" si="8"/>
        <v>1.3930183188480272</v>
      </c>
      <c r="N89" s="67">
        <f t="shared" si="8"/>
        <v>1.472141759358595</v>
      </c>
      <c r="O89" s="67">
        <f t="shared" si="8"/>
        <v>1.5557594112901634</v>
      </c>
      <c r="P89" s="67">
        <f t="shared" si="8"/>
        <v>1.6441265458514447</v>
      </c>
      <c r="Q89" s="67">
        <f t="shared" si="8"/>
        <v>1.7375129336558066</v>
      </c>
      <c r="R89" s="67">
        <f t="shared" si="8"/>
        <v>1.8362036682874563</v>
      </c>
      <c r="S89" s="67">
        <f t="shared" si="8"/>
        <v>1.940500036646184</v>
      </c>
      <c r="T89" s="67">
        <f t="shared" si="8"/>
        <v>2.0507204387276872</v>
      </c>
      <c r="U89" s="67">
        <f t="shared" si="8"/>
        <v>2.1672013596474198</v>
      </c>
      <c r="V89" s="67">
        <f t="shared" si="8"/>
        <v>2.2902983968753934</v>
      </c>
      <c r="W89" s="67">
        <f t="shared" si="8"/>
        <v>2.4203873458179159</v>
      </c>
      <c r="X89" s="67">
        <f t="shared" si="8"/>
        <v>2.5578653470603734</v>
      </c>
      <c r="Y89" s="67">
        <f t="shared" si="8"/>
        <v>2.7031520987734026</v>
      </c>
      <c r="Z89" s="67">
        <f t="shared" si="8"/>
        <v>2.8566911379837316</v>
      </c>
      <c r="AA89" s="66"/>
      <c r="AB89" s="7"/>
    </row>
    <row r="90" spans="1:28" x14ac:dyDescent="0.2">
      <c r="A90" s="7"/>
      <c r="B90" s="29" t="s">
        <v>574</v>
      </c>
      <c r="C90" s="29"/>
      <c r="D90" s="29"/>
      <c r="E90" s="30">
        <f>SUM(G90:Z90)</f>
        <v>806565.20392389456</v>
      </c>
      <c r="F90" s="29"/>
      <c r="G90" s="30">
        <f t="shared" ref="G90:Z90" si="9">$E$41*G88*G89</f>
        <v>0</v>
      </c>
      <c r="H90" s="30">
        <f t="shared" si="9"/>
        <v>0</v>
      </c>
      <c r="I90" s="30">
        <f t="shared" si="9"/>
        <v>0</v>
      </c>
      <c r="J90" s="30">
        <f t="shared" si="9"/>
        <v>0</v>
      </c>
      <c r="K90" s="30">
        <f t="shared" si="9"/>
        <v>0</v>
      </c>
      <c r="L90" s="30">
        <f t="shared" si="9"/>
        <v>21892.585210464935</v>
      </c>
      <c r="M90" s="30">
        <f t="shared" si="9"/>
        <v>30848.112067225797</v>
      </c>
      <c r="N90" s="30">
        <f t="shared" si="9"/>
        <v>40750.356040805273</v>
      </c>
      <c r="O90" s="30">
        <f t="shared" si="9"/>
        <v>43064.97626392301</v>
      </c>
      <c r="P90" s="30">
        <f t="shared" si="9"/>
        <v>45511.06691571384</v>
      </c>
      <c r="Q90" s="30">
        <f t="shared" si="9"/>
        <v>48096.09551652638</v>
      </c>
      <c r="R90" s="30">
        <f t="shared" si="9"/>
        <v>50827.95374186508</v>
      </c>
      <c r="S90" s="30">
        <f t="shared" si="9"/>
        <v>53714.981514403022</v>
      </c>
      <c r="T90" s="30">
        <f t="shared" si="9"/>
        <v>56765.992464421106</v>
      </c>
      <c r="U90" s="30">
        <f t="shared" si="9"/>
        <v>59990.300836400223</v>
      </c>
      <c r="V90" s="30">
        <f t="shared" si="9"/>
        <v>63397.749923907766</v>
      </c>
      <c r="W90" s="30">
        <f t="shared" si="9"/>
        <v>66998.742119585731</v>
      </c>
      <c r="X90" s="30">
        <f t="shared" si="9"/>
        <v>70804.2706719782</v>
      </c>
      <c r="Y90" s="30">
        <f t="shared" si="9"/>
        <v>74825.953246146557</v>
      </c>
      <c r="Z90" s="30">
        <f t="shared" si="9"/>
        <v>79076.067390527678</v>
      </c>
      <c r="AA90" s="30"/>
      <c r="AB90" s="7"/>
    </row>
    <row r="91" spans="1:28" x14ac:dyDescent="0.2">
      <c r="A91" s="7"/>
      <c r="B91" s="7"/>
      <c r="C91" s="7" t="s">
        <v>575</v>
      </c>
      <c r="D91" s="7"/>
      <c r="E91" s="19">
        <f>SUM(G91:Z91)</f>
        <v>-85899.194217894794</v>
      </c>
      <c r="F91" s="7"/>
      <c r="G91" s="19">
        <f t="shared" ref="G91:Z91" si="10">-G90*($E$47+$E$48)</f>
        <v>0</v>
      </c>
      <c r="H91" s="19">
        <f t="shared" si="10"/>
        <v>0</v>
      </c>
      <c r="I91" s="19">
        <f t="shared" si="10"/>
        <v>0</v>
      </c>
      <c r="J91" s="19">
        <f t="shared" si="10"/>
        <v>0</v>
      </c>
      <c r="K91" s="19">
        <f t="shared" si="10"/>
        <v>0</v>
      </c>
      <c r="L91" s="19">
        <f t="shared" si="10"/>
        <v>-2331.5603249145156</v>
      </c>
      <c r="M91" s="19">
        <f t="shared" si="10"/>
        <v>-3285.3239351595471</v>
      </c>
      <c r="N91" s="19">
        <f t="shared" si="10"/>
        <v>-4339.9129183457617</v>
      </c>
      <c r="O91" s="19">
        <f t="shared" si="10"/>
        <v>-4586.4199721078003</v>
      </c>
      <c r="P91" s="19">
        <f t="shared" si="10"/>
        <v>-4846.9286265235241</v>
      </c>
      <c r="Q91" s="19">
        <f t="shared" si="10"/>
        <v>-5122.2341725100596</v>
      </c>
      <c r="R91" s="19">
        <f t="shared" si="10"/>
        <v>-5413.1770735086311</v>
      </c>
      <c r="S91" s="19">
        <f t="shared" si="10"/>
        <v>-5720.6455312839216</v>
      </c>
      <c r="T91" s="19">
        <f t="shared" si="10"/>
        <v>-6045.5781974608481</v>
      </c>
      <c r="U91" s="19">
        <f t="shared" si="10"/>
        <v>-6388.9670390766232</v>
      </c>
      <c r="V91" s="19">
        <f t="shared" si="10"/>
        <v>-6751.8603668961769</v>
      </c>
      <c r="W91" s="19">
        <f t="shared" si="10"/>
        <v>-7135.3660357358804</v>
      </c>
      <c r="X91" s="19">
        <f t="shared" si="10"/>
        <v>-7540.6548265656784</v>
      </c>
      <c r="Y91" s="19">
        <f t="shared" si="10"/>
        <v>-7968.9640207146085</v>
      </c>
      <c r="Z91" s="19">
        <f t="shared" si="10"/>
        <v>-8421.6011770911973</v>
      </c>
      <c r="AA91" s="19"/>
      <c r="AB91" s="7"/>
    </row>
    <row r="92" spans="1:28" x14ac:dyDescent="0.2">
      <c r="A92" s="7"/>
      <c r="B92" s="7"/>
      <c r="C92" s="7" t="s">
        <v>576</v>
      </c>
      <c r="D92" s="7"/>
      <c r="E92" s="19">
        <f>SUM(G92:Z92)</f>
        <v>-331317.90629881254</v>
      </c>
      <c r="F92" s="7"/>
      <c r="G92" s="19">
        <f t="shared" ref="G92:Z92" si="11">-($E$37*$E$44+($E$36+$E$39)*$E$45)*G88*G89</f>
        <v>0</v>
      </c>
      <c r="H92" s="19">
        <f t="shared" si="11"/>
        <v>0</v>
      </c>
      <c r="I92" s="19">
        <f t="shared" si="11"/>
        <v>0</v>
      </c>
      <c r="J92" s="19">
        <f t="shared" si="11"/>
        <v>0</v>
      </c>
      <c r="K92" s="19">
        <f t="shared" si="11"/>
        <v>0</v>
      </c>
      <c r="L92" s="19">
        <f t="shared" si="11"/>
        <v>-8992.956130654009</v>
      </c>
      <c r="M92" s="19">
        <f t="shared" si="11"/>
        <v>-12671.674718500211</v>
      </c>
      <c r="N92" s="19">
        <f t="shared" si="11"/>
        <v>-16739.282303138778</v>
      </c>
      <c r="O92" s="19">
        <f t="shared" si="11"/>
        <v>-17690.073537957061</v>
      </c>
      <c r="P92" s="19">
        <f t="shared" si="11"/>
        <v>-18694.869714913024</v>
      </c>
      <c r="Q92" s="19">
        <f t="shared" si="11"/>
        <v>-19756.738314720082</v>
      </c>
      <c r="R92" s="19">
        <f t="shared" si="11"/>
        <v>-20878.921050996181</v>
      </c>
      <c r="S92" s="19">
        <f t="shared" si="11"/>
        <v>-22064.843766692764</v>
      </c>
      <c r="T92" s="19">
        <f t="shared" si="11"/>
        <v>-23318.126892640914</v>
      </c>
      <c r="U92" s="19">
        <f t="shared" si="11"/>
        <v>-24642.596500142918</v>
      </c>
      <c r="V92" s="19">
        <f t="shared" si="11"/>
        <v>-26042.295981351039</v>
      </c>
      <c r="W92" s="19">
        <f t="shared" si="11"/>
        <v>-27521.498393091777</v>
      </c>
      <c r="X92" s="19">
        <f t="shared" si="11"/>
        <v>-29084.719501819389</v>
      </c>
      <c r="Y92" s="19">
        <f t="shared" si="11"/>
        <v>-30736.73156952273</v>
      </c>
      <c r="Z92" s="19">
        <f t="shared" si="11"/>
        <v>-32482.577922671619</v>
      </c>
      <c r="AA92" s="19"/>
      <c r="AB92" s="7"/>
    </row>
    <row r="93" spans="1:28" x14ac:dyDescent="0.2">
      <c r="A93" s="7"/>
      <c r="B93" s="7"/>
      <c r="C93" s="7" t="s">
        <v>577</v>
      </c>
      <c r="D93" s="7"/>
      <c r="E93" s="19">
        <f>SUM(G93:Z93)</f>
        <v>-194634.22119359506</v>
      </c>
      <c r="F93" s="7"/>
      <c r="G93" s="19">
        <f t="shared" ref="G93:Z93" si="12">IF(G87=0,0,-$E$46*G89)</f>
        <v>0</v>
      </c>
      <c r="H93" s="19">
        <f t="shared" si="12"/>
        <v>0</v>
      </c>
      <c r="I93" s="19">
        <f t="shared" si="12"/>
        <v>0</v>
      </c>
      <c r="J93" s="19">
        <f t="shared" si="12"/>
        <v>0</v>
      </c>
      <c r="K93" s="19">
        <f t="shared" si="12"/>
        <v>0</v>
      </c>
      <c r="L93" s="19">
        <f t="shared" si="12"/>
        <v>-8567.9590012416502</v>
      </c>
      <c r="M93" s="19">
        <f t="shared" si="12"/>
        <v>-9054.619072512176</v>
      </c>
      <c r="N93" s="19">
        <f t="shared" si="12"/>
        <v>-9568.9214358308673</v>
      </c>
      <c r="O93" s="19">
        <f t="shared" si="12"/>
        <v>-10112.436173386062</v>
      </c>
      <c r="P93" s="19">
        <f t="shared" si="12"/>
        <v>-10686.82254803439</v>
      </c>
      <c r="Q93" s="19">
        <f t="shared" si="12"/>
        <v>-11293.834068762742</v>
      </c>
      <c r="R93" s="19">
        <f t="shared" si="12"/>
        <v>-11935.323843868466</v>
      </c>
      <c r="S93" s="19">
        <f t="shared" si="12"/>
        <v>-12613.250238200197</v>
      </c>
      <c r="T93" s="19">
        <f t="shared" si="12"/>
        <v>-13329.682851729967</v>
      </c>
      <c r="U93" s="19">
        <f t="shared" si="12"/>
        <v>-14086.808837708228</v>
      </c>
      <c r="V93" s="19">
        <f t="shared" si="12"/>
        <v>-14886.939579690057</v>
      </c>
      <c r="W93" s="19">
        <f t="shared" si="12"/>
        <v>-15732.517747816453</v>
      </c>
      <c r="X93" s="19">
        <f t="shared" si="12"/>
        <v>-16626.124755892426</v>
      </c>
      <c r="Y93" s="19">
        <f t="shared" si="12"/>
        <v>-17570.488642027118</v>
      </c>
      <c r="Z93" s="19">
        <f t="shared" si="12"/>
        <v>-18568.492396894257</v>
      </c>
      <c r="AA93" s="19"/>
      <c r="AB93" s="7"/>
    </row>
    <row r="94" spans="1:28" x14ac:dyDescent="0.2">
      <c r="A94" s="7"/>
      <c r="B94" s="29" t="s">
        <v>551</v>
      </c>
      <c r="C94" s="29"/>
      <c r="D94" s="29"/>
      <c r="E94" s="30">
        <f>SUM(G94:Z94)</f>
        <v>194713.88221359221</v>
      </c>
      <c r="F94" s="29"/>
      <c r="G94" s="30">
        <f t="shared" ref="G94:Z94" si="13">SUM(G90:G93)</f>
        <v>0</v>
      </c>
      <c r="H94" s="30">
        <f t="shared" si="13"/>
        <v>0</v>
      </c>
      <c r="I94" s="30">
        <f t="shared" si="13"/>
        <v>0</v>
      </c>
      <c r="J94" s="30">
        <f t="shared" si="13"/>
        <v>0</v>
      </c>
      <c r="K94" s="30">
        <f t="shared" si="13"/>
        <v>0</v>
      </c>
      <c r="L94" s="30">
        <f t="shared" si="13"/>
        <v>2000.1097536547586</v>
      </c>
      <c r="M94" s="30">
        <f t="shared" si="13"/>
        <v>5836.4943410538617</v>
      </c>
      <c r="N94" s="30">
        <f t="shared" si="13"/>
        <v>10102.239383489865</v>
      </c>
      <c r="O94" s="30">
        <f t="shared" si="13"/>
        <v>10676.04658047209</v>
      </c>
      <c r="P94" s="30">
        <f t="shared" si="13"/>
        <v>11282.446026242906</v>
      </c>
      <c r="Q94" s="30">
        <f t="shared" si="13"/>
        <v>11923.288960533493</v>
      </c>
      <c r="R94" s="30">
        <f t="shared" si="13"/>
        <v>12600.531773491801</v>
      </c>
      <c r="S94" s="30">
        <f t="shared" si="13"/>
        <v>13316.241978226137</v>
      </c>
      <c r="T94" s="30">
        <f t="shared" si="13"/>
        <v>14072.604522589378</v>
      </c>
      <c r="U94" s="30">
        <f t="shared" si="13"/>
        <v>14871.928459472452</v>
      </c>
      <c r="V94" s="30">
        <f t="shared" si="13"/>
        <v>15716.65399597049</v>
      </c>
      <c r="W94" s="30">
        <f t="shared" si="13"/>
        <v>16609.359942941621</v>
      </c>
      <c r="X94" s="30">
        <f t="shared" si="13"/>
        <v>17552.77158770071</v>
      </c>
      <c r="Y94" s="30">
        <f t="shared" si="13"/>
        <v>18549.769013882094</v>
      </c>
      <c r="Z94" s="30">
        <f t="shared" si="13"/>
        <v>19603.395893870602</v>
      </c>
      <c r="AA94" s="30"/>
      <c r="AB94" s="7"/>
    </row>
    <row r="95" spans="1:28" x14ac:dyDescent="0.2">
      <c r="A95" s="7"/>
      <c r="B95" s="7"/>
      <c r="C95" s="23" t="s">
        <v>578</v>
      </c>
      <c r="D95" s="23"/>
      <c r="E95" s="23"/>
      <c r="F95" s="23"/>
      <c r="G95" s="109">
        <f t="shared" ref="G95:Z95" si="14">IF(G87=0,0,G94/($E$81+$E$52*(1+$E$64)^($E$61-$G$6)))</f>
        <v>0</v>
      </c>
      <c r="H95" s="109">
        <f t="shared" si="14"/>
        <v>0</v>
      </c>
      <c r="I95" s="109">
        <f t="shared" si="14"/>
        <v>0</v>
      </c>
      <c r="J95" s="109">
        <f t="shared" si="14"/>
        <v>0</v>
      </c>
      <c r="K95" s="109">
        <f t="shared" si="14"/>
        <v>0</v>
      </c>
      <c r="L95" s="109">
        <f t="shared" si="14"/>
        <v>2.7237701650429068E-2</v>
      </c>
      <c r="M95" s="109">
        <f t="shared" si="14"/>
        <v>7.9481984053902652E-2</v>
      </c>
      <c r="N95" s="109">
        <f t="shared" si="14"/>
        <v>0.13757334157583806</v>
      </c>
      <c r="O95" s="109">
        <f t="shared" si="14"/>
        <v>0.14538750737734565</v>
      </c>
      <c r="P95" s="109">
        <f t="shared" si="14"/>
        <v>0.15364551779637892</v>
      </c>
      <c r="Q95" s="109">
        <f t="shared" si="14"/>
        <v>0.16237258320721309</v>
      </c>
      <c r="R95" s="109">
        <f t="shared" si="14"/>
        <v>0.17159534593338288</v>
      </c>
      <c r="S95" s="109">
        <f t="shared" si="14"/>
        <v>0.18134196158239904</v>
      </c>
      <c r="T95" s="109">
        <f t="shared" si="14"/>
        <v>0.19164218500027927</v>
      </c>
      <c r="U95" s="109">
        <f t="shared" si="14"/>
        <v>0.20252746110829509</v>
      </c>
      <c r="V95" s="109">
        <f t="shared" si="14"/>
        <v>0.21403102089924628</v>
      </c>
      <c r="W95" s="109">
        <f t="shared" si="14"/>
        <v>0.22618798288632358</v>
      </c>
      <c r="X95" s="109">
        <f t="shared" si="14"/>
        <v>0.23903546031426684</v>
      </c>
      <c r="Y95" s="109">
        <f t="shared" si="14"/>
        <v>0.25261267446011698</v>
      </c>
      <c r="Z95" s="109">
        <f t="shared" si="14"/>
        <v>0.26696107436945166</v>
      </c>
      <c r="AA95" s="66"/>
      <c r="AB95" s="7"/>
    </row>
    <row r="96" spans="1:28" x14ac:dyDescent="0.2">
      <c r="A96" s="7"/>
      <c r="B96" s="7"/>
      <c r="C96" s="7"/>
      <c r="D96" s="7"/>
      <c r="E96" s="7"/>
      <c r="F96" s="7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7"/>
    </row>
    <row r="97" spans="1:28" x14ac:dyDescent="0.2">
      <c r="A97" s="7"/>
      <c r="B97" s="24" t="s">
        <v>579</v>
      </c>
      <c r="C97" s="24"/>
      <c r="D97" s="24"/>
      <c r="E97" s="24"/>
      <c r="F97" s="24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7"/>
    </row>
    <row r="98" spans="1:28" x14ac:dyDescent="0.2">
      <c r="A98" s="7"/>
      <c r="B98" s="7"/>
      <c r="C98" s="7" t="s">
        <v>580</v>
      </c>
      <c r="D98" s="7"/>
      <c r="E98" s="19">
        <f>$E$52*(1+$E$64)^($E$61-$G$6)</f>
        <v>5931.6639239365277</v>
      </c>
      <c r="F98" s="7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7"/>
    </row>
    <row r="99" spans="1:28" x14ac:dyDescent="0.2">
      <c r="A99" s="7"/>
      <c r="B99" s="7"/>
      <c r="C99" s="7" t="s">
        <v>581</v>
      </c>
      <c r="D99" s="7"/>
      <c r="E99" s="19">
        <f>$E$81+$E$98</f>
        <v>73431.663923936532</v>
      </c>
      <c r="F99" s="7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7"/>
    </row>
    <row r="100" spans="1:28" x14ac:dyDescent="0.2">
      <c r="A100" s="7"/>
      <c r="B100" s="7"/>
      <c r="C100" s="7" t="s">
        <v>585</v>
      </c>
      <c r="D100" s="7"/>
      <c r="E100" s="19">
        <f>$E$49*(1+$E$64)^($E$61-$G$6)</f>
        <v>9045.488923585699</v>
      </c>
      <c r="F100" s="7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7"/>
    </row>
    <row r="101" spans="1:28" x14ac:dyDescent="0.2">
      <c r="A101" s="7"/>
      <c r="B101" s="7"/>
      <c r="C101" s="7" t="s">
        <v>582</v>
      </c>
      <c r="D101" s="7"/>
      <c r="E101" s="43">
        <f>$E$100/$E$81</f>
        <v>0.13400724331238073</v>
      </c>
      <c r="F101" s="7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7"/>
    </row>
    <row r="102" spans="1:28" x14ac:dyDescent="0.2">
      <c r="A102" s="7"/>
      <c r="B102" s="7"/>
      <c r="C102" s="7" t="s">
        <v>583</v>
      </c>
      <c r="D102" s="7"/>
      <c r="E102" s="43">
        <f>$E$100/$E$99</f>
        <v>0.12318240443189984</v>
      </c>
      <c r="F102" s="7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7"/>
    </row>
    <row r="103" spans="1:28" x14ac:dyDescent="0.2">
      <c r="A103" s="7"/>
      <c r="B103" s="7"/>
      <c r="C103" s="7" t="s">
        <v>584</v>
      </c>
      <c r="D103" s="7"/>
      <c r="E103" s="42">
        <f>'SENIOR LIVING'!$E$217</f>
        <v>4.5113971217741772E-2</v>
      </c>
      <c r="F103" s="7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7"/>
    </row>
    <row r="104" spans="1:28" x14ac:dyDescent="0.2">
      <c r="A104" s="7"/>
      <c r="B104" s="7"/>
      <c r="C104" s="7"/>
      <c r="D104" s="7"/>
      <c r="E104" s="7"/>
      <c r="F104" s="7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7"/>
    </row>
    <row r="105" spans="1:28" x14ac:dyDescent="0.2">
      <c r="A105" s="7"/>
      <c r="B105" s="24" t="s">
        <v>422</v>
      </c>
      <c r="C105" s="24"/>
      <c r="D105" s="24"/>
      <c r="E105" s="24"/>
      <c r="F105" s="24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7"/>
    </row>
    <row r="106" spans="1:28" x14ac:dyDescent="0.2">
      <c r="A106" s="7"/>
      <c r="B106" s="7"/>
      <c r="C106" s="7" t="s">
        <v>491</v>
      </c>
      <c r="D106" s="7"/>
      <c r="E106" s="19">
        <f>SUM(G106:Z106)</f>
        <v>67500</v>
      </c>
      <c r="F106" s="7"/>
      <c r="G106" s="19">
        <f t="shared" ref="G106:Z106" si="15">$E$81*IF(G$6=$E$59,$E$66,IF(G$6=$E$59+1,$E$67,IF(G$6=$E$61,1-$E$66-$E$67,0)))</f>
        <v>0</v>
      </c>
      <c r="H106" s="19">
        <f t="shared" si="15"/>
        <v>0</v>
      </c>
      <c r="I106" s="19">
        <f t="shared" si="15"/>
        <v>0</v>
      </c>
      <c r="J106" s="19">
        <f t="shared" si="15"/>
        <v>13500</v>
      </c>
      <c r="K106" s="19">
        <f t="shared" si="15"/>
        <v>20250</v>
      </c>
      <c r="L106" s="19">
        <f t="shared" si="15"/>
        <v>33750</v>
      </c>
      <c r="M106" s="19">
        <f t="shared" si="15"/>
        <v>0</v>
      </c>
      <c r="N106" s="19">
        <f t="shared" si="15"/>
        <v>0</v>
      </c>
      <c r="O106" s="19">
        <f t="shared" si="15"/>
        <v>0</v>
      </c>
      <c r="P106" s="19">
        <f t="shared" si="15"/>
        <v>0</v>
      </c>
      <c r="Q106" s="19">
        <f t="shared" si="15"/>
        <v>0</v>
      </c>
      <c r="R106" s="19">
        <f t="shared" si="15"/>
        <v>0</v>
      </c>
      <c r="S106" s="19">
        <f t="shared" si="15"/>
        <v>0</v>
      </c>
      <c r="T106" s="19">
        <f t="shared" si="15"/>
        <v>0</v>
      </c>
      <c r="U106" s="19">
        <f t="shared" si="15"/>
        <v>0</v>
      </c>
      <c r="V106" s="19">
        <f t="shared" si="15"/>
        <v>0</v>
      </c>
      <c r="W106" s="19">
        <f t="shared" si="15"/>
        <v>0</v>
      </c>
      <c r="X106" s="19">
        <f t="shared" si="15"/>
        <v>0</v>
      </c>
      <c r="Y106" s="19">
        <f t="shared" si="15"/>
        <v>0</v>
      </c>
      <c r="Z106" s="19">
        <f t="shared" si="15"/>
        <v>0</v>
      </c>
      <c r="AA106" s="19"/>
      <c r="AB106" s="7"/>
    </row>
    <row r="107" spans="1:28" x14ac:dyDescent="0.2">
      <c r="A107" s="7"/>
      <c r="B107" s="7"/>
      <c r="C107" s="7" t="s">
        <v>492</v>
      </c>
      <c r="D107" s="7"/>
      <c r="E107" s="19">
        <f>SUM(G107:Z107)</f>
        <v>-2700</v>
      </c>
      <c r="F107" s="7"/>
      <c r="G107" s="19">
        <f t="shared" ref="G107:Z107" si="16">-G106*$E$68</f>
        <v>0</v>
      </c>
      <c r="H107" s="19">
        <f t="shared" si="16"/>
        <v>0</v>
      </c>
      <c r="I107" s="19">
        <f t="shared" si="16"/>
        <v>0</v>
      </c>
      <c r="J107" s="19">
        <f t="shared" si="16"/>
        <v>-540</v>
      </c>
      <c r="K107" s="19">
        <f t="shared" si="16"/>
        <v>-810</v>
      </c>
      <c r="L107" s="19">
        <f t="shared" si="16"/>
        <v>-1350</v>
      </c>
      <c r="M107" s="19">
        <f t="shared" si="16"/>
        <v>0</v>
      </c>
      <c r="N107" s="19">
        <f t="shared" si="16"/>
        <v>0</v>
      </c>
      <c r="O107" s="19">
        <f t="shared" si="16"/>
        <v>0</v>
      </c>
      <c r="P107" s="19">
        <f t="shared" si="16"/>
        <v>0</v>
      </c>
      <c r="Q107" s="19">
        <f t="shared" si="16"/>
        <v>0</v>
      </c>
      <c r="R107" s="19">
        <f t="shared" si="16"/>
        <v>0</v>
      </c>
      <c r="S107" s="19">
        <f t="shared" si="16"/>
        <v>0</v>
      </c>
      <c r="T107" s="19">
        <f t="shared" si="16"/>
        <v>0</v>
      </c>
      <c r="U107" s="19">
        <f t="shared" si="16"/>
        <v>0</v>
      </c>
      <c r="V107" s="19">
        <f t="shared" si="16"/>
        <v>0</v>
      </c>
      <c r="W107" s="19">
        <f t="shared" si="16"/>
        <v>0</v>
      </c>
      <c r="X107" s="19">
        <f t="shared" si="16"/>
        <v>0</v>
      </c>
      <c r="Y107" s="19">
        <f t="shared" si="16"/>
        <v>0</v>
      </c>
      <c r="Z107" s="19">
        <f t="shared" si="16"/>
        <v>0</v>
      </c>
      <c r="AA107" s="19"/>
      <c r="AB107" s="7"/>
    </row>
    <row r="108" spans="1:28" x14ac:dyDescent="0.2">
      <c r="A108" s="7"/>
      <c r="B108" s="7"/>
      <c r="C108" s="7" t="s">
        <v>478</v>
      </c>
      <c r="D108" s="7"/>
      <c r="E108" s="19">
        <f>SUM(G108:Z108)</f>
        <v>-2025</v>
      </c>
      <c r="F108" s="7"/>
      <c r="G108" s="19">
        <f t="shared" ref="G108:Z108" si="17">-G106*$E$69</f>
        <v>0</v>
      </c>
      <c r="H108" s="19">
        <f t="shared" si="17"/>
        <v>0</v>
      </c>
      <c r="I108" s="19">
        <f t="shared" si="17"/>
        <v>0</v>
      </c>
      <c r="J108" s="19">
        <f t="shared" si="17"/>
        <v>-405</v>
      </c>
      <c r="K108" s="19">
        <f t="shared" si="17"/>
        <v>-607.5</v>
      </c>
      <c r="L108" s="19">
        <f t="shared" si="17"/>
        <v>-1012.5</v>
      </c>
      <c r="M108" s="19">
        <f t="shared" si="17"/>
        <v>0</v>
      </c>
      <c r="N108" s="19">
        <f t="shared" si="17"/>
        <v>0</v>
      </c>
      <c r="O108" s="19">
        <f t="shared" si="17"/>
        <v>0</v>
      </c>
      <c r="P108" s="19">
        <f t="shared" si="17"/>
        <v>0</v>
      </c>
      <c r="Q108" s="19">
        <f t="shared" si="17"/>
        <v>0</v>
      </c>
      <c r="R108" s="19">
        <f t="shared" si="17"/>
        <v>0</v>
      </c>
      <c r="S108" s="19">
        <f t="shared" si="17"/>
        <v>0</v>
      </c>
      <c r="T108" s="19">
        <f t="shared" si="17"/>
        <v>0</v>
      </c>
      <c r="U108" s="19">
        <f t="shared" si="17"/>
        <v>0</v>
      </c>
      <c r="V108" s="19">
        <f t="shared" si="17"/>
        <v>0</v>
      </c>
      <c r="W108" s="19">
        <f t="shared" si="17"/>
        <v>0</v>
      </c>
      <c r="X108" s="19">
        <f t="shared" si="17"/>
        <v>0</v>
      </c>
      <c r="Y108" s="19">
        <f t="shared" si="17"/>
        <v>0</v>
      </c>
      <c r="Z108" s="19">
        <f t="shared" si="17"/>
        <v>0</v>
      </c>
      <c r="AA108" s="19"/>
      <c r="AB108" s="7"/>
    </row>
    <row r="109" spans="1:28" x14ac:dyDescent="0.2">
      <c r="A109" s="7"/>
      <c r="B109" s="7"/>
      <c r="C109" s="7" t="s">
        <v>493</v>
      </c>
      <c r="D109" s="7"/>
      <c r="E109" s="19">
        <f>SUM(G109:Z109)</f>
        <v>-56175</v>
      </c>
      <c r="F109" s="7"/>
      <c r="G109" s="19">
        <f t="shared" ref="G109:Z109" si="18">-G77</f>
        <v>0</v>
      </c>
      <c r="H109" s="19">
        <f t="shared" si="18"/>
        <v>0</v>
      </c>
      <c r="I109" s="19">
        <f t="shared" si="18"/>
        <v>0</v>
      </c>
      <c r="J109" s="19">
        <f t="shared" si="18"/>
        <v>-22470</v>
      </c>
      <c r="K109" s="19">
        <f t="shared" si="18"/>
        <v>-33705</v>
      </c>
      <c r="L109" s="19">
        <f t="shared" si="18"/>
        <v>0</v>
      </c>
      <c r="M109" s="19">
        <f t="shared" si="18"/>
        <v>0</v>
      </c>
      <c r="N109" s="19">
        <f t="shared" si="18"/>
        <v>0</v>
      </c>
      <c r="O109" s="19">
        <f t="shared" si="18"/>
        <v>0</v>
      </c>
      <c r="P109" s="19">
        <f t="shared" si="18"/>
        <v>0</v>
      </c>
      <c r="Q109" s="19">
        <f t="shared" si="18"/>
        <v>0</v>
      </c>
      <c r="R109" s="19">
        <f t="shared" si="18"/>
        <v>0</v>
      </c>
      <c r="S109" s="19">
        <f t="shared" si="18"/>
        <v>0</v>
      </c>
      <c r="T109" s="19">
        <f t="shared" si="18"/>
        <v>0</v>
      </c>
      <c r="U109" s="19">
        <f t="shared" si="18"/>
        <v>0</v>
      </c>
      <c r="V109" s="19">
        <f t="shared" si="18"/>
        <v>0</v>
      </c>
      <c r="W109" s="19">
        <f t="shared" si="18"/>
        <v>0</v>
      </c>
      <c r="X109" s="19">
        <f t="shared" si="18"/>
        <v>0</v>
      </c>
      <c r="Y109" s="19">
        <f t="shared" si="18"/>
        <v>0</v>
      </c>
      <c r="Z109" s="19">
        <f t="shared" si="18"/>
        <v>0</v>
      </c>
      <c r="AA109" s="19"/>
      <c r="AB109" s="7"/>
    </row>
    <row r="110" spans="1:28" x14ac:dyDescent="0.2">
      <c r="A110" s="7"/>
      <c r="B110" s="31" t="s">
        <v>22</v>
      </c>
      <c r="C110" s="31"/>
      <c r="D110" s="31"/>
      <c r="E110" s="31"/>
      <c r="F110" s="31"/>
      <c r="G110" s="32">
        <f t="shared" ref="G110:Z110" si="19">SUM(G106:G109)</f>
        <v>0</v>
      </c>
      <c r="H110" s="32">
        <f t="shared" si="19"/>
        <v>0</v>
      </c>
      <c r="I110" s="32">
        <f t="shared" si="19"/>
        <v>0</v>
      </c>
      <c r="J110" s="32">
        <f t="shared" si="19"/>
        <v>-9915</v>
      </c>
      <c r="K110" s="32">
        <f t="shared" si="19"/>
        <v>-14872.5</v>
      </c>
      <c r="L110" s="32">
        <f t="shared" si="19"/>
        <v>31387.5</v>
      </c>
      <c r="M110" s="32">
        <f t="shared" si="19"/>
        <v>0</v>
      </c>
      <c r="N110" s="32">
        <f t="shared" si="19"/>
        <v>0</v>
      </c>
      <c r="O110" s="32">
        <f t="shared" si="19"/>
        <v>0</v>
      </c>
      <c r="P110" s="32">
        <f t="shared" si="19"/>
        <v>0</v>
      </c>
      <c r="Q110" s="32">
        <f t="shared" si="19"/>
        <v>0</v>
      </c>
      <c r="R110" s="32">
        <f t="shared" si="19"/>
        <v>0</v>
      </c>
      <c r="S110" s="32">
        <f t="shared" si="19"/>
        <v>0</v>
      </c>
      <c r="T110" s="32">
        <f t="shared" si="19"/>
        <v>0</v>
      </c>
      <c r="U110" s="32">
        <f t="shared" si="19"/>
        <v>0</v>
      </c>
      <c r="V110" s="32">
        <f t="shared" si="19"/>
        <v>0</v>
      </c>
      <c r="W110" s="32">
        <f t="shared" si="19"/>
        <v>0</v>
      </c>
      <c r="X110" s="32">
        <f t="shared" si="19"/>
        <v>0</v>
      </c>
      <c r="Y110" s="32">
        <f t="shared" si="19"/>
        <v>0</v>
      </c>
      <c r="Z110" s="32">
        <f t="shared" si="19"/>
        <v>0</v>
      </c>
      <c r="AA110" s="32">
        <v>0</v>
      </c>
      <c r="AB110" s="7"/>
    </row>
    <row r="111" spans="1:28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 spans="1:28" x14ac:dyDescent="0.2">
      <c r="A112" s="7"/>
      <c r="B112" s="24" t="s">
        <v>142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7"/>
    </row>
    <row r="113" spans="1:28" x14ac:dyDescent="0.2">
      <c r="A113" s="7"/>
      <c r="B113" s="7"/>
      <c r="C113" s="23" t="s">
        <v>143</v>
      </c>
      <c r="D113" s="23"/>
      <c r="E113" s="23"/>
      <c r="F113" s="23"/>
      <c r="G113" s="66">
        <f>G110</f>
        <v>0</v>
      </c>
      <c r="H113" s="66">
        <f t="shared" ref="H113:Z113" si="20">G113+H110</f>
        <v>0</v>
      </c>
      <c r="I113" s="66">
        <f t="shared" si="20"/>
        <v>0</v>
      </c>
      <c r="J113" s="66">
        <f t="shared" si="20"/>
        <v>-9915</v>
      </c>
      <c r="K113" s="66">
        <f t="shared" si="20"/>
        <v>-24787.5</v>
      </c>
      <c r="L113" s="66">
        <f t="shared" si="20"/>
        <v>6600</v>
      </c>
      <c r="M113" s="66">
        <f t="shared" si="20"/>
        <v>6600</v>
      </c>
      <c r="N113" s="66">
        <f t="shared" si="20"/>
        <v>6600</v>
      </c>
      <c r="O113" s="66">
        <f t="shared" si="20"/>
        <v>6600</v>
      </c>
      <c r="P113" s="66">
        <f t="shared" si="20"/>
        <v>6600</v>
      </c>
      <c r="Q113" s="66">
        <f t="shared" si="20"/>
        <v>6600</v>
      </c>
      <c r="R113" s="66">
        <f t="shared" si="20"/>
        <v>6600</v>
      </c>
      <c r="S113" s="66">
        <f t="shared" si="20"/>
        <v>6600</v>
      </c>
      <c r="T113" s="66">
        <f t="shared" si="20"/>
        <v>6600</v>
      </c>
      <c r="U113" s="66">
        <f t="shared" si="20"/>
        <v>6600</v>
      </c>
      <c r="V113" s="66">
        <f t="shared" si="20"/>
        <v>6600</v>
      </c>
      <c r="W113" s="66">
        <f t="shared" si="20"/>
        <v>6600</v>
      </c>
      <c r="X113" s="66">
        <f t="shared" si="20"/>
        <v>6600</v>
      </c>
      <c r="Y113" s="66">
        <f t="shared" si="20"/>
        <v>6600</v>
      </c>
      <c r="Z113" s="66">
        <f t="shared" si="20"/>
        <v>6600</v>
      </c>
      <c r="AA113" s="66"/>
      <c r="AB113" s="7"/>
    </row>
    <row r="114" spans="1:28" x14ac:dyDescent="0.2">
      <c r="A114" s="7"/>
      <c r="B114" s="7"/>
      <c r="C114" s="23" t="s">
        <v>144</v>
      </c>
      <c r="D114" s="23"/>
      <c r="E114" s="23"/>
      <c r="F114" s="23"/>
      <c r="G114" s="67">
        <f t="shared" ref="G114:AA114" si="21">1/(1+$E$70)^(COLUMN(G114)-COLUMN($G$114))</f>
        <v>1</v>
      </c>
      <c r="H114" s="67">
        <f t="shared" si="21"/>
        <v>0.9174311926605504</v>
      </c>
      <c r="I114" s="67">
        <f t="shared" si="21"/>
        <v>0.84167999326655996</v>
      </c>
      <c r="J114" s="67">
        <f t="shared" si="21"/>
        <v>0.77218348006106419</v>
      </c>
      <c r="K114" s="67">
        <f t="shared" si="21"/>
        <v>0.7084252110651964</v>
      </c>
      <c r="L114" s="67">
        <f t="shared" si="21"/>
        <v>0.64993138629834524</v>
      </c>
      <c r="M114" s="67">
        <f t="shared" si="21"/>
        <v>0.5962673268792158</v>
      </c>
      <c r="N114" s="67">
        <f t="shared" si="21"/>
        <v>0.54703424484331731</v>
      </c>
      <c r="O114" s="67">
        <f t="shared" si="21"/>
        <v>0.50186627967276809</v>
      </c>
      <c r="P114" s="67">
        <f t="shared" si="21"/>
        <v>0.46042777951630098</v>
      </c>
      <c r="Q114" s="67">
        <f t="shared" si="21"/>
        <v>0.42241080689568894</v>
      </c>
      <c r="R114" s="67">
        <f t="shared" si="21"/>
        <v>0.38753285036301738</v>
      </c>
      <c r="S114" s="67">
        <f t="shared" si="21"/>
        <v>0.35553472510368567</v>
      </c>
      <c r="T114" s="67">
        <f t="shared" si="21"/>
        <v>0.32617864688411524</v>
      </c>
      <c r="U114" s="67">
        <f t="shared" si="21"/>
        <v>0.29924646503129837</v>
      </c>
      <c r="V114" s="67">
        <f t="shared" si="21"/>
        <v>0.27453804131311776</v>
      </c>
      <c r="W114" s="67">
        <f t="shared" si="21"/>
        <v>0.2518697626725851</v>
      </c>
      <c r="X114" s="67">
        <f t="shared" si="21"/>
        <v>0.23107317676383954</v>
      </c>
      <c r="Y114" s="67">
        <f t="shared" si="21"/>
        <v>0.21199374015031147</v>
      </c>
      <c r="Z114" s="67">
        <f t="shared" si="21"/>
        <v>0.19448966986267105</v>
      </c>
      <c r="AA114" s="67">
        <f t="shared" si="21"/>
        <v>0.17843088978226704</v>
      </c>
      <c r="AB114" s="7"/>
    </row>
    <row r="115" spans="1:28" x14ac:dyDescent="0.2">
      <c r="A115" s="7"/>
      <c r="B115" s="7"/>
      <c r="C115" s="23" t="s">
        <v>145</v>
      </c>
      <c r="D115" s="23"/>
      <c r="E115" s="23"/>
      <c r="F115" s="23"/>
      <c r="G115" s="66">
        <f t="shared" ref="G115:AA115" si="22">G110*G114</f>
        <v>0</v>
      </c>
      <c r="H115" s="66">
        <f t="shared" si="22"/>
        <v>0</v>
      </c>
      <c r="I115" s="66">
        <f t="shared" si="22"/>
        <v>0</v>
      </c>
      <c r="J115" s="66">
        <f t="shared" si="22"/>
        <v>-7656.1992048054517</v>
      </c>
      <c r="K115" s="66">
        <f t="shared" si="22"/>
        <v>-10536.053951567133</v>
      </c>
      <c r="L115" s="66">
        <f t="shared" si="22"/>
        <v>20399.721387439313</v>
      </c>
      <c r="M115" s="66">
        <f t="shared" si="22"/>
        <v>0</v>
      </c>
      <c r="N115" s="66">
        <f t="shared" si="22"/>
        <v>0</v>
      </c>
      <c r="O115" s="66">
        <f t="shared" si="22"/>
        <v>0</v>
      </c>
      <c r="P115" s="66">
        <f t="shared" si="22"/>
        <v>0</v>
      </c>
      <c r="Q115" s="66">
        <f t="shared" si="22"/>
        <v>0</v>
      </c>
      <c r="R115" s="66">
        <f t="shared" si="22"/>
        <v>0</v>
      </c>
      <c r="S115" s="66">
        <f t="shared" si="22"/>
        <v>0</v>
      </c>
      <c r="T115" s="66">
        <f t="shared" si="22"/>
        <v>0</v>
      </c>
      <c r="U115" s="66">
        <f t="shared" si="22"/>
        <v>0</v>
      </c>
      <c r="V115" s="66">
        <f t="shared" si="22"/>
        <v>0</v>
      </c>
      <c r="W115" s="66">
        <f t="shared" si="22"/>
        <v>0</v>
      </c>
      <c r="X115" s="66">
        <f t="shared" si="22"/>
        <v>0</v>
      </c>
      <c r="Y115" s="66">
        <f t="shared" si="22"/>
        <v>0</v>
      </c>
      <c r="Z115" s="66">
        <f t="shared" si="22"/>
        <v>0</v>
      </c>
      <c r="AA115" s="66">
        <f t="shared" si="22"/>
        <v>0</v>
      </c>
      <c r="AB115" s="7"/>
    </row>
    <row r="116" spans="1:28" x14ac:dyDescent="0.2">
      <c r="A116" s="7"/>
      <c r="B116" s="7"/>
      <c r="C116" s="23" t="s">
        <v>146</v>
      </c>
      <c r="D116" s="23"/>
      <c r="E116" s="23"/>
      <c r="F116" s="23"/>
      <c r="G116" s="66">
        <f>G115</f>
        <v>0</v>
      </c>
      <c r="H116" s="66">
        <f t="shared" ref="H116:Z116" si="23">G116+H115</f>
        <v>0</v>
      </c>
      <c r="I116" s="66">
        <f t="shared" si="23"/>
        <v>0</v>
      </c>
      <c r="J116" s="66">
        <f t="shared" si="23"/>
        <v>-7656.1992048054517</v>
      </c>
      <c r="K116" s="66">
        <f t="shared" si="23"/>
        <v>-18192.253156372586</v>
      </c>
      <c r="L116" s="66">
        <f t="shared" si="23"/>
        <v>2207.4682310667267</v>
      </c>
      <c r="M116" s="66">
        <f t="shared" si="23"/>
        <v>2207.4682310667267</v>
      </c>
      <c r="N116" s="66">
        <f t="shared" si="23"/>
        <v>2207.4682310667267</v>
      </c>
      <c r="O116" s="66">
        <f t="shared" si="23"/>
        <v>2207.4682310667267</v>
      </c>
      <c r="P116" s="66">
        <f t="shared" si="23"/>
        <v>2207.4682310667267</v>
      </c>
      <c r="Q116" s="66">
        <f t="shared" si="23"/>
        <v>2207.4682310667267</v>
      </c>
      <c r="R116" s="66">
        <f t="shared" si="23"/>
        <v>2207.4682310667267</v>
      </c>
      <c r="S116" s="66">
        <f t="shared" si="23"/>
        <v>2207.4682310667267</v>
      </c>
      <c r="T116" s="66">
        <f t="shared" si="23"/>
        <v>2207.4682310667267</v>
      </c>
      <c r="U116" s="66">
        <f t="shared" si="23"/>
        <v>2207.4682310667267</v>
      </c>
      <c r="V116" s="66">
        <f t="shared" si="23"/>
        <v>2207.4682310667267</v>
      </c>
      <c r="W116" s="66">
        <f t="shared" si="23"/>
        <v>2207.4682310667267</v>
      </c>
      <c r="X116" s="66">
        <f t="shared" si="23"/>
        <v>2207.4682310667267</v>
      </c>
      <c r="Y116" s="66">
        <f t="shared" si="23"/>
        <v>2207.4682310667267</v>
      </c>
      <c r="Z116" s="66">
        <f t="shared" si="23"/>
        <v>2207.4682310667267</v>
      </c>
      <c r="AA116" s="66"/>
      <c r="AB116" s="7"/>
    </row>
    <row r="117" spans="1:28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 spans="1:28" x14ac:dyDescent="0.2">
      <c r="A118" s="7"/>
      <c r="B118" s="163" t="s">
        <v>149</v>
      </c>
      <c r="C118" s="163"/>
      <c r="D118" s="163"/>
      <c r="E118" s="163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 spans="1:28" x14ac:dyDescent="0.2">
      <c r="A119" s="7"/>
      <c r="B119" s="7"/>
      <c r="C119" s="7" t="s">
        <v>111</v>
      </c>
      <c r="D119" s="7"/>
      <c r="E119" s="76">
        <f>IFERROR(IRR($G$110:$AA$110),"n/a")</f>
        <v>0.18084388125950679</v>
      </c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 spans="1:28" x14ac:dyDescent="0.2">
      <c r="A120" s="7"/>
      <c r="B120" s="7"/>
      <c r="C120" s="7" t="s">
        <v>152</v>
      </c>
      <c r="D120" s="7"/>
      <c r="E120" s="76">
        <f>$E$70</f>
        <v>0.09</v>
      </c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 spans="1:28" x14ac:dyDescent="0.2">
      <c r="A121" s="7"/>
      <c r="B121" s="7"/>
      <c r="C121" s="7" t="s">
        <v>104</v>
      </c>
      <c r="D121" s="7"/>
      <c r="E121" s="77">
        <f>SUM($G$115:$AA$115)</f>
        <v>2207.4682310667267</v>
      </c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x14ac:dyDescent="0.2">
      <c r="A122" s="7"/>
      <c r="B122" s="7"/>
      <c r="C122" s="7" t="s">
        <v>156</v>
      </c>
      <c r="D122" s="7"/>
      <c r="E122" s="78">
        <f>SUMIF($G$115:$AA$115,"&gt;0")/-SUMIF($G$115:$AA$115,"&lt;0")</f>
        <v>1.1213411121806796</v>
      </c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2">
      <c r="A123" s="7"/>
      <c r="B123" s="163" t="s">
        <v>157</v>
      </c>
      <c r="C123" s="163"/>
      <c r="D123" s="163"/>
      <c r="E123" s="82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 spans="1:28" x14ac:dyDescent="0.2">
      <c r="A124" s="7"/>
      <c r="B124" s="7"/>
      <c r="C124" s="7" t="s">
        <v>158</v>
      </c>
      <c r="D124" s="7"/>
      <c r="E124" s="77">
        <f>-SUMIF($G$110:$Z$110,"&lt;0")</f>
        <v>24787.5</v>
      </c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 spans="1:28" x14ac:dyDescent="0.2">
      <c r="A125" s="7"/>
      <c r="B125" s="7"/>
      <c r="C125" s="7" t="s">
        <v>159</v>
      </c>
      <c r="D125" s="7"/>
      <c r="E125" s="77">
        <f>-MIN(0,MIN($G$113:$Z$113))</f>
        <v>24787.5</v>
      </c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 spans="1:28" x14ac:dyDescent="0.2">
      <c r="A126" s="7"/>
      <c r="B126" s="7"/>
      <c r="C126" s="7" t="s">
        <v>160</v>
      </c>
      <c r="D126" s="7"/>
      <c r="E126" s="63">
        <f>INDEX($G$6:$Z$6,MATCH(MIN($G$113:$Z$113),$G$113:$Z$113,0))</f>
        <v>2030</v>
      </c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 spans="1:28" x14ac:dyDescent="0.2">
      <c r="A127" s="7"/>
      <c r="B127" s="7"/>
      <c r="C127" s="7" t="s">
        <v>1041</v>
      </c>
      <c r="D127" s="7"/>
      <c r="E127" s="315">
        <f>IF(COUNTIF($G$113:$Z$113,"&lt;0")=COUNT($G$113:$Z$113),"&gt; 20 years",COUNTIF($G$113:$Z$113,"&lt;0"))</f>
        <v>2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 spans="1:28" x14ac:dyDescent="0.2">
      <c r="A128" s="7"/>
      <c r="B128" s="163" t="s">
        <v>1030</v>
      </c>
      <c r="C128" s="163"/>
      <c r="D128" s="163"/>
      <c r="E128" s="82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 spans="1:28" x14ac:dyDescent="0.2">
      <c r="A129" s="7"/>
      <c r="B129" s="7"/>
      <c r="C129" s="7" t="s">
        <v>586</v>
      </c>
      <c r="D129" s="7"/>
      <c r="E129" s="77">
        <f>SUMIF($G$110:$Z$110,"&gt;0")</f>
        <v>31387.5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 spans="1:28" x14ac:dyDescent="0.2">
      <c r="A130" s="7"/>
      <c r="B130" s="7"/>
      <c r="C130" s="7" t="s">
        <v>587</v>
      </c>
      <c r="D130" s="7"/>
      <c r="E130" s="77">
        <f>SUM($G$110:$Z$110)</f>
        <v>6600</v>
      </c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 spans="1:28" x14ac:dyDescent="0.2">
      <c r="A131" s="7"/>
      <c r="B131" s="7"/>
      <c r="C131" s="7" t="s">
        <v>588</v>
      </c>
      <c r="D131" s="7"/>
      <c r="E131" s="78">
        <f>E129/E124</f>
        <v>1.2662632375189107</v>
      </c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 spans="1:28" x14ac:dyDescent="0.2">
      <c r="A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 spans="1:28" x14ac:dyDescent="0.2">
      <c r="A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 spans="1:28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 spans="1:28" x14ac:dyDescent="0.2">
      <c r="A135" s="7"/>
      <c r="B135" s="24" t="s">
        <v>589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7"/>
    </row>
    <row r="136" spans="1:28" x14ac:dyDescent="0.2">
      <c r="A136" s="7"/>
      <c r="B136" s="7"/>
      <c r="C136" s="154" t="s">
        <v>181</v>
      </c>
      <c r="D136" s="154"/>
      <c r="E136" s="154"/>
      <c r="F136" s="154"/>
      <c r="G136" s="155" t="s">
        <v>590</v>
      </c>
      <c r="H136" s="155" t="s">
        <v>591</v>
      </c>
      <c r="I136" s="155" t="s">
        <v>348</v>
      </c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 spans="1:28" x14ac:dyDescent="0.2">
      <c r="A137" s="7"/>
      <c r="B137" s="7"/>
      <c r="C137" s="7" t="s">
        <v>592</v>
      </c>
      <c r="D137" s="7"/>
      <c r="E137" s="7"/>
      <c r="F137" s="7"/>
      <c r="G137" s="57">
        <f>$E$22</f>
        <v>7500</v>
      </c>
      <c r="H137" s="153">
        <f>'SENIOR LIVING'!$E$29</f>
        <v>8000</v>
      </c>
      <c r="I137" s="57">
        <f t="shared" ref="I137:I146" si="24">G137-H137</f>
        <v>-500</v>
      </c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 spans="1:28" x14ac:dyDescent="0.2">
      <c r="A138" s="7"/>
      <c r="B138" s="7"/>
      <c r="C138" s="7" t="s">
        <v>593</v>
      </c>
      <c r="D138" s="7"/>
      <c r="E138" s="7"/>
      <c r="F138" s="7"/>
      <c r="G138" s="19">
        <f>$E$77</f>
        <v>56175</v>
      </c>
      <c r="H138" s="41">
        <f>'SENIOR LIVING'!$E$209</f>
        <v>68480</v>
      </c>
      <c r="I138" s="19">
        <f t="shared" si="24"/>
        <v>-12305</v>
      </c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 spans="1:28" x14ac:dyDescent="0.2">
      <c r="A139" s="7"/>
      <c r="B139" s="7"/>
      <c r="C139" s="7" t="s">
        <v>570</v>
      </c>
      <c r="D139" s="7"/>
      <c r="E139" s="7"/>
      <c r="F139" s="7"/>
      <c r="G139" s="57">
        <f>$E$83</f>
        <v>7490</v>
      </c>
      <c r="H139" s="153">
        <f>'SENIOR LIVING'!$E$209*1000/'SENIOR LIVING'!$E$29</f>
        <v>8560</v>
      </c>
      <c r="I139" s="57">
        <f t="shared" si="24"/>
        <v>-1070</v>
      </c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 spans="1:28" x14ac:dyDescent="0.2">
      <c r="A140" s="7"/>
      <c r="B140" s="7"/>
      <c r="C140" s="7" t="s">
        <v>594</v>
      </c>
      <c r="D140" s="7"/>
      <c r="E140" s="7"/>
      <c r="F140" s="7"/>
      <c r="G140" s="19">
        <f>$E$81</f>
        <v>67500</v>
      </c>
      <c r="H140" s="41">
        <f>'SENIOR LIVING'!$E$204</f>
        <v>82283.850000000006</v>
      </c>
      <c r="I140" s="19">
        <f t="shared" si="24"/>
        <v>-14783.850000000006</v>
      </c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 spans="1:28" x14ac:dyDescent="0.2">
      <c r="A141" s="7"/>
      <c r="B141" s="7"/>
      <c r="C141" s="7" t="s">
        <v>595</v>
      </c>
      <c r="D141" s="7"/>
      <c r="E141" s="7"/>
      <c r="F141" s="7"/>
      <c r="G141" s="19">
        <f>$E$52</f>
        <v>4500</v>
      </c>
      <c r="H141" s="41">
        <f>'SENIOR LIVING'!$E$60</f>
        <v>7200</v>
      </c>
      <c r="I141" s="19">
        <f t="shared" si="24"/>
        <v>-2700</v>
      </c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 spans="1:28" x14ac:dyDescent="0.2">
      <c r="A142" s="7"/>
      <c r="B142" s="7"/>
      <c r="C142" s="7" t="s">
        <v>596</v>
      </c>
      <c r="D142" s="7"/>
      <c r="E142" s="7"/>
      <c r="F142" s="7"/>
      <c r="G142" s="19">
        <f>$E$100</f>
        <v>9045.488923585699</v>
      </c>
      <c r="H142" s="41">
        <f>'SENIOR LIVING'!$E$188</f>
        <v>4036.9718333527221</v>
      </c>
      <c r="I142" s="19">
        <f t="shared" si="24"/>
        <v>5008.5170902329774</v>
      </c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 spans="1:28" x14ac:dyDescent="0.2">
      <c r="A143" s="7"/>
      <c r="B143" s="7"/>
      <c r="C143" s="7" t="s">
        <v>597</v>
      </c>
      <c r="D143" s="7"/>
      <c r="E143" s="7"/>
      <c r="F143" s="7"/>
      <c r="G143" s="164">
        <f>$E$102</f>
        <v>0.12318240443189984</v>
      </c>
      <c r="H143" s="165">
        <f>'SENIOR LIVING'!$E$217</f>
        <v>4.5113971217741772E-2</v>
      </c>
      <c r="I143" s="164">
        <f t="shared" si="24"/>
        <v>7.8068433214158073E-2</v>
      </c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 spans="1:28" x14ac:dyDescent="0.2">
      <c r="A144" s="7"/>
      <c r="B144" s="7"/>
      <c r="C144" s="7" t="s">
        <v>598</v>
      </c>
      <c r="D144" s="7"/>
      <c r="E144" s="7"/>
      <c r="F144" s="7"/>
      <c r="G144" s="36">
        <f>E119</f>
        <v>0.18084388125950679</v>
      </c>
      <c r="H144" s="42">
        <f>'SENIOR LIVING'!$K$164</f>
        <v>0.18080179139693242</v>
      </c>
      <c r="I144" s="36">
        <f t="shared" si="24"/>
        <v>4.2089862574368198E-5</v>
      </c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 spans="1:28" x14ac:dyDescent="0.2">
      <c r="A145" s="7"/>
      <c r="B145" s="7"/>
      <c r="C145" s="7" t="s">
        <v>599</v>
      </c>
      <c r="D145" s="7"/>
      <c r="E145" s="7"/>
      <c r="F145" s="7"/>
      <c r="G145" s="19">
        <f>E121</f>
        <v>2207.4682310667267</v>
      </c>
      <c r="H145" s="41">
        <f>'SENIOR LIVING'!$K$165</f>
        <v>2689.8092329382616</v>
      </c>
      <c r="I145" s="19">
        <f t="shared" si="24"/>
        <v>-482.3410018715349</v>
      </c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 spans="1:28" x14ac:dyDescent="0.2">
      <c r="A146" s="7"/>
      <c r="B146" s="7"/>
      <c r="C146" s="7" t="s">
        <v>159</v>
      </c>
      <c r="D146" s="7"/>
      <c r="E146" s="7"/>
      <c r="F146" s="7"/>
      <c r="G146" s="19">
        <f>E125</f>
        <v>24787.5</v>
      </c>
      <c r="H146" s="41">
        <f>'SENIOR LIVING'!$K$166</f>
        <v>30218.009749999997</v>
      </c>
      <c r="I146" s="19">
        <f t="shared" si="24"/>
        <v>-5430.5097499999974</v>
      </c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 spans="1:28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 spans="1:28" x14ac:dyDescent="0.2">
      <c r="A148" s="7"/>
      <c r="B148" s="24" t="s">
        <v>600</v>
      </c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7"/>
    </row>
    <row r="149" spans="1:28" x14ac:dyDescent="0.2">
      <c r="A149" s="7"/>
      <c r="B149" s="7"/>
      <c r="C149" s="7" t="s">
        <v>601</v>
      </c>
      <c r="D149" s="7"/>
      <c r="E149" s="36">
        <f>'SENIOR LIVING'!$E$37</f>
        <v>0.08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 spans="1:28" x14ac:dyDescent="0.2">
      <c r="A150" s="7"/>
      <c r="B150" s="7"/>
      <c r="C150" s="7" t="s">
        <v>602</v>
      </c>
      <c r="D150" s="7"/>
      <c r="E150" s="62">
        <f>$E$100/E149-$E$98</f>
        <v>107136.9476208847</v>
      </c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 spans="1:28" x14ac:dyDescent="0.2">
      <c r="A151" s="7"/>
      <c r="B151" s="7"/>
      <c r="C151" s="7" t="s">
        <v>603</v>
      </c>
      <c r="D151" s="7"/>
      <c r="E151" s="57">
        <f>E150*1000/$E$22</f>
        <v>14284.926349451294</v>
      </c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 spans="1:28" x14ac:dyDescent="0.2">
      <c r="A152" s="7"/>
      <c r="B152" s="7"/>
      <c r="C152" s="7" t="s">
        <v>604</v>
      </c>
      <c r="D152" s="7"/>
      <c r="E152" s="7"/>
      <c r="F152" s="7"/>
      <c r="G152" s="19">
        <f t="shared" ref="G152:Z152" si="25">$E$150*IF(G$6=$E$59,$E$66,IF(G$6=$E$59+1,$E$67,IF(G$6=$E$61,1-$E$66-$E$67,0)))*(1-$E$68-$E$69)-G77</f>
        <v>0</v>
      </c>
      <c r="H152" s="19">
        <f t="shared" si="25"/>
        <v>0</v>
      </c>
      <c r="I152" s="19">
        <f t="shared" si="25"/>
        <v>0</v>
      </c>
      <c r="J152" s="19">
        <f t="shared" si="25"/>
        <v>-2542.5277425154454</v>
      </c>
      <c r="K152" s="19">
        <f t="shared" si="25"/>
        <v>-3813.79161377317</v>
      </c>
      <c r="L152" s="19">
        <f t="shared" si="25"/>
        <v>49818.680643711385</v>
      </c>
      <c r="M152" s="19">
        <f t="shared" si="25"/>
        <v>0</v>
      </c>
      <c r="N152" s="19">
        <f t="shared" si="25"/>
        <v>0</v>
      </c>
      <c r="O152" s="19">
        <f t="shared" si="25"/>
        <v>0</v>
      </c>
      <c r="P152" s="19">
        <f t="shared" si="25"/>
        <v>0</v>
      </c>
      <c r="Q152" s="19">
        <f t="shared" si="25"/>
        <v>0</v>
      </c>
      <c r="R152" s="19">
        <f t="shared" si="25"/>
        <v>0</v>
      </c>
      <c r="S152" s="19">
        <f t="shared" si="25"/>
        <v>0</v>
      </c>
      <c r="T152" s="19">
        <f t="shared" si="25"/>
        <v>0</v>
      </c>
      <c r="U152" s="19">
        <f t="shared" si="25"/>
        <v>0</v>
      </c>
      <c r="V152" s="19">
        <f t="shared" si="25"/>
        <v>0</v>
      </c>
      <c r="W152" s="19">
        <f t="shared" si="25"/>
        <v>0</v>
      </c>
      <c r="X152" s="19">
        <f t="shared" si="25"/>
        <v>0</v>
      </c>
      <c r="Y152" s="19">
        <f t="shared" si="25"/>
        <v>0</v>
      </c>
      <c r="Z152" s="19">
        <f t="shared" si="25"/>
        <v>0</v>
      </c>
      <c r="AA152" s="7"/>
      <c r="AB152" s="7"/>
    </row>
    <row r="153" spans="1:28" x14ac:dyDescent="0.2">
      <c r="A153" s="7"/>
      <c r="B153" s="7"/>
      <c r="C153" s="7" t="s">
        <v>606</v>
      </c>
      <c r="D153" s="7"/>
      <c r="E153" s="43">
        <f>IRR(G152:Z152)</f>
        <v>2.7396162641847877</v>
      </c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 spans="1:28" x14ac:dyDescent="0.2">
      <c r="A154" s="7"/>
      <c r="B154" s="7"/>
      <c r="C154" s="7" t="s">
        <v>605</v>
      </c>
      <c r="D154" s="7"/>
      <c r="E154" s="62">
        <f>G152+NPV($E$70,H152:Z152)</f>
        <v>27713.640125008569</v>
      </c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 spans="1:28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 spans="1:28" x14ac:dyDescent="0.2">
      <c r="A156" s="7"/>
      <c r="B156" s="143" t="s">
        <v>607</v>
      </c>
      <c r="C156" s="166"/>
      <c r="D156" s="166"/>
      <c r="E156" s="166"/>
      <c r="F156" s="166"/>
      <c r="G156" s="166"/>
      <c r="H156" s="166"/>
      <c r="I156" s="166"/>
      <c r="J156" s="166"/>
      <c r="K156" s="166"/>
      <c r="L156" s="166"/>
      <c r="M156" s="166"/>
      <c r="N156" s="166"/>
      <c r="O156" s="166"/>
      <c r="P156" s="166"/>
      <c r="Q156" s="166"/>
      <c r="R156" s="166"/>
      <c r="S156" s="166"/>
      <c r="T156" s="166"/>
      <c r="U156" s="166"/>
      <c r="V156" s="166"/>
      <c r="W156" s="166"/>
      <c r="X156" s="166"/>
      <c r="Y156" s="166"/>
      <c r="Z156" s="166"/>
      <c r="AA156" s="7"/>
      <c r="AB156" s="7"/>
    </row>
    <row r="157" spans="1:28" x14ac:dyDescent="0.2">
      <c r="A157" s="7"/>
      <c r="B157" s="145" t="s">
        <v>608</v>
      </c>
      <c r="C157" s="166"/>
      <c r="D157" s="166"/>
      <c r="E157" s="166"/>
      <c r="F157" s="166"/>
      <c r="G157" s="166"/>
      <c r="H157" s="166"/>
      <c r="I157" s="166"/>
      <c r="J157" s="166"/>
      <c r="K157" s="166"/>
      <c r="L157" s="166"/>
      <c r="M157" s="166"/>
      <c r="N157" s="166"/>
      <c r="O157" s="166"/>
      <c r="P157" s="166"/>
      <c r="Q157" s="166"/>
      <c r="R157" s="166"/>
      <c r="S157" s="166"/>
      <c r="T157" s="166"/>
      <c r="U157" s="166"/>
      <c r="V157" s="166"/>
      <c r="W157" s="166"/>
      <c r="X157" s="166"/>
      <c r="Y157" s="166"/>
      <c r="Z157" s="166"/>
      <c r="AA157" s="7"/>
      <c r="AB157" s="7"/>
    </row>
    <row r="158" spans="1:28" x14ac:dyDescent="0.2">
      <c r="A158" s="7"/>
      <c r="B158" s="145" t="s">
        <v>609</v>
      </c>
      <c r="C158" s="166"/>
      <c r="D158" s="166"/>
      <c r="E158" s="166"/>
      <c r="F158" s="166"/>
      <c r="G158" s="166"/>
      <c r="H158" s="166"/>
      <c r="I158" s="166"/>
      <c r="J158" s="166"/>
      <c r="K158" s="166"/>
      <c r="L158" s="166"/>
      <c r="M158" s="166"/>
      <c r="N158" s="166"/>
      <c r="O158" s="166"/>
      <c r="P158" s="166"/>
      <c r="Q158" s="166"/>
      <c r="R158" s="166"/>
      <c r="S158" s="166"/>
      <c r="T158" s="166"/>
      <c r="U158" s="166"/>
      <c r="V158" s="166"/>
      <c r="W158" s="166"/>
      <c r="X158" s="166"/>
      <c r="Y158" s="166"/>
      <c r="Z158" s="166"/>
      <c r="AA158" s="7"/>
      <c r="AB158" s="7"/>
    </row>
    <row r="159" spans="1:28" x14ac:dyDescent="0.2">
      <c r="A159" s="7"/>
      <c r="B159" s="145" t="s">
        <v>610</v>
      </c>
      <c r="C159" s="166"/>
      <c r="D159" s="166"/>
      <c r="E159" s="166"/>
      <c r="F159" s="166"/>
      <c r="G159" s="166"/>
      <c r="H159" s="166"/>
      <c r="I159" s="166"/>
      <c r="J159" s="166"/>
      <c r="K159" s="166"/>
      <c r="L159" s="166"/>
      <c r="M159" s="166"/>
      <c r="N159" s="166"/>
      <c r="O159" s="166"/>
      <c r="P159" s="166"/>
      <c r="Q159" s="166"/>
      <c r="R159" s="166"/>
      <c r="S159" s="166"/>
      <c r="T159" s="166"/>
      <c r="U159" s="166"/>
      <c r="V159" s="166"/>
      <c r="W159" s="166"/>
      <c r="X159" s="166"/>
      <c r="Y159" s="166"/>
      <c r="Z159" s="166"/>
      <c r="AA159" s="7"/>
      <c r="AB159" s="7"/>
    </row>
    <row r="160" spans="1:28" x14ac:dyDescent="0.2">
      <c r="A160" s="7"/>
      <c r="B160" s="145" t="s">
        <v>611</v>
      </c>
      <c r="C160" s="166"/>
      <c r="D160" s="166"/>
      <c r="E160" s="166"/>
      <c r="F160" s="166"/>
      <c r="G160" s="166"/>
      <c r="H160" s="166"/>
      <c r="I160" s="166"/>
      <c r="J160" s="166"/>
      <c r="K160" s="166"/>
      <c r="L160" s="166"/>
      <c r="M160" s="166"/>
      <c r="N160" s="166"/>
      <c r="O160" s="166"/>
      <c r="P160" s="166"/>
      <c r="Q160" s="166"/>
      <c r="R160" s="166"/>
      <c r="S160" s="166"/>
      <c r="T160" s="166"/>
      <c r="U160" s="166"/>
      <c r="V160" s="166"/>
      <c r="W160" s="166"/>
      <c r="X160" s="166"/>
      <c r="Y160" s="166"/>
      <c r="Z160" s="166"/>
      <c r="AA160" s="7"/>
      <c r="AB160" s="7"/>
    </row>
    <row r="161" spans="1:28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3" spans="1:28" x14ac:dyDescent="0.2">
      <c r="B163" s="173" t="s">
        <v>612</v>
      </c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 spans="1:28" x14ac:dyDescent="0.2">
      <c r="B164" s="171" t="s">
        <v>613</v>
      </c>
      <c r="C164" s="167" t="str">
        <f>"Convention center: same return for Grupo Sirena, yield of "&amp;TEXT(G143,"0,0%")&amp;" for the operator (vs. "&amp;TEXT(H143,"0,0%")&amp;" in the Senior Living)"</f>
        <v>Centro de convenções: mesmo retorno para o Grupo Sirena, yield de 12,3% para o operador (vs. 4,5% no Senior Living)</v>
      </c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8" x14ac:dyDescent="0.2">
      <c r="B165" s="171" t="s">
        <v>614</v>
      </c>
      <c r="C165" s="168" t="str">
        <f>"On the same land, the convention center is easier to sell and has more pricing headroom than the Senior Living."</f>
        <v>No mesmo terreno, o centro de convenções é mais vendável e tem mais folga de preço que o Senior Living.</v>
      </c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8" x14ac:dyDescent="0.2">
      <c r="B166" s="139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8" x14ac:dyDescent="0.2">
      <c r="B167" s="174" t="s">
        <v>615</v>
      </c>
      <c r="C167" s="169"/>
      <c r="D167" s="169"/>
      <c r="E167" s="169"/>
      <c r="F167" s="169"/>
      <c r="G167" s="169"/>
      <c r="H167" s="169"/>
      <c r="I167" s="169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8" x14ac:dyDescent="0.2">
      <c r="B168" s="172" t="s">
        <v>616</v>
      </c>
      <c r="C168" s="10" t="str">
        <f>TEXT($E$10,"#.##0")&amp;" monitored events ("&amp;TEXT($E$9,"#.##0")&amp;" in Gramado) — CVB / PROMEGC"</f>
        <v>681 eventos monitorados (575 em Gramado) — CVB / PROMEGC</v>
      </c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8" x14ac:dyDescent="0.2">
      <c r="B169" s="172" t="s">
        <v>616</v>
      </c>
      <c r="C169" s="10" t="str">
        <f>"More than "&amp;TEXT($E$11,"#.##0")&amp;" attendees; average audience of "&amp;TEXT($E$12,"#.##0")&amp;" people per event"</f>
        <v>Mais de 272.000 participantes; público médio de 399 pessoas por evento</v>
      </c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8" x14ac:dyDescent="0.2">
      <c r="B170" s="172" t="s">
        <v>616</v>
      </c>
      <c r="C170" s="10" t="str">
        <f>"The corporate segment leads in volume ("&amp;TEXT($E$13,"0%")&amp;")"</f>
        <v>Segmento corporativo lidera em volume (43%)</v>
      </c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8" x14ac:dyDescent="0.2">
      <c r="B171" s="172" t="s">
        <v>616</v>
      </c>
      <c r="C171" s="10" t="str">
        <f>"Large pavilions already exist (Serra Park 28 thousand m²; ExpoGramado); Arena Gramadense focuses on shows"</f>
        <v>Pavilhões grandes já existem (Serra Park 28 mil m²; ExpoGramado); Arena Gramadense foca em shows</v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8" x14ac:dyDescent="0.2">
      <c r="B172" s="172" t="s">
        <v>616</v>
      </c>
      <c r="C172" s="10" t="str">
        <f>"Gap: a mid-sized congress center next to hotel accommodation (e.g. CBAEM 2025 with 2,500 attendees)"</f>
        <v>Lacuna: centro de congressos médio junto à hotelaria (ex.: CBAEM 2025 com 2.500 participantes)</v>
      </c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8" x14ac:dyDescent="0.2">
      <c r="B173" s="13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8" x14ac:dyDescent="0.2">
      <c r="B174" s="174" t="s">
        <v>617</v>
      </c>
      <c r="C174" s="169"/>
      <c r="D174" s="169"/>
      <c r="E174" s="169"/>
      <c r="F174" s="169"/>
      <c r="G174" s="169"/>
      <c r="H174" s="169"/>
      <c r="I174" s="169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8" x14ac:dyDescent="0.2">
      <c r="B175" s="172" t="s">
        <v>616</v>
      </c>
      <c r="C175" s="10" t="str">
        <f>TEXT($E$22,"#.##0")&amp;" m² built on "&amp;$E$25&amp;" floors — fits within the 30% lot coverage ("&amp;TEXT($E$24,"#.##0")&amp;" m² of footprint)"</f>
        <v>7.500 m² construídos em 2 pavimentos — cabe na TO de 30% (4.305 m² de projeção)</v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8" x14ac:dyDescent="0.2">
      <c r="B176" s="172" t="s">
        <v>616</v>
      </c>
      <c r="C176" s="10" t="str">
        <f>"1,200-seat auditorium, multipurpose hall for 2,000 people, 10 modular rooms, foyers and support areas"</f>
        <v>Auditório de 1.200 lugares, pavilhão multiuso para 2.000 pessoas, 10 salas modulares, foyers e apoio</v>
      </c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2:27" x14ac:dyDescent="0.2">
      <c r="B177" s="172" t="s">
        <v>616</v>
      </c>
      <c r="C177" s="10" t="str">
        <f>"Simultaneous capacity of "&amp;TEXT($E$26,"#.##0")&amp;" people"</f>
        <v>Capacidade simultânea de 2.400 pessoas</v>
      </c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2:27" x14ac:dyDescent="0.2">
      <c r="B178" s="139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2:27" x14ac:dyDescent="0.2">
      <c r="B179" s="174" t="s">
        <v>618</v>
      </c>
      <c r="C179" s="169"/>
      <c r="D179" s="169"/>
      <c r="E179" s="169"/>
      <c r="F179" s="169"/>
      <c r="G179" s="169"/>
      <c r="H179" s="169"/>
      <c r="I179" s="169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 spans="2:27" x14ac:dyDescent="0.2">
      <c r="B180" s="172" t="s">
        <v>616</v>
      </c>
      <c r="C180" s="10" t="str">
        <f>TEXT($E$34,"#.##0")&amp;" events/year (≈"&amp;TEXT($E$14,"0%")&amp;" of Gramado's events): "&amp;$E$30&amp;" congresses, "&amp;$E$31&amp;" corporate, "&amp;$E$32&amp;" fairs, "&amp;$E$33&amp;" social"</f>
        <v>116 eventos/ano (≈20% dos eventos de Gramado): 18 congressos, 60 corporativos, 8 feiras, 30 sociais</v>
      </c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 spans="2:27" x14ac:dyDescent="0.2">
      <c r="B181" s="172" t="s">
        <v>616</v>
      </c>
      <c r="C181" s="10" t="str">
        <f>"Operator revenue of R$ "&amp;TEXT($E$41/1000,"#.##0,0")&amp;" million; NOI of R$ "&amp;TEXT($E$49/1000,"#.##0,0")&amp;" million (margin "&amp;TEXT($E$50,"0,0%")&amp;")"</f>
        <v>Receita do operador de R$ 27,7 mi; NOI de R$ 6,9 mi (margem 24,8%)</v>
      </c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 spans="2:27" x14ac:dyDescent="0.2">
      <c r="B182" s="172" t="s">
        <v>616</v>
      </c>
      <c r="C182" s="10" t="str">
        <f>"Operator FF&amp;E of R$ "&amp;TEXT($E$52/1000,"#.##0,0")&amp;" million (Senior Living: R$ "&amp;TEXT($E$53/1000,"#.##0,0")&amp;" million)"</f>
        <v>FF&amp;E do operador de R$ 4,5 mi (Senior Living: R$ 7,2 mi)</v>
      </c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 spans="2:27" x14ac:dyDescent="0.2">
      <c r="B183" s="13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 spans="2:27" x14ac:dyDescent="0.2">
      <c r="B184" s="174" t="s">
        <v>619</v>
      </c>
      <c r="C184" s="169"/>
      <c r="D184" s="169"/>
      <c r="E184" s="169"/>
      <c r="F184" s="169"/>
      <c r="G184" s="169"/>
      <c r="H184" s="169"/>
      <c r="I184" s="169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 spans="2:27" x14ac:dyDescent="0.2">
      <c r="B185" s="139"/>
      <c r="C185" s="176" t="s">
        <v>181</v>
      </c>
      <c r="D185" s="176"/>
      <c r="E185" s="176"/>
      <c r="F185" s="176"/>
      <c r="G185" s="177" t="s">
        <v>590</v>
      </c>
      <c r="H185" s="177" t="s">
        <v>591</v>
      </c>
      <c r="I185" s="177" t="s">
        <v>348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 spans="2:27" x14ac:dyDescent="0.2">
      <c r="B186" s="139"/>
      <c r="C186" s="10" t="str">
        <f t="shared" ref="C186:C195" si="26">C137</f>
        <v>Área construída (m²)</v>
      </c>
      <c r="D186" s="10"/>
      <c r="E186" s="10"/>
      <c r="F186" s="10"/>
      <c r="G186" s="57">
        <f t="shared" ref="G186:I195" si="27">G137</f>
        <v>7500</v>
      </c>
      <c r="H186" s="153">
        <f t="shared" si="27"/>
        <v>8000</v>
      </c>
      <c r="I186" s="57">
        <f t="shared" si="27"/>
        <v>-500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 spans="2:27" x14ac:dyDescent="0.2">
      <c r="B187" s="139"/>
      <c r="C187" s="10" t="str">
        <f t="shared" si="26"/>
        <v>Capex do Grupo Sirena (R$ mil)</v>
      </c>
      <c r="D187" s="10"/>
      <c r="E187" s="10"/>
      <c r="F187" s="10"/>
      <c r="G187" s="19">
        <f t="shared" si="27"/>
        <v>56175</v>
      </c>
      <c r="H187" s="41">
        <f t="shared" si="27"/>
        <v>68480</v>
      </c>
      <c r="I187" s="19">
        <f t="shared" si="27"/>
        <v>-12305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 spans="2:27" x14ac:dyDescent="0.2">
      <c r="B188" s="139"/>
      <c r="C188" s="10" t="str">
        <f t="shared" si="26"/>
        <v>Capex por m² construído (R$)</v>
      </c>
      <c r="D188" s="10"/>
      <c r="E188" s="10"/>
      <c r="F188" s="10"/>
      <c r="G188" s="57">
        <f t="shared" si="27"/>
        <v>7490</v>
      </c>
      <c r="H188" s="153">
        <f t="shared" si="27"/>
        <v>8560</v>
      </c>
      <c r="I188" s="57">
        <f t="shared" si="27"/>
        <v>-1070</v>
      </c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 spans="2:27" x14ac:dyDescent="0.2">
      <c r="B189" s="139"/>
      <c r="C189" s="10" t="str">
        <f t="shared" si="26"/>
        <v>Preço de venda ao operador (R$ mil)</v>
      </c>
      <c r="D189" s="10"/>
      <c r="E189" s="10"/>
      <c r="F189" s="10"/>
      <c r="G189" s="19">
        <f t="shared" si="27"/>
        <v>67500</v>
      </c>
      <c r="H189" s="41">
        <f t="shared" si="27"/>
        <v>82283.850000000006</v>
      </c>
      <c r="I189" s="19">
        <f t="shared" si="27"/>
        <v>-14783.850000000006</v>
      </c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 spans="2:27" x14ac:dyDescent="0.2">
      <c r="B190" s="139"/>
      <c r="C190" s="10" t="str">
        <f t="shared" si="26"/>
        <v>FF&amp;E pago pelo operador (R$ mil, preços de 2026)</v>
      </c>
      <c r="D190" s="10"/>
      <c r="E190" s="10"/>
      <c r="F190" s="10"/>
      <c r="G190" s="19">
        <f t="shared" si="27"/>
        <v>4500</v>
      </c>
      <c r="H190" s="41">
        <f t="shared" si="27"/>
        <v>7200</v>
      </c>
      <c r="I190" s="19">
        <f t="shared" si="27"/>
        <v>-2700</v>
      </c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 spans="2:27" x14ac:dyDescent="0.2">
      <c r="B191" s="139"/>
      <c r="C191" s="10" t="str">
        <f t="shared" si="26"/>
        <v>NOI estabilizado do operador (R$ mil/ano, preços do ano de abertura)</v>
      </c>
      <c r="D191" s="10"/>
      <c r="E191" s="10"/>
      <c r="F191" s="10"/>
      <c r="G191" s="19">
        <f t="shared" si="27"/>
        <v>9045.488923585699</v>
      </c>
      <c r="H191" s="41">
        <f t="shared" si="27"/>
        <v>4036.9718333527221</v>
      </c>
      <c r="I191" s="19">
        <f t="shared" si="27"/>
        <v>5008.5170902329774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 spans="2:27" x14ac:dyDescent="0.2">
      <c r="B192" s="139"/>
      <c r="C192" s="10" t="str">
        <f t="shared" si="26"/>
        <v>Yield final do operador sobre (preço + FF&amp;E)</v>
      </c>
      <c r="D192" s="10"/>
      <c r="E192" s="10"/>
      <c r="F192" s="10"/>
      <c r="G192" s="164">
        <f t="shared" si="27"/>
        <v>0.12318240443189984</v>
      </c>
      <c r="H192" s="165">
        <f t="shared" si="27"/>
        <v>4.5113971217741772E-2</v>
      </c>
      <c r="I192" s="164">
        <f t="shared" si="27"/>
        <v>7.8068433214158073E-2</v>
      </c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 spans="2:27" x14ac:dyDescent="0.2">
      <c r="B193" s="139"/>
      <c r="C193" s="10" t="str">
        <f t="shared" si="26"/>
        <v>TIR do Grupo Sirena</v>
      </c>
      <c r="D193" s="10"/>
      <c r="E193" s="10"/>
      <c r="F193" s="10"/>
      <c r="G193" s="36">
        <f t="shared" si="27"/>
        <v>0.18084388125950679</v>
      </c>
      <c r="H193" s="42">
        <f t="shared" si="27"/>
        <v>0.18080179139693242</v>
      </c>
      <c r="I193" s="36">
        <f t="shared" si="27"/>
        <v>4.2089862574368198E-5</v>
      </c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 spans="2:27" x14ac:dyDescent="0.2">
      <c r="B194" s="139"/>
      <c r="C194" s="10" t="str">
        <f t="shared" si="26"/>
        <v>VPL do Grupo Sirena (R$ mil)</v>
      </c>
      <c r="D194" s="10"/>
      <c r="E194" s="10"/>
      <c r="F194" s="10"/>
      <c r="G194" s="19">
        <f t="shared" si="27"/>
        <v>2207.4682310667267</v>
      </c>
      <c r="H194" s="41">
        <f t="shared" si="27"/>
        <v>2689.8092329382616</v>
      </c>
      <c r="I194" s="19">
        <f t="shared" si="27"/>
        <v>-482.3410018715349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 spans="2:27" x14ac:dyDescent="0.2">
      <c r="B195" s="139"/>
      <c r="C195" s="102" t="str">
        <f t="shared" si="26"/>
        <v>Exposição máxima de caixa (R$ mil)</v>
      </c>
      <c r="D195" s="102"/>
      <c r="E195" s="102"/>
      <c r="F195" s="102"/>
      <c r="G195" s="178">
        <f t="shared" si="27"/>
        <v>24787.5</v>
      </c>
      <c r="H195" s="179">
        <f t="shared" si="27"/>
        <v>30218.009749999997</v>
      </c>
      <c r="I195" s="178">
        <f t="shared" si="27"/>
        <v>-5430.5097499999974</v>
      </c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 spans="2:27" x14ac:dyDescent="0.2">
      <c r="B196" s="139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 spans="2:27" x14ac:dyDescent="0.2">
      <c r="B197" s="175" t="s">
        <v>620</v>
      </c>
      <c r="C197" s="169"/>
      <c r="D197" s="169"/>
      <c r="E197" s="169"/>
      <c r="F197" s="169"/>
      <c r="G197" s="169"/>
      <c r="H197" s="169"/>
      <c r="I197" s="169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 spans="2:27" x14ac:dyDescent="0.2">
      <c r="B198" s="139" t="s">
        <v>616</v>
      </c>
      <c r="C198" s="10" t="str">
        <f>"At a yield of "&amp;TEXT($E$149,"0%")&amp;" the operator would still pay up to R$ "&amp;TEXT($E$150/1000,"#.##0,0")&amp;" million (R$ "&amp;TEXT($E$151,"#.##0")&amp;"/m²)"</f>
        <v>Com yield de 8% o operador ainda pagaria até R$ 107,1 mi (R$ 14.285/m²)</v>
      </c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 spans="2:27" x14ac:dyDescent="0.2">
      <c r="B199" s="139" t="s">
        <v>616</v>
      </c>
      <c r="C199" s="10" t="str">
        <f>"Grupo Sirena NPV at that price: +R$ "&amp;TEXT($E$154/1000,"#.##0,0")&amp;" million, versus R$ "&amp;TEXT($E$121/1000,"#.##0,0")&amp;" million at the target-IRR price"</f>
        <v>VPL do Grupo Sirena nesse preço: +R$ 27,7 mi, contra R$ 2,2 mi no preço da TIR-alvo</v>
      </c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 spans="2:27" x14ac:dyDescent="0.2">
      <c r="B200" s="13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 spans="2:27" x14ac:dyDescent="0.2">
      <c r="B201" s="175" t="s">
        <v>621</v>
      </c>
      <c r="C201" s="169"/>
      <c r="D201" s="169"/>
      <c r="E201" s="169"/>
      <c r="F201" s="169"/>
      <c r="G201" s="169"/>
      <c r="H201" s="169"/>
      <c r="I201" s="169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2:27" x14ac:dyDescent="0.2">
      <c r="B202" s="139" t="s">
        <v>616</v>
      </c>
      <c r="C202" s="10" t="str">
        <f>"Calendar, rental and F&amp;B prices and fixed costs (R$ "&amp;TEXT($E$46/1000,"#.##0,0")&amp;" million/year) are estimates — validate with an operator"</f>
        <v>Calendário, preços de locação e A&amp;B e custos fixos (R$ 6,5 mi/ano) são estimativas — validar com operador</v>
      </c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 spans="2:27" x14ac:dyDescent="0.2">
      <c r="B203" s="139" t="s">
        <v>616</v>
      </c>
      <c r="C203" s="10" t="str">
        <f>"Market data from news reports citing CVB/PROMEGC and the Gramado Tourism Observatory (sources in the comments)"</f>
        <v>Dados de mercado de notícias que citam CVB/PROMEGC e Observatório do Turismo de Gramado (fontes nos comentários)</v>
      </c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 spans="2:27" x14ac:dyDescent="0.2">
      <c r="B204" s="139" t="s">
        <v>616</v>
      </c>
      <c r="C204" s="10" t="str">
        <f>"Booking depends on the CVB, Club Med and organizers (e.g. Rossi &amp; Zorzanello / Festuris); competition from Serra Park and Arena Gramadense"</f>
        <v>Captação depende de CVB, Club Med e organizadores (ex.: Rossi &amp; Zorzanello / Festuris); concorrência de Serra Park e Arena Gramadense</v>
      </c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 spans="2:27" x14ac:dyDescent="0.2">
      <c r="B205" s="139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</sheetData>
  <pageMargins left="0.511811024" right="0.511811024" top="0.78740157499999996" bottom="0.78740157499999996" header="0.31496062000000002" footer="0.31496062000000002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1FB7-B8FC-7A47-B283-8B6B24525A65}">
  <dimension ref="A1:FH272"/>
  <sheetViews>
    <sheetView showGridLines="0" workbookViewId="0">
      <pane xSplit="8" ySplit="7" topLeftCell="EB13" activePane="bottomRight" state="frozen"/>
      <selection pane="topRight" activeCell="I1" sqref="I1"/>
      <selection pane="bottomLeft" activeCell="A8" sqref="A8"/>
      <selection pane="bottomRight" activeCell="EC40" sqref="EC40"/>
    </sheetView>
  </sheetViews>
  <sheetFormatPr baseColWidth="10" defaultRowHeight="15" x14ac:dyDescent="0.2"/>
  <cols>
    <col min="1" max="1" width="1.6640625" customWidth="1"/>
    <col min="2" max="2" width="12.33203125" customWidth="1"/>
    <col min="3" max="3" width="55" customWidth="1"/>
    <col min="4" max="7" width="13" customWidth="1"/>
    <col min="8" max="8" width="13.33203125" customWidth="1"/>
    <col min="9" max="164" width="9.6640625" customWidth="1"/>
  </cols>
  <sheetData>
    <row r="1" spans="1:164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</row>
    <row r="2" spans="1:164" ht="16" x14ac:dyDescent="0.2">
      <c r="A2" s="10"/>
      <c r="B2" s="5" t="s">
        <v>818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</row>
    <row r="3" spans="1:164" x14ac:dyDescent="0.2">
      <c r="A3" s="10"/>
      <c r="B3" s="23" t="s">
        <v>819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</row>
    <row r="4" spans="1:164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</row>
    <row r="5" spans="1:164" x14ac:dyDescent="0.2">
      <c r="A5" s="10"/>
      <c r="B5" s="10"/>
      <c r="C5" s="10" t="s">
        <v>738</v>
      </c>
      <c r="D5" s="10"/>
      <c r="E5" s="10"/>
      <c r="F5" s="10"/>
      <c r="G5" s="10"/>
      <c r="H5" s="10"/>
      <c r="I5" s="194">
        <f>1</f>
        <v>1</v>
      </c>
      <c r="J5" s="194">
        <f t="shared" ref="J5:AO5" si="0">I5+1</f>
        <v>2</v>
      </c>
      <c r="K5" s="194">
        <f t="shared" si="0"/>
        <v>3</v>
      </c>
      <c r="L5" s="194">
        <f t="shared" si="0"/>
        <v>4</v>
      </c>
      <c r="M5" s="194">
        <f t="shared" si="0"/>
        <v>5</v>
      </c>
      <c r="N5" s="194">
        <f t="shared" si="0"/>
        <v>6</v>
      </c>
      <c r="O5" s="194">
        <f t="shared" si="0"/>
        <v>7</v>
      </c>
      <c r="P5" s="194">
        <f t="shared" si="0"/>
        <v>8</v>
      </c>
      <c r="Q5" s="194">
        <f t="shared" si="0"/>
        <v>9</v>
      </c>
      <c r="R5" s="194">
        <f t="shared" si="0"/>
        <v>10</v>
      </c>
      <c r="S5" s="194">
        <f t="shared" si="0"/>
        <v>11</v>
      </c>
      <c r="T5" s="194">
        <f t="shared" si="0"/>
        <v>12</v>
      </c>
      <c r="U5" s="194">
        <f t="shared" si="0"/>
        <v>13</v>
      </c>
      <c r="V5" s="194">
        <f t="shared" si="0"/>
        <v>14</v>
      </c>
      <c r="W5" s="194">
        <f t="shared" si="0"/>
        <v>15</v>
      </c>
      <c r="X5" s="194">
        <f t="shared" si="0"/>
        <v>16</v>
      </c>
      <c r="Y5" s="194">
        <f t="shared" si="0"/>
        <v>17</v>
      </c>
      <c r="Z5" s="194">
        <f t="shared" si="0"/>
        <v>18</v>
      </c>
      <c r="AA5" s="194">
        <f t="shared" si="0"/>
        <v>19</v>
      </c>
      <c r="AB5" s="194">
        <f t="shared" si="0"/>
        <v>20</v>
      </c>
      <c r="AC5" s="194">
        <f t="shared" si="0"/>
        <v>21</v>
      </c>
      <c r="AD5" s="194">
        <f t="shared" si="0"/>
        <v>22</v>
      </c>
      <c r="AE5" s="194">
        <f t="shared" si="0"/>
        <v>23</v>
      </c>
      <c r="AF5" s="194">
        <f t="shared" si="0"/>
        <v>24</v>
      </c>
      <c r="AG5" s="194">
        <f t="shared" si="0"/>
        <v>25</v>
      </c>
      <c r="AH5" s="194">
        <f t="shared" si="0"/>
        <v>26</v>
      </c>
      <c r="AI5" s="194">
        <f t="shared" si="0"/>
        <v>27</v>
      </c>
      <c r="AJ5" s="194">
        <f t="shared" si="0"/>
        <v>28</v>
      </c>
      <c r="AK5" s="194">
        <f t="shared" si="0"/>
        <v>29</v>
      </c>
      <c r="AL5" s="194">
        <f t="shared" si="0"/>
        <v>30</v>
      </c>
      <c r="AM5" s="194">
        <f t="shared" si="0"/>
        <v>31</v>
      </c>
      <c r="AN5" s="194">
        <f t="shared" si="0"/>
        <v>32</v>
      </c>
      <c r="AO5" s="194">
        <f t="shared" si="0"/>
        <v>33</v>
      </c>
      <c r="AP5" s="194">
        <f t="shared" ref="AP5:BU5" si="1">AO5+1</f>
        <v>34</v>
      </c>
      <c r="AQ5" s="194">
        <f t="shared" si="1"/>
        <v>35</v>
      </c>
      <c r="AR5" s="194">
        <f t="shared" si="1"/>
        <v>36</v>
      </c>
      <c r="AS5" s="194">
        <f t="shared" si="1"/>
        <v>37</v>
      </c>
      <c r="AT5" s="194">
        <f t="shared" si="1"/>
        <v>38</v>
      </c>
      <c r="AU5" s="194">
        <f t="shared" si="1"/>
        <v>39</v>
      </c>
      <c r="AV5" s="194">
        <f t="shared" si="1"/>
        <v>40</v>
      </c>
      <c r="AW5" s="194">
        <f t="shared" si="1"/>
        <v>41</v>
      </c>
      <c r="AX5" s="194">
        <f t="shared" si="1"/>
        <v>42</v>
      </c>
      <c r="AY5" s="194">
        <f t="shared" si="1"/>
        <v>43</v>
      </c>
      <c r="AZ5" s="194">
        <f t="shared" si="1"/>
        <v>44</v>
      </c>
      <c r="BA5" s="194">
        <f t="shared" si="1"/>
        <v>45</v>
      </c>
      <c r="BB5" s="194">
        <f t="shared" si="1"/>
        <v>46</v>
      </c>
      <c r="BC5" s="194">
        <f t="shared" si="1"/>
        <v>47</v>
      </c>
      <c r="BD5" s="194">
        <f t="shared" si="1"/>
        <v>48</v>
      </c>
      <c r="BE5" s="194">
        <f t="shared" si="1"/>
        <v>49</v>
      </c>
      <c r="BF5" s="194">
        <f t="shared" si="1"/>
        <v>50</v>
      </c>
      <c r="BG5" s="194">
        <f t="shared" si="1"/>
        <v>51</v>
      </c>
      <c r="BH5" s="194">
        <f t="shared" si="1"/>
        <v>52</v>
      </c>
      <c r="BI5" s="194">
        <f t="shared" si="1"/>
        <v>53</v>
      </c>
      <c r="BJ5" s="194">
        <f t="shared" si="1"/>
        <v>54</v>
      </c>
      <c r="BK5" s="194">
        <f t="shared" si="1"/>
        <v>55</v>
      </c>
      <c r="BL5" s="194">
        <f t="shared" si="1"/>
        <v>56</v>
      </c>
      <c r="BM5" s="194">
        <f t="shared" si="1"/>
        <v>57</v>
      </c>
      <c r="BN5" s="194">
        <f t="shared" si="1"/>
        <v>58</v>
      </c>
      <c r="BO5" s="194">
        <f t="shared" si="1"/>
        <v>59</v>
      </c>
      <c r="BP5" s="194">
        <f t="shared" si="1"/>
        <v>60</v>
      </c>
      <c r="BQ5" s="194">
        <f t="shared" si="1"/>
        <v>61</v>
      </c>
      <c r="BR5" s="194">
        <f t="shared" si="1"/>
        <v>62</v>
      </c>
      <c r="BS5" s="194">
        <f t="shared" si="1"/>
        <v>63</v>
      </c>
      <c r="BT5" s="194">
        <f t="shared" si="1"/>
        <v>64</v>
      </c>
      <c r="BU5" s="194">
        <f t="shared" si="1"/>
        <v>65</v>
      </c>
      <c r="BV5" s="194">
        <f t="shared" ref="BV5:DA5" si="2">BU5+1</f>
        <v>66</v>
      </c>
      <c r="BW5" s="194">
        <f t="shared" si="2"/>
        <v>67</v>
      </c>
      <c r="BX5" s="194">
        <f t="shared" si="2"/>
        <v>68</v>
      </c>
      <c r="BY5" s="194">
        <f t="shared" si="2"/>
        <v>69</v>
      </c>
      <c r="BZ5" s="194">
        <f t="shared" si="2"/>
        <v>70</v>
      </c>
      <c r="CA5" s="194">
        <f t="shared" si="2"/>
        <v>71</v>
      </c>
      <c r="CB5" s="194">
        <f t="shared" si="2"/>
        <v>72</v>
      </c>
      <c r="CC5" s="194">
        <f t="shared" si="2"/>
        <v>73</v>
      </c>
      <c r="CD5" s="194">
        <f t="shared" si="2"/>
        <v>74</v>
      </c>
      <c r="CE5" s="194">
        <f t="shared" si="2"/>
        <v>75</v>
      </c>
      <c r="CF5" s="194">
        <f t="shared" si="2"/>
        <v>76</v>
      </c>
      <c r="CG5" s="194">
        <f t="shared" si="2"/>
        <v>77</v>
      </c>
      <c r="CH5" s="194">
        <f t="shared" si="2"/>
        <v>78</v>
      </c>
      <c r="CI5" s="194">
        <f t="shared" si="2"/>
        <v>79</v>
      </c>
      <c r="CJ5" s="194">
        <f t="shared" si="2"/>
        <v>80</v>
      </c>
      <c r="CK5" s="194">
        <f t="shared" si="2"/>
        <v>81</v>
      </c>
      <c r="CL5" s="194">
        <f t="shared" si="2"/>
        <v>82</v>
      </c>
      <c r="CM5" s="194">
        <f t="shared" si="2"/>
        <v>83</v>
      </c>
      <c r="CN5" s="194">
        <f t="shared" si="2"/>
        <v>84</v>
      </c>
      <c r="CO5" s="194">
        <f t="shared" si="2"/>
        <v>85</v>
      </c>
      <c r="CP5" s="194">
        <f t="shared" si="2"/>
        <v>86</v>
      </c>
      <c r="CQ5" s="194">
        <f t="shared" si="2"/>
        <v>87</v>
      </c>
      <c r="CR5" s="194">
        <f t="shared" si="2"/>
        <v>88</v>
      </c>
      <c r="CS5" s="194">
        <f t="shared" si="2"/>
        <v>89</v>
      </c>
      <c r="CT5" s="194">
        <f t="shared" si="2"/>
        <v>90</v>
      </c>
      <c r="CU5" s="194">
        <f t="shared" si="2"/>
        <v>91</v>
      </c>
      <c r="CV5" s="194">
        <f t="shared" si="2"/>
        <v>92</v>
      </c>
      <c r="CW5" s="194">
        <f t="shared" si="2"/>
        <v>93</v>
      </c>
      <c r="CX5" s="194">
        <f t="shared" si="2"/>
        <v>94</v>
      </c>
      <c r="CY5" s="194">
        <f t="shared" si="2"/>
        <v>95</v>
      </c>
      <c r="CZ5" s="194">
        <f t="shared" si="2"/>
        <v>96</v>
      </c>
      <c r="DA5" s="194">
        <f t="shared" si="2"/>
        <v>97</v>
      </c>
      <c r="DB5" s="194">
        <f t="shared" ref="DB5:EG5" si="3">DA5+1</f>
        <v>98</v>
      </c>
      <c r="DC5" s="194">
        <f t="shared" si="3"/>
        <v>99</v>
      </c>
      <c r="DD5" s="194">
        <f t="shared" si="3"/>
        <v>100</v>
      </c>
      <c r="DE5" s="194">
        <f t="shared" si="3"/>
        <v>101</v>
      </c>
      <c r="DF5" s="194">
        <f t="shared" si="3"/>
        <v>102</v>
      </c>
      <c r="DG5" s="194">
        <f t="shared" si="3"/>
        <v>103</v>
      </c>
      <c r="DH5" s="194">
        <f t="shared" si="3"/>
        <v>104</v>
      </c>
      <c r="DI5" s="194">
        <f t="shared" si="3"/>
        <v>105</v>
      </c>
      <c r="DJ5" s="194">
        <f t="shared" si="3"/>
        <v>106</v>
      </c>
      <c r="DK5" s="194">
        <f t="shared" si="3"/>
        <v>107</v>
      </c>
      <c r="DL5" s="194">
        <f t="shared" si="3"/>
        <v>108</v>
      </c>
      <c r="DM5" s="194">
        <f t="shared" si="3"/>
        <v>109</v>
      </c>
      <c r="DN5" s="194">
        <f t="shared" si="3"/>
        <v>110</v>
      </c>
      <c r="DO5" s="194">
        <f t="shared" si="3"/>
        <v>111</v>
      </c>
      <c r="DP5" s="194">
        <f t="shared" si="3"/>
        <v>112</v>
      </c>
      <c r="DQ5" s="194">
        <f t="shared" si="3"/>
        <v>113</v>
      </c>
      <c r="DR5" s="194">
        <f t="shared" si="3"/>
        <v>114</v>
      </c>
      <c r="DS5" s="194">
        <f t="shared" si="3"/>
        <v>115</v>
      </c>
      <c r="DT5" s="194">
        <f t="shared" si="3"/>
        <v>116</v>
      </c>
      <c r="DU5" s="194">
        <f t="shared" si="3"/>
        <v>117</v>
      </c>
      <c r="DV5" s="194">
        <f t="shared" si="3"/>
        <v>118</v>
      </c>
      <c r="DW5" s="194">
        <f t="shared" si="3"/>
        <v>119</v>
      </c>
      <c r="DX5" s="194">
        <f t="shared" si="3"/>
        <v>120</v>
      </c>
      <c r="DY5" s="194">
        <f t="shared" si="3"/>
        <v>121</v>
      </c>
      <c r="DZ5" s="194">
        <f t="shared" si="3"/>
        <v>122</v>
      </c>
      <c r="EA5" s="194">
        <f t="shared" si="3"/>
        <v>123</v>
      </c>
      <c r="EB5" s="194">
        <f t="shared" si="3"/>
        <v>124</v>
      </c>
      <c r="EC5" s="194">
        <f t="shared" si="3"/>
        <v>125</v>
      </c>
      <c r="ED5" s="194">
        <f t="shared" si="3"/>
        <v>126</v>
      </c>
      <c r="EE5" s="194">
        <f t="shared" si="3"/>
        <v>127</v>
      </c>
      <c r="EF5" s="194">
        <f t="shared" si="3"/>
        <v>128</v>
      </c>
      <c r="EG5" s="194">
        <f t="shared" si="3"/>
        <v>129</v>
      </c>
      <c r="EH5" s="194">
        <f t="shared" ref="EH5:FH5" si="4">EG5+1</f>
        <v>130</v>
      </c>
      <c r="EI5" s="194">
        <f t="shared" si="4"/>
        <v>131</v>
      </c>
      <c r="EJ5" s="194">
        <f t="shared" si="4"/>
        <v>132</v>
      </c>
      <c r="EK5" s="194">
        <f t="shared" si="4"/>
        <v>133</v>
      </c>
      <c r="EL5" s="194">
        <f t="shared" si="4"/>
        <v>134</v>
      </c>
      <c r="EM5" s="194">
        <f t="shared" si="4"/>
        <v>135</v>
      </c>
      <c r="EN5" s="194">
        <f t="shared" si="4"/>
        <v>136</v>
      </c>
      <c r="EO5" s="194">
        <f t="shared" si="4"/>
        <v>137</v>
      </c>
      <c r="EP5" s="194">
        <f t="shared" si="4"/>
        <v>138</v>
      </c>
      <c r="EQ5" s="194">
        <f t="shared" si="4"/>
        <v>139</v>
      </c>
      <c r="ER5" s="194">
        <f t="shared" si="4"/>
        <v>140</v>
      </c>
      <c r="ES5" s="194">
        <f t="shared" si="4"/>
        <v>141</v>
      </c>
      <c r="ET5" s="194">
        <f t="shared" si="4"/>
        <v>142</v>
      </c>
      <c r="EU5" s="194">
        <f t="shared" si="4"/>
        <v>143</v>
      </c>
      <c r="EV5" s="194">
        <f t="shared" si="4"/>
        <v>144</v>
      </c>
      <c r="EW5" s="194">
        <f t="shared" si="4"/>
        <v>145</v>
      </c>
      <c r="EX5" s="194">
        <f t="shared" si="4"/>
        <v>146</v>
      </c>
      <c r="EY5" s="194">
        <f t="shared" si="4"/>
        <v>147</v>
      </c>
      <c r="EZ5" s="194">
        <f t="shared" si="4"/>
        <v>148</v>
      </c>
      <c r="FA5" s="194">
        <f t="shared" si="4"/>
        <v>149</v>
      </c>
      <c r="FB5" s="194">
        <f t="shared" si="4"/>
        <v>150</v>
      </c>
      <c r="FC5" s="194">
        <f t="shared" si="4"/>
        <v>151</v>
      </c>
      <c r="FD5" s="194">
        <f t="shared" si="4"/>
        <v>152</v>
      </c>
      <c r="FE5" s="194">
        <f t="shared" si="4"/>
        <v>153</v>
      </c>
      <c r="FF5" s="194">
        <f t="shared" si="4"/>
        <v>154</v>
      </c>
      <c r="FG5" s="194">
        <f t="shared" si="4"/>
        <v>155</v>
      </c>
      <c r="FH5" s="194">
        <f t="shared" si="4"/>
        <v>156</v>
      </c>
    </row>
    <row r="6" spans="1:164" x14ac:dyDescent="0.2">
      <c r="A6" s="10"/>
      <c r="B6" s="24" t="s">
        <v>678</v>
      </c>
      <c r="C6" s="24"/>
      <c r="D6" s="26" t="s">
        <v>820</v>
      </c>
      <c r="E6" s="26" t="s">
        <v>821</v>
      </c>
      <c r="F6" s="26" t="s">
        <v>822</v>
      </c>
      <c r="G6" s="26" t="s">
        <v>823</v>
      </c>
      <c r="H6" s="26"/>
      <c r="I6" s="207">
        <f>$D$10</f>
        <v>46388</v>
      </c>
      <c r="J6" s="207">
        <f t="shared" ref="J6:AO6" si="5">EDATE(I6,1)</f>
        <v>46419</v>
      </c>
      <c r="K6" s="207">
        <f t="shared" si="5"/>
        <v>46447</v>
      </c>
      <c r="L6" s="207">
        <f t="shared" si="5"/>
        <v>46478</v>
      </c>
      <c r="M6" s="207">
        <f t="shared" si="5"/>
        <v>46508</v>
      </c>
      <c r="N6" s="207">
        <f t="shared" si="5"/>
        <v>46539</v>
      </c>
      <c r="O6" s="207">
        <f t="shared" si="5"/>
        <v>46569</v>
      </c>
      <c r="P6" s="207">
        <f t="shared" si="5"/>
        <v>46600</v>
      </c>
      <c r="Q6" s="207">
        <f t="shared" si="5"/>
        <v>46631</v>
      </c>
      <c r="R6" s="207">
        <f t="shared" si="5"/>
        <v>46661</v>
      </c>
      <c r="S6" s="207">
        <f t="shared" si="5"/>
        <v>46692</v>
      </c>
      <c r="T6" s="207">
        <f t="shared" si="5"/>
        <v>46722</v>
      </c>
      <c r="U6" s="207">
        <f t="shared" si="5"/>
        <v>46753</v>
      </c>
      <c r="V6" s="207">
        <f t="shared" si="5"/>
        <v>46784</v>
      </c>
      <c r="W6" s="207">
        <f t="shared" si="5"/>
        <v>46813</v>
      </c>
      <c r="X6" s="207">
        <f t="shared" si="5"/>
        <v>46844</v>
      </c>
      <c r="Y6" s="207">
        <f t="shared" si="5"/>
        <v>46874</v>
      </c>
      <c r="Z6" s="207">
        <f t="shared" si="5"/>
        <v>46905</v>
      </c>
      <c r="AA6" s="207">
        <f t="shared" si="5"/>
        <v>46935</v>
      </c>
      <c r="AB6" s="207">
        <f t="shared" si="5"/>
        <v>46966</v>
      </c>
      <c r="AC6" s="207">
        <f t="shared" si="5"/>
        <v>46997</v>
      </c>
      <c r="AD6" s="207">
        <f t="shared" si="5"/>
        <v>47027</v>
      </c>
      <c r="AE6" s="207">
        <f t="shared" si="5"/>
        <v>47058</v>
      </c>
      <c r="AF6" s="207">
        <f t="shared" si="5"/>
        <v>47088</v>
      </c>
      <c r="AG6" s="207">
        <f t="shared" si="5"/>
        <v>47119</v>
      </c>
      <c r="AH6" s="207">
        <f t="shared" si="5"/>
        <v>47150</v>
      </c>
      <c r="AI6" s="207">
        <f t="shared" si="5"/>
        <v>47178</v>
      </c>
      <c r="AJ6" s="207">
        <f t="shared" si="5"/>
        <v>47209</v>
      </c>
      <c r="AK6" s="207">
        <f t="shared" si="5"/>
        <v>47239</v>
      </c>
      <c r="AL6" s="207">
        <f t="shared" si="5"/>
        <v>47270</v>
      </c>
      <c r="AM6" s="207">
        <f t="shared" si="5"/>
        <v>47300</v>
      </c>
      <c r="AN6" s="207">
        <f t="shared" si="5"/>
        <v>47331</v>
      </c>
      <c r="AO6" s="207">
        <f t="shared" si="5"/>
        <v>47362</v>
      </c>
      <c r="AP6" s="207">
        <f t="shared" ref="AP6:BU6" si="6">EDATE(AO6,1)</f>
        <v>47392</v>
      </c>
      <c r="AQ6" s="207">
        <f t="shared" si="6"/>
        <v>47423</v>
      </c>
      <c r="AR6" s="207">
        <f t="shared" si="6"/>
        <v>47453</v>
      </c>
      <c r="AS6" s="207">
        <f t="shared" si="6"/>
        <v>47484</v>
      </c>
      <c r="AT6" s="207">
        <f t="shared" si="6"/>
        <v>47515</v>
      </c>
      <c r="AU6" s="207">
        <f t="shared" si="6"/>
        <v>47543</v>
      </c>
      <c r="AV6" s="207">
        <f t="shared" si="6"/>
        <v>47574</v>
      </c>
      <c r="AW6" s="207">
        <f t="shared" si="6"/>
        <v>47604</v>
      </c>
      <c r="AX6" s="207">
        <f t="shared" si="6"/>
        <v>47635</v>
      </c>
      <c r="AY6" s="207">
        <f t="shared" si="6"/>
        <v>47665</v>
      </c>
      <c r="AZ6" s="207">
        <f t="shared" si="6"/>
        <v>47696</v>
      </c>
      <c r="BA6" s="207">
        <f t="shared" si="6"/>
        <v>47727</v>
      </c>
      <c r="BB6" s="207">
        <f t="shared" si="6"/>
        <v>47757</v>
      </c>
      <c r="BC6" s="207">
        <f t="shared" si="6"/>
        <v>47788</v>
      </c>
      <c r="BD6" s="207">
        <f t="shared" si="6"/>
        <v>47818</v>
      </c>
      <c r="BE6" s="207">
        <f t="shared" si="6"/>
        <v>47849</v>
      </c>
      <c r="BF6" s="207">
        <f t="shared" si="6"/>
        <v>47880</v>
      </c>
      <c r="BG6" s="207">
        <f t="shared" si="6"/>
        <v>47908</v>
      </c>
      <c r="BH6" s="207">
        <f t="shared" si="6"/>
        <v>47939</v>
      </c>
      <c r="BI6" s="207">
        <f t="shared" si="6"/>
        <v>47969</v>
      </c>
      <c r="BJ6" s="207">
        <f t="shared" si="6"/>
        <v>48000</v>
      </c>
      <c r="BK6" s="207">
        <f t="shared" si="6"/>
        <v>48030</v>
      </c>
      <c r="BL6" s="207">
        <f t="shared" si="6"/>
        <v>48061</v>
      </c>
      <c r="BM6" s="207">
        <f t="shared" si="6"/>
        <v>48092</v>
      </c>
      <c r="BN6" s="207">
        <f t="shared" si="6"/>
        <v>48122</v>
      </c>
      <c r="BO6" s="207">
        <f t="shared" si="6"/>
        <v>48153</v>
      </c>
      <c r="BP6" s="207">
        <f t="shared" si="6"/>
        <v>48183</v>
      </c>
      <c r="BQ6" s="207">
        <f t="shared" si="6"/>
        <v>48214</v>
      </c>
      <c r="BR6" s="207">
        <f t="shared" si="6"/>
        <v>48245</v>
      </c>
      <c r="BS6" s="207">
        <f t="shared" si="6"/>
        <v>48274</v>
      </c>
      <c r="BT6" s="207">
        <f t="shared" si="6"/>
        <v>48305</v>
      </c>
      <c r="BU6" s="207">
        <f t="shared" si="6"/>
        <v>48335</v>
      </c>
      <c r="BV6" s="207">
        <f t="shared" ref="BV6:DA6" si="7">EDATE(BU6,1)</f>
        <v>48366</v>
      </c>
      <c r="BW6" s="207">
        <f t="shared" si="7"/>
        <v>48396</v>
      </c>
      <c r="BX6" s="207">
        <f t="shared" si="7"/>
        <v>48427</v>
      </c>
      <c r="BY6" s="207">
        <f t="shared" si="7"/>
        <v>48458</v>
      </c>
      <c r="BZ6" s="207">
        <f t="shared" si="7"/>
        <v>48488</v>
      </c>
      <c r="CA6" s="207">
        <f t="shared" si="7"/>
        <v>48519</v>
      </c>
      <c r="CB6" s="207">
        <f t="shared" si="7"/>
        <v>48549</v>
      </c>
      <c r="CC6" s="207">
        <f t="shared" si="7"/>
        <v>48580</v>
      </c>
      <c r="CD6" s="207">
        <f t="shared" si="7"/>
        <v>48611</v>
      </c>
      <c r="CE6" s="207">
        <f t="shared" si="7"/>
        <v>48639</v>
      </c>
      <c r="CF6" s="207">
        <f t="shared" si="7"/>
        <v>48670</v>
      </c>
      <c r="CG6" s="207">
        <f t="shared" si="7"/>
        <v>48700</v>
      </c>
      <c r="CH6" s="207">
        <f t="shared" si="7"/>
        <v>48731</v>
      </c>
      <c r="CI6" s="207">
        <f t="shared" si="7"/>
        <v>48761</v>
      </c>
      <c r="CJ6" s="207">
        <f t="shared" si="7"/>
        <v>48792</v>
      </c>
      <c r="CK6" s="207">
        <f t="shared" si="7"/>
        <v>48823</v>
      </c>
      <c r="CL6" s="207">
        <f t="shared" si="7"/>
        <v>48853</v>
      </c>
      <c r="CM6" s="207">
        <f t="shared" si="7"/>
        <v>48884</v>
      </c>
      <c r="CN6" s="207">
        <f t="shared" si="7"/>
        <v>48914</v>
      </c>
      <c r="CO6" s="207">
        <f t="shared" si="7"/>
        <v>48945</v>
      </c>
      <c r="CP6" s="207">
        <f t="shared" si="7"/>
        <v>48976</v>
      </c>
      <c r="CQ6" s="207">
        <f t="shared" si="7"/>
        <v>49004</v>
      </c>
      <c r="CR6" s="207">
        <f t="shared" si="7"/>
        <v>49035</v>
      </c>
      <c r="CS6" s="207">
        <f t="shared" si="7"/>
        <v>49065</v>
      </c>
      <c r="CT6" s="207">
        <f t="shared" si="7"/>
        <v>49096</v>
      </c>
      <c r="CU6" s="207">
        <f t="shared" si="7"/>
        <v>49126</v>
      </c>
      <c r="CV6" s="207">
        <f t="shared" si="7"/>
        <v>49157</v>
      </c>
      <c r="CW6" s="207">
        <f t="shared" si="7"/>
        <v>49188</v>
      </c>
      <c r="CX6" s="207">
        <f t="shared" si="7"/>
        <v>49218</v>
      </c>
      <c r="CY6" s="207">
        <f t="shared" si="7"/>
        <v>49249</v>
      </c>
      <c r="CZ6" s="207">
        <f t="shared" si="7"/>
        <v>49279</v>
      </c>
      <c r="DA6" s="207">
        <f t="shared" si="7"/>
        <v>49310</v>
      </c>
      <c r="DB6" s="207">
        <f t="shared" ref="DB6:EG6" si="8">EDATE(DA6,1)</f>
        <v>49341</v>
      </c>
      <c r="DC6" s="207">
        <f t="shared" si="8"/>
        <v>49369</v>
      </c>
      <c r="DD6" s="207">
        <f t="shared" si="8"/>
        <v>49400</v>
      </c>
      <c r="DE6" s="207">
        <f t="shared" si="8"/>
        <v>49430</v>
      </c>
      <c r="DF6" s="207">
        <f t="shared" si="8"/>
        <v>49461</v>
      </c>
      <c r="DG6" s="207">
        <f t="shared" si="8"/>
        <v>49491</v>
      </c>
      <c r="DH6" s="207">
        <f t="shared" si="8"/>
        <v>49522</v>
      </c>
      <c r="DI6" s="207">
        <f t="shared" si="8"/>
        <v>49553</v>
      </c>
      <c r="DJ6" s="207">
        <f t="shared" si="8"/>
        <v>49583</v>
      </c>
      <c r="DK6" s="207">
        <f t="shared" si="8"/>
        <v>49614</v>
      </c>
      <c r="DL6" s="207">
        <f t="shared" si="8"/>
        <v>49644</v>
      </c>
      <c r="DM6" s="207">
        <f t="shared" si="8"/>
        <v>49675</v>
      </c>
      <c r="DN6" s="207">
        <f t="shared" si="8"/>
        <v>49706</v>
      </c>
      <c r="DO6" s="207">
        <f t="shared" si="8"/>
        <v>49735</v>
      </c>
      <c r="DP6" s="207">
        <f t="shared" si="8"/>
        <v>49766</v>
      </c>
      <c r="DQ6" s="207">
        <f t="shared" si="8"/>
        <v>49796</v>
      </c>
      <c r="DR6" s="207">
        <f t="shared" si="8"/>
        <v>49827</v>
      </c>
      <c r="DS6" s="207">
        <f t="shared" si="8"/>
        <v>49857</v>
      </c>
      <c r="DT6" s="207">
        <f t="shared" si="8"/>
        <v>49888</v>
      </c>
      <c r="DU6" s="207">
        <f t="shared" si="8"/>
        <v>49919</v>
      </c>
      <c r="DV6" s="207">
        <f t="shared" si="8"/>
        <v>49949</v>
      </c>
      <c r="DW6" s="207">
        <f t="shared" si="8"/>
        <v>49980</v>
      </c>
      <c r="DX6" s="207">
        <f t="shared" si="8"/>
        <v>50010</v>
      </c>
      <c r="DY6" s="207">
        <f t="shared" si="8"/>
        <v>50041</v>
      </c>
      <c r="DZ6" s="207">
        <f t="shared" si="8"/>
        <v>50072</v>
      </c>
      <c r="EA6" s="207">
        <f t="shared" si="8"/>
        <v>50100</v>
      </c>
      <c r="EB6" s="207">
        <f t="shared" si="8"/>
        <v>50131</v>
      </c>
      <c r="EC6" s="207">
        <f t="shared" si="8"/>
        <v>50161</v>
      </c>
      <c r="ED6" s="207">
        <f t="shared" si="8"/>
        <v>50192</v>
      </c>
      <c r="EE6" s="207">
        <f t="shared" si="8"/>
        <v>50222</v>
      </c>
      <c r="EF6" s="207">
        <f t="shared" si="8"/>
        <v>50253</v>
      </c>
      <c r="EG6" s="207">
        <f t="shared" si="8"/>
        <v>50284</v>
      </c>
      <c r="EH6" s="207">
        <f t="shared" ref="EH6:FH6" si="9">EDATE(EG6,1)</f>
        <v>50314</v>
      </c>
      <c r="EI6" s="207">
        <f t="shared" si="9"/>
        <v>50345</v>
      </c>
      <c r="EJ6" s="207">
        <f t="shared" si="9"/>
        <v>50375</v>
      </c>
      <c r="EK6" s="207">
        <f t="shared" si="9"/>
        <v>50406</v>
      </c>
      <c r="EL6" s="207">
        <f t="shared" si="9"/>
        <v>50437</v>
      </c>
      <c r="EM6" s="207">
        <f t="shared" si="9"/>
        <v>50465</v>
      </c>
      <c r="EN6" s="207">
        <f t="shared" si="9"/>
        <v>50496</v>
      </c>
      <c r="EO6" s="207">
        <f t="shared" si="9"/>
        <v>50526</v>
      </c>
      <c r="EP6" s="207">
        <f t="shared" si="9"/>
        <v>50557</v>
      </c>
      <c r="EQ6" s="207">
        <f t="shared" si="9"/>
        <v>50587</v>
      </c>
      <c r="ER6" s="207">
        <f t="shared" si="9"/>
        <v>50618</v>
      </c>
      <c r="ES6" s="207">
        <f t="shared" si="9"/>
        <v>50649</v>
      </c>
      <c r="ET6" s="207">
        <f t="shared" si="9"/>
        <v>50679</v>
      </c>
      <c r="EU6" s="207">
        <f t="shared" si="9"/>
        <v>50710</v>
      </c>
      <c r="EV6" s="207">
        <f t="shared" si="9"/>
        <v>50740</v>
      </c>
      <c r="EW6" s="207">
        <f t="shared" si="9"/>
        <v>50771</v>
      </c>
      <c r="EX6" s="207">
        <f t="shared" si="9"/>
        <v>50802</v>
      </c>
      <c r="EY6" s="207">
        <f t="shared" si="9"/>
        <v>50830</v>
      </c>
      <c r="EZ6" s="207">
        <f t="shared" si="9"/>
        <v>50861</v>
      </c>
      <c r="FA6" s="207">
        <f t="shared" si="9"/>
        <v>50891</v>
      </c>
      <c r="FB6" s="207">
        <f t="shared" si="9"/>
        <v>50922</v>
      </c>
      <c r="FC6" s="207">
        <f t="shared" si="9"/>
        <v>50952</v>
      </c>
      <c r="FD6" s="207">
        <f t="shared" si="9"/>
        <v>50983</v>
      </c>
      <c r="FE6" s="207">
        <f t="shared" si="9"/>
        <v>51014</v>
      </c>
      <c r="FF6" s="207">
        <f t="shared" si="9"/>
        <v>51044</v>
      </c>
      <c r="FG6" s="207">
        <f t="shared" si="9"/>
        <v>51075</v>
      </c>
      <c r="FH6" s="207">
        <f t="shared" si="9"/>
        <v>51105</v>
      </c>
    </row>
    <row r="7" spans="1:164" x14ac:dyDescent="0.2">
      <c r="A7" s="10"/>
      <c r="B7" s="10"/>
      <c r="C7" s="10" t="s">
        <v>739</v>
      </c>
      <c r="D7" s="17"/>
      <c r="E7" s="17"/>
      <c r="F7" s="17"/>
      <c r="G7" s="17"/>
      <c r="H7" s="17"/>
      <c r="I7" s="203">
        <f t="shared" ref="I7:AN7" si="10">YEAR(I6)</f>
        <v>2027</v>
      </c>
      <c r="J7" s="203">
        <f t="shared" si="10"/>
        <v>2027</v>
      </c>
      <c r="K7" s="203">
        <f t="shared" si="10"/>
        <v>2027</v>
      </c>
      <c r="L7" s="203">
        <f t="shared" si="10"/>
        <v>2027</v>
      </c>
      <c r="M7" s="203">
        <f t="shared" si="10"/>
        <v>2027</v>
      </c>
      <c r="N7" s="203">
        <f t="shared" si="10"/>
        <v>2027</v>
      </c>
      <c r="O7" s="203">
        <f t="shared" si="10"/>
        <v>2027</v>
      </c>
      <c r="P7" s="203">
        <f t="shared" si="10"/>
        <v>2027</v>
      </c>
      <c r="Q7" s="203">
        <f t="shared" si="10"/>
        <v>2027</v>
      </c>
      <c r="R7" s="203">
        <f t="shared" si="10"/>
        <v>2027</v>
      </c>
      <c r="S7" s="203">
        <f t="shared" si="10"/>
        <v>2027</v>
      </c>
      <c r="T7" s="203">
        <f t="shared" si="10"/>
        <v>2027</v>
      </c>
      <c r="U7" s="203">
        <f t="shared" si="10"/>
        <v>2028</v>
      </c>
      <c r="V7" s="203">
        <f t="shared" si="10"/>
        <v>2028</v>
      </c>
      <c r="W7" s="203">
        <f t="shared" si="10"/>
        <v>2028</v>
      </c>
      <c r="X7" s="203">
        <f t="shared" si="10"/>
        <v>2028</v>
      </c>
      <c r="Y7" s="203">
        <f t="shared" si="10"/>
        <v>2028</v>
      </c>
      <c r="Z7" s="203">
        <f t="shared" si="10"/>
        <v>2028</v>
      </c>
      <c r="AA7" s="203">
        <f t="shared" si="10"/>
        <v>2028</v>
      </c>
      <c r="AB7" s="203">
        <f t="shared" si="10"/>
        <v>2028</v>
      </c>
      <c r="AC7" s="203">
        <f t="shared" si="10"/>
        <v>2028</v>
      </c>
      <c r="AD7" s="203">
        <f t="shared" si="10"/>
        <v>2028</v>
      </c>
      <c r="AE7" s="203">
        <f t="shared" si="10"/>
        <v>2028</v>
      </c>
      <c r="AF7" s="203">
        <f t="shared" si="10"/>
        <v>2028</v>
      </c>
      <c r="AG7" s="203">
        <f t="shared" si="10"/>
        <v>2029</v>
      </c>
      <c r="AH7" s="203">
        <f t="shared" si="10"/>
        <v>2029</v>
      </c>
      <c r="AI7" s="203">
        <f t="shared" si="10"/>
        <v>2029</v>
      </c>
      <c r="AJ7" s="203">
        <f t="shared" si="10"/>
        <v>2029</v>
      </c>
      <c r="AK7" s="203">
        <f t="shared" si="10"/>
        <v>2029</v>
      </c>
      <c r="AL7" s="203">
        <f t="shared" si="10"/>
        <v>2029</v>
      </c>
      <c r="AM7" s="203">
        <f t="shared" si="10"/>
        <v>2029</v>
      </c>
      <c r="AN7" s="203">
        <f t="shared" si="10"/>
        <v>2029</v>
      </c>
      <c r="AO7" s="203">
        <f t="shared" ref="AO7:BT7" si="11">YEAR(AO6)</f>
        <v>2029</v>
      </c>
      <c r="AP7" s="203">
        <f t="shared" si="11"/>
        <v>2029</v>
      </c>
      <c r="AQ7" s="203">
        <f t="shared" si="11"/>
        <v>2029</v>
      </c>
      <c r="AR7" s="203">
        <f t="shared" si="11"/>
        <v>2029</v>
      </c>
      <c r="AS7" s="203">
        <f t="shared" si="11"/>
        <v>2030</v>
      </c>
      <c r="AT7" s="203">
        <f t="shared" si="11"/>
        <v>2030</v>
      </c>
      <c r="AU7" s="203">
        <f t="shared" si="11"/>
        <v>2030</v>
      </c>
      <c r="AV7" s="203">
        <f t="shared" si="11"/>
        <v>2030</v>
      </c>
      <c r="AW7" s="203">
        <f t="shared" si="11"/>
        <v>2030</v>
      </c>
      <c r="AX7" s="203">
        <f t="shared" si="11"/>
        <v>2030</v>
      </c>
      <c r="AY7" s="203">
        <f t="shared" si="11"/>
        <v>2030</v>
      </c>
      <c r="AZ7" s="203">
        <f t="shared" si="11"/>
        <v>2030</v>
      </c>
      <c r="BA7" s="203">
        <f t="shared" si="11"/>
        <v>2030</v>
      </c>
      <c r="BB7" s="203">
        <f t="shared" si="11"/>
        <v>2030</v>
      </c>
      <c r="BC7" s="203">
        <f t="shared" si="11"/>
        <v>2030</v>
      </c>
      <c r="BD7" s="203">
        <f t="shared" si="11"/>
        <v>2030</v>
      </c>
      <c r="BE7" s="203">
        <f t="shared" si="11"/>
        <v>2031</v>
      </c>
      <c r="BF7" s="203">
        <f t="shared" si="11"/>
        <v>2031</v>
      </c>
      <c r="BG7" s="203">
        <f t="shared" si="11"/>
        <v>2031</v>
      </c>
      <c r="BH7" s="203">
        <f t="shared" si="11"/>
        <v>2031</v>
      </c>
      <c r="BI7" s="203">
        <f t="shared" si="11"/>
        <v>2031</v>
      </c>
      <c r="BJ7" s="203">
        <f t="shared" si="11"/>
        <v>2031</v>
      </c>
      <c r="BK7" s="203">
        <f t="shared" si="11"/>
        <v>2031</v>
      </c>
      <c r="BL7" s="203">
        <f t="shared" si="11"/>
        <v>2031</v>
      </c>
      <c r="BM7" s="203">
        <f t="shared" si="11"/>
        <v>2031</v>
      </c>
      <c r="BN7" s="203">
        <f t="shared" si="11"/>
        <v>2031</v>
      </c>
      <c r="BO7" s="203">
        <f t="shared" si="11"/>
        <v>2031</v>
      </c>
      <c r="BP7" s="203">
        <f t="shared" si="11"/>
        <v>2031</v>
      </c>
      <c r="BQ7" s="203">
        <f t="shared" si="11"/>
        <v>2032</v>
      </c>
      <c r="BR7" s="203">
        <f t="shared" si="11"/>
        <v>2032</v>
      </c>
      <c r="BS7" s="203">
        <f t="shared" si="11"/>
        <v>2032</v>
      </c>
      <c r="BT7" s="203">
        <f t="shared" si="11"/>
        <v>2032</v>
      </c>
      <c r="BU7" s="203">
        <f t="shared" ref="BU7:CZ7" si="12">YEAR(BU6)</f>
        <v>2032</v>
      </c>
      <c r="BV7" s="203">
        <f t="shared" si="12"/>
        <v>2032</v>
      </c>
      <c r="BW7" s="203">
        <f t="shared" si="12"/>
        <v>2032</v>
      </c>
      <c r="BX7" s="203">
        <f t="shared" si="12"/>
        <v>2032</v>
      </c>
      <c r="BY7" s="203">
        <f t="shared" si="12"/>
        <v>2032</v>
      </c>
      <c r="BZ7" s="203">
        <f t="shared" si="12"/>
        <v>2032</v>
      </c>
      <c r="CA7" s="203">
        <f t="shared" si="12"/>
        <v>2032</v>
      </c>
      <c r="CB7" s="203">
        <f t="shared" si="12"/>
        <v>2032</v>
      </c>
      <c r="CC7" s="203">
        <f t="shared" si="12"/>
        <v>2033</v>
      </c>
      <c r="CD7" s="203">
        <f t="shared" si="12"/>
        <v>2033</v>
      </c>
      <c r="CE7" s="203">
        <f t="shared" si="12"/>
        <v>2033</v>
      </c>
      <c r="CF7" s="203">
        <f t="shared" si="12"/>
        <v>2033</v>
      </c>
      <c r="CG7" s="203">
        <f t="shared" si="12"/>
        <v>2033</v>
      </c>
      <c r="CH7" s="203">
        <f t="shared" si="12"/>
        <v>2033</v>
      </c>
      <c r="CI7" s="203">
        <f t="shared" si="12"/>
        <v>2033</v>
      </c>
      <c r="CJ7" s="203">
        <f t="shared" si="12"/>
        <v>2033</v>
      </c>
      <c r="CK7" s="203">
        <f t="shared" si="12"/>
        <v>2033</v>
      </c>
      <c r="CL7" s="203">
        <f t="shared" si="12"/>
        <v>2033</v>
      </c>
      <c r="CM7" s="203">
        <f t="shared" si="12"/>
        <v>2033</v>
      </c>
      <c r="CN7" s="203">
        <f t="shared" si="12"/>
        <v>2033</v>
      </c>
      <c r="CO7" s="203">
        <f t="shared" si="12"/>
        <v>2034</v>
      </c>
      <c r="CP7" s="203">
        <f t="shared" si="12"/>
        <v>2034</v>
      </c>
      <c r="CQ7" s="203">
        <f t="shared" si="12"/>
        <v>2034</v>
      </c>
      <c r="CR7" s="203">
        <f t="shared" si="12"/>
        <v>2034</v>
      </c>
      <c r="CS7" s="203">
        <f t="shared" si="12"/>
        <v>2034</v>
      </c>
      <c r="CT7" s="203">
        <f t="shared" si="12"/>
        <v>2034</v>
      </c>
      <c r="CU7" s="203">
        <f t="shared" si="12"/>
        <v>2034</v>
      </c>
      <c r="CV7" s="203">
        <f t="shared" si="12"/>
        <v>2034</v>
      </c>
      <c r="CW7" s="203">
        <f t="shared" si="12"/>
        <v>2034</v>
      </c>
      <c r="CX7" s="203">
        <f t="shared" si="12"/>
        <v>2034</v>
      </c>
      <c r="CY7" s="203">
        <f t="shared" si="12"/>
        <v>2034</v>
      </c>
      <c r="CZ7" s="203">
        <f t="shared" si="12"/>
        <v>2034</v>
      </c>
      <c r="DA7" s="203">
        <f t="shared" ref="DA7:EF7" si="13">YEAR(DA6)</f>
        <v>2035</v>
      </c>
      <c r="DB7" s="203">
        <f t="shared" si="13"/>
        <v>2035</v>
      </c>
      <c r="DC7" s="203">
        <f t="shared" si="13"/>
        <v>2035</v>
      </c>
      <c r="DD7" s="203">
        <f t="shared" si="13"/>
        <v>2035</v>
      </c>
      <c r="DE7" s="203">
        <f t="shared" si="13"/>
        <v>2035</v>
      </c>
      <c r="DF7" s="203">
        <f t="shared" si="13"/>
        <v>2035</v>
      </c>
      <c r="DG7" s="203">
        <f t="shared" si="13"/>
        <v>2035</v>
      </c>
      <c r="DH7" s="203">
        <f t="shared" si="13"/>
        <v>2035</v>
      </c>
      <c r="DI7" s="203">
        <f t="shared" si="13"/>
        <v>2035</v>
      </c>
      <c r="DJ7" s="203">
        <f t="shared" si="13"/>
        <v>2035</v>
      </c>
      <c r="DK7" s="203">
        <f t="shared" si="13"/>
        <v>2035</v>
      </c>
      <c r="DL7" s="203">
        <f t="shared" si="13"/>
        <v>2035</v>
      </c>
      <c r="DM7" s="203">
        <f t="shared" si="13"/>
        <v>2036</v>
      </c>
      <c r="DN7" s="203">
        <f t="shared" si="13"/>
        <v>2036</v>
      </c>
      <c r="DO7" s="203">
        <f t="shared" si="13"/>
        <v>2036</v>
      </c>
      <c r="DP7" s="203">
        <f t="shared" si="13"/>
        <v>2036</v>
      </c>
      <c r="DQ7" s="203">
        <f t="shared" si="13"/>
        <v>2036</v>
      </c>
      <c r="DR7" s="203">
        <f t="shared" si="13"/>
        <v>2036</v>
      </c>
      <c r="DS7" s="203">
        <f t="shared" si="13"/>
        <v>2036</v>
      </c>
      <c r="DT7" s="203">
        <f t="shared" si="13"/>
        <v>2036</v>
      </c>
      <c r="DU7" s="203">
        <f t="shared" si="13"/>
        <v>2036</v>
      </c>
      <c r="DV7" s="203">
        <f t="shared" si="13"/>
        <v>2036</v>
      </c>
      <c r="DW7" s="203">
        <f t="shared" si="13"/>
        <v>2036</v>
      </c>
      <c r="DX7" s="203">
        <f t="shared" si="13"/>
        <v>2036</v>
      </c>
      <c r="DY7" s="203">
        <f t="shared" si="13"/>
        <v>2037</v>
      </c>
      <c r="DZ7" s="203">
        <f t="shared" si="13"/>
        <v>2037</v>
      </c>
      <c r="EA7" s="203">
        <f t="shared" si="13"/>
        <v>2037</v>
      </c>
      <c r="EB7" s="203">
        <f t="shared" si="13"/>
        <v>2037</v>
      </c>
      <c r="EC7" s="203">
        <f t="shared" si="13"/>
        <v>2037</v>
      </c>
      <c r="ED7" s="203">
        <f t="shared" si="13"/>
        <v>2037</v>
      </c>
      <c r="EE7" s="203">
        <f t="shared" si="13"/>
        <v>2037</v>
      </c>
      <c r="EF7" s="203">
        <f t="shared" si="13"/>
        <v>2037</v>
      </c>
      <c r="EG7" s="203">
        <f t="shared" ref="EG7:FH7" si="14">YEAR(EG6)</f>
        <v>2037</v>
      </c>
      <c r="EH7" s="203">
        <f t="shared" si="14"/>
        <v>2037</v>
      </c>
      <c r="EI7" s="203">
        <f t="shared" si="14"/>
        <v>2037</v>
      </c>
      <c r="EJ7" s="203">
        <f t="shared" si="14"/>
        <v>2037</v>
      </c>
      <c r="EK7" s="203">
        <f t="shared" si="14"/>
        <v>2038</v>
      </c>
      <c r="EL7" s="203">
        <f t="shared" si="14"/>
        <v>2038</v>
      </c>
      <c r="EM7" s="203">
        <f t="shared" si="14"/>
        <v>2038</v>
      </c>
      <c r="EN7" s="203">
        <f t="shared" si="14"/>
        <v>2038</v>
      </c>
      <c r="EO7" s="203">
        <f t="shared" si="14"/>
        <v>2038</v>
      </c>
      <c r="EP7" s="203">
        <f t="shared" si="14"/>
        <v>2038</v>
      </c>
      <c r="EQ7" s="203">
        <f t="shared" si="14"/>
        <v>2038</v>
      </c>
      <c r="ER7" s="203">
        <f t="shared" si="14"/>
        <v>2038</v>
      </c>
      <c r="ES7" s="203">
        <f t="shared" si="14"/>
        <v>2038</v>
      </c>
      <c r="ET7" s="203">
        <f t="shared" si="14"/>
        <v>2038</v>
      </c>
      <c r="EU7" s="203">
        <f t="shared" si="14"/>
        <v>2038</v>
      </c>
      <c r="EV7" s="203">
        <f t="shared" si="14"/>
        <v>2038</v>
      </c>
      <c r="EW7" s="203">
        <f t="shared" si="14"/>
        <v>2039</v>
      </c>
      <c r="EX7" s="203">
        <f t="shared" si="14"/>
        <v>2039</v>
      </c>
      <c r="EY7" s="203">
        <f t="shared" si="14"/>
        <v>2039</v>
      </c>
      <c r="EZ7" s="203">
        <f t="shared" si="14"/>
        <v>2039</v>
      </c>
      <c r="FA7" s="203">
        <f t="shared" si="14"/>
        <v>2039</v>
      </c>
      <c r="FB7" s="203">
        <f t="shared" si="14"/>
        <v>2039</v>
      </c>
      <c r="FC7" s="203">
        <f t="shared" si="14"/>
        <v>2039</v>
      </c>
      <c r="FD7" s="203">
        <f t="shared" si="14"/>
        <v>2039</v>
      </c>
      <c r="FE7" s="203">
        <f t="shared" si="14"/>
        <v>2039</v>
      </c>
      <c r="FF7" s="203">
        <f t="shared" si="14"/>
        <v>2039</v>
      </c>
      <c r="FG7" s="203">
        <f t="shared" si="14"/>
        <v>2039</v>
      </c>
      <c r="FH7" s="203">
        <f t="shared" si="14"/>
        <v>2039</v>
      </c>
    </row>
    <row r="8" spans="1:16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</row>
    <row r="9" spans="1:164" x14ac:dyDescent="0.2">
      <c r="A9" s="10"/>
      <c r="B9" s="24" t="s">
        <v>683</v>
      </c>
      <c r="C9" s="24"/>
      <c r="D9" s="24"/>
      <c r="E9" s="24"/>
      <c r="F9" s="24"/>
      <c r="G9" s="24"/>
      <c r="H9" s="2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</row>
    <row r="10" spans="1:164" x14ac:dyDescent="0.2">
      <c r="A10" s="10"/>
      <c r="B10" s="10"/>
      <c r="C10" s="10" t="s">
        <v>684</v>
      </c>
      <c r="D10" s="214">
        <v>46388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</row>
    <row r="11" spans="1:164" x14ac:dyDescent="0.2">
      <c r="A11" s="10"/>
      <c r="B11" s="10"/>
      <c r="C11" s="10" t="s">
        <v>824</v>
      </c>
      <c r="D11" s="39"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</row>
    <row r="12" spans="1:164" x14ac:dyDescent="0.2">
      <c r="A12" s="10"/>
      <c r="B12" s="10"/>
      <c r="C12" s="10" t="s">
        <v>55</v>
      </c>
      <c r="D12" s="42">
        <f>MANAGEMENT!$H$6</f>
        <v>0.09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</row>
    <row r="13" spans="1:164" x14ac:dyDescent="0.2">
      <c r="A13" s="10"/>
      <c r="B13" s="10"/>
      <c r="C13" s="10" t="s">
        <v>825</v>
      </c>
      <c r="D13" s="40">
        <v>24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</row>
    <row r="14" spans="1:164" x14ac:dyDescent="0.2">
      <c r="A14" s="10"/>
      <c r="B14" s="10"/>
      <c r="C14" s="10" t="s">
        <v>808</v>
      </c>
      <c r="D14" s="334" t="s">
        <v>780</v>
      </c>
      <c r="E14" s="335"/>
      <c r="F14" s="33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</row>
    <row r="15" spans="1:164" x14ac:dyDescent="0.2">
      <c r="C15" s="10" t="s">
        <v>944</v>
      </c>
      <c r="D15" s="85">
        <v>0.15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</row>
    <row r="16" spans="1:164" x14ac:dyDescent="0.2">
      <c r="C16" s="10" t="s">
        <v>945</v>
      </c>
      <c r="D16" s="85">
        <v>0.1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</row>
    <row r="17" spans="1:164" x14ac:dyDescent="0.2">
      <c r="A17" s="10"/>
      <c r="B17" s="24" t="s">
        <v>826</v>
      </c>
      <c r="C17" s="24"/>
      <c r="D17" s="24"/>
      <c r="E17" s="24"/>
      <c r="F17" s="24"/>
      <c r="G17" s="24"/>
      <c r="H17" s="2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</row>
    <row r="18" spans="1:164" x14ac:dyDescent="0.2">
      <c r="A18" s="10"/>
      <c r="B18" s="10"/>
      <c r="C18" s="10" t="s">
        <v>827</v>
      </c>
      <c r="D18" s="194">
        <v>1</v>
      </c>
      <c r="E18" s="194">
        <v>2</v>
      </c>
      <c r="F18" s="194">
        <v>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</row>
    <row r="19" spans="1:164" x14ac:dyDescent="0.2">
      <c r="A19" s="10"/>
      <c r="B19" s="10"/>
      <c r="C19" s="10" t="s">
        <v>828</v>
      </c>
      <c r="D19" s="58">
        <v>86</v>
      </c>
      <c r="E19" s="58">
        <v>86</v>
      </c>
      <c r="F19" s="58">
        <v>85</v>
      </c>
      <c r="G19" s="106">
        <f>SUM(D19:F19)</f>
        <v>257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</row>
    <row r="20" spans="1:164" x14ac:dyDescent="0.2">
      <c r="A20" s="10"/>
      <c r="B20" s="10"/>
      <c r="C20" s="10" t="s">
        <v>688</v>
      </c>
      <c r="D20" s="106">
        <f>D19*D21</f>
        <v>12040</v>
      </c>
      <c r="E20" s="106">
        <f>E19*E21</f>
        <v>12040</v>
      </c>
      <c r="F20" s="106">
        <f>F19*F21</f>
        <v>11900</v>
      </c>
      <c r="G20" s="106">
        <f>SUM(D20:F20)</f>
        <v>35980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</row>
    <row r="21" spans="1:164" x14ac:dyDescent="0.2">
      <c r="A21" s="10"/>
      <c r="B21" s="10"/>
      <c r="C21" s="10" t="s">
        <v>829</v>
      </c>
      <c r="D21" s="58">
        <v>140</v>
      </c>
      <c r="E21" s="106">
        <f>D21</f>
        <v>140</v>
      </c>
      <c r="F21" s="106">
        <f>E21</f>
        <v>140</v>
      </c>
      <c r="G21" s="106">
        <f>IFERROR(G20/G19,0)</f>
        <v>140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</row>
    <row r="22" spans="1:164" x14ac:dyDescent="0.2">
      <c r="A22" s="10"/>
      <c r="B22" s="10"/>
      <c r="C22" s="10" t="s">
        <v>830</v>
      </c>
      <c r="D22" s="58">
        <v>23000</v>
      </c>
      <c r="E22" s="57">
        <f>D22*(1+$D$15)</f>
        <v>26449.999999999996</v>
      </c>
      <c r="F22" s="57">
        <f>E22*(1+$D$15)</f>
        <v>30417.499999999993</v>
      </c>
      <c r="G22" s="106">
        <f>IFERROR(G23*1000/G20,0)</f>
        <v>26607.73346303502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</row>
    <row r="23" spans="1:164" x14ac:dyDescent="0.2">
      <c r="A23" s="10"/>
      <c r="B23" s="10"/>
      <c r="C23" s="48" t="s">
        <v>429</v>
      </c>
      <c r="D23" s="209">
        <f>D20*D22/1000</f>
        <v>276920</v>
      </c>
      <c r="E23" s="209">
        <f>E20*E22/1000</f>
        <v>318457.99999999994</v>
      </c>
      <c r="F23" s="209">
        <f>F20*F22/1000</f>
        <v>361968.24999999994</v>
      </c>
      <c r="G23" s="209">
        <f>SUM(D23:F23)</f>
        <v>957346.25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</row>
    <row r="24" spans="1:164" x14ac:dyDescent="0.2">
      <c r="A24" s="10"/>
      <c r="B24" s="10"/>
      <c r="C24" s="10" t="s">
        <v>831</v>
      </c>
      <c r="D24" s="245">
        <v>1.45</v>
      </c>
      <c r="E24" s="234">
        <f>D24</f>
        <v>1.45</v>
      </c>
      <c r="F24" s="234">
        <f>E24</f>
        <v>1.45</v>
      </c>
      <c r="G24" s="234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</row>
    <row r="25" spans="1:164" x14ac:dyDescent="0.2">
      <c r="A25" s="10"/>
      <c r="B25" s="10"/>
      <c r="C25" s="10" t="s">
        <v>832</v>
      </c>
      <c r="D25" s="106">
        <f>D20*D24</f>
        <v>17458</v>
      </c>
      <c r="E25" s="106">
        <f>E20*E24</f>
        <v>17458</v>
      </c>
      <c r="F25" s="106">
        <f>F20*F24</f>
        <v>17255</v>
      </c>
      <c r="G25" s="106">
        <f>SUM(D25:F25)</f>
        <v>52171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</row>
    <row r="26" spans="1:164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</row>
    <row r="27" spans="1:164" x14ac:dyDescent="0.2">
      <c r="A27" s="10"/>
      <c r="B27" s="24" t="s">
        <v>833</v>
      </c>
      <c r="C27" s="24"/>
      <c r="D27" s="24"/>
      <c r="E27" s="24"/>
      <c r="F27" s="24"/>
      <c r="G27" s="24"/>
      <c r="H27" s="24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</row>
    <row r="28" spans="1:164" x14ac:dyDescent="0.2">
      <c r="A28" s="10"/>
      <c r="B28" s="10"/>
      <c r="C28" s="10" t="s">
        <v>834</v>
      </c>
      <c r="D28" s="60">
        <v>8000</v>
      </c>
      <c r="E28" s="57">
        <f>D28*(1+$D$16)</f>
        <v>8800</v>
      </c>
      <c r="F28" s="57">
        <f>E28*(1+$D$16)</f>
        <v>9680</v>
      </c>
      <c r="G28" s="10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</row>
    <row r="29" spans="1:164" x14ac:dyDescent="0.2">
      <c r="A29" s="10"/>
      <c r="B29" s="10"/>
      <c r="C29" s="10" t="s">
        <v>835</v>
      </c>
      <c r="D29" s="106">
        <f>D25*D28/1000</f>
        <v>139664</v>
      </c>
      <c r="E29" s="106">
        <f>E25*E28/1000</f>
        <v>153630.39999999999</v>
      </c>
      <c r="F29" s="106">
        <f>F25*F28/1000</f>
        <v>167028.4</v>
      </c>
      <c r="G29" s="106">
        <f>SUM(D29:F29)</f>
        <v>460322.80000000005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</row>
    <row r="30" spans="1:164" x14ac:dyDescent="0.2">
      <c r="A30" s="10"/>
      <c r="B30" s="10"/>
      <c r="C30" s="10" t="s">
        <v>836</v>
      </c>
      <c r="D30" s="60">
        <v>5000</v>
      </c>
      <c r="E30" s="57">
        <f>D30*(1+$D$16)</f>
        <v>5500</v>
      </c>
      <c r="F30" s="57">
        <f>E30*(1+$D$16)</f>
        <v>6050.0000000000009</v>
      </c>
      <c r="G30" s="106">
        <f>SUM(D30:F30)</f>
        <v>16550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</row>
    <row r="31" spans="1:164" x14ac:dyDescent="0.2">
      <c r="A31" s="10"/>
      <c r="B31" s="10"/>
      <c r="C31" s="10" t="s">
        <v>837</v>
      </c>
      <c r="D31" s="40">
        <v>36</v>
      </c>
      <c r="E31" s="52">
        <f>D31</f>
        <v>36</v>
      </c>
      <c r="F31" s="52">
        <f>E31</f>
        <v>36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</row>
    <row r="32" spans="1:164" x14ac:dyDescent="0.2">
      <c r="A32" s="10"/>
      <c r="B32" s="10"/>
      <c r="C32" s="10" t="s">
        <v>838</v>
      </c>
      <c r="D32" s="214">
        <v>46753</v>
      </c>
      <c r="E32" s="208">
        <f>EDATE(D32,$D$13)</f>
        <v>47484</v>
      </c>
      <c r="F32" s="208">
        <f>EDATE(E32,$D$13)</f>
        <v>48214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</row>
    <row r="33" spans="1:164" x14ac:dyDescent="0.2">
      <c r="A33" s="10"/>
      <c r="B33" s="10"/>
      <c r="C33" s="10" t="s">
        <v>839</v>
      </c>
      <c r="D33" s="40">
        <v>6</v>
      </c>
      <c r="E33" s="52">
        <f>D33</f>
        <v>6</v>
      </c>
      <c r="F33" s="52">
        <f>E33</f>
        <v>6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</row>
    <row r="34" spans="1:164" x14ac:dyDescent="0.2">
      <c r="A34" s="10"/>
      <c r="B34" s="10"/>
      <c r="C34" s="10" t="s">
        <v>840</v>
      </c>
      <c r="D34" s="208">
        <f>EDATE(D32,D33)</f>
        <v>46935</v>
      </c>
      <c r="E34" s="208">
        <f>EDATE(E32,E33)</f>
        <v>47665</v>
      </c>
      <c r="F34" s="208">
        <f>EDATE(F32,F33)</f>
        <v>48396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</row>
    <row r="35" spans="1:164" x14ac:dyDescent="0.2">
      <c r="A35" s="10"/>
      <c r="B35" s="10"/>
      <c r="C35" s="10" t="s">
        <v>697</v>
      </c>
      <c r="D35" s="208">
        <f>EDATE(D34,D31)</f>
        <v>48030</v>
      </c>
      <c r="E35" s="208">
        <f>EDATE(E34,E31)</f>
        <v>48761</v>
      </c>
      <c r="F35" s="208">
        <f>EDATE(F34,F31)</f>
        <v>49491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</row>
    <row r="36" spans="1:164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</row>
    <row r="37" spans="1:164" x14ac:dyDescent="0.2">
      <c r="A37" s="10"/>
      <c r="B37" s="24" t="s">
        <v>698</v>
      </c>
      <c r="C37" s="24"/>
      <c r="D37" s="24"/>
      <c r="E37" s="24"/>
      <c r="F37" s="24"/>
      <c r="G37" s="24"/>
      <c r="H37" s="2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</row>
    <row r="38" spans="1:164" x14ac:dyDescent="0.2">
      <c r="A38" s="10"/>
      <c r="B38" s="10"/>
      <c r="C38" s="10" t="s">
        <v>841</v>
      </c>
      <c r="D38" s="39">
        <v>0.3</v>
      </c>
      <c r="E38" s="18">
        <f t="shared" ref="E38:F41" si="15">D38</f>
        <v>0.3</v>
      </c>
      <c r="F38" s="18">
        <f t="shared" si="15"/>
        <v>0.3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</row>
    <row r="39" spans="1:164" x14ac:dyDescent="0.2">
      <c r="A39" s="10"/>
      <c r="B39" s="10"/>
      <c r="C39" s="10" t="s">
        <v>842</v>
      </c>
      <c r="D39" s="40">
        <v>6</v>
      </c>
      <c r="E39" s="52">
        <f t="shared" si="15"/>
        <v>6</v>
      </c>
      <c r="F39" s="52">
        <f t="shared" si="15"/>
        <v>6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</row>
    <row r="40" spans="1:164" x14ac:dyDescent="0.2">
      <c r="A40" s="10"/>
      <c r="B40" s="10"/>
      <c r="C40" s="10" t="s">
        <v>843</v>
      </c>
      <c r="D40" s="39">
        <v>0.1</v>
      </c>
      <c r="E40" s="18">
        <f t="shared" si="15"/>
        <v>0.1</v>
      </c>
      <c r="F40" s="18">
        <f t="shared" si="15"/>
        <v>0.1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</row>
    <row r="41" spans="1:164" x14ac:dyDescent="0.2">
      <c r="A41" s="10"/>
      <c r="B41" s="10"/>
      <c r="C41" s="10" t="s">
        <v>844</v>
      </c>
      <c r="D41" s="40">
        <v>12</v>
      </c>
      <c r="E41" s="52">
        <f t="shared" si="15"/>
        <v>12</v>
      </c>
      <c r="F41" s="52">
        <f t="shared" si="15"/>
        <v>12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</row>
    <row r="42" spans="1:164" x14ac:dyDescent="0.2">
      <c r="A42" s="10"/>
      <c r="B42" s="10"/>
      <c r="C42" s="10" t="s">
        <v>845</v>
      </c>
      <c r="D42" s="18">
        <f>1-D38-D40</f>
        <v>0.6</v>
      </c>
      <c r="E42" s="18">
        <f>1-E38-E40</f>
        <v>0.6</v>
      </c>
      <c r="F42" s="18">
        <f>1-F38-F40</f>
        <v>0.6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</row>
    <row r="43" spans="1:164" x14ac:dyDescent="0.2">
      <c r="A43" s="10"/>
      <c r="B43" s="10"/>
      <c r="C43" s="10" t="s">
        <v>846</v>
      </c>
      <c r="D43" s="208">
        <f>MAX(EDATE(D32,D39),D34)</f>
        <v>46935</v>
      </c>
      <c r="E43" s="208">
        <f>MAX(EDATE(E32,E39),E34)</f>
        <v>47665</v>
      </c>
      <c r="F43" s="208">
        <f>MAX(EDATE(F32,F39),F34)</f>
        <v>48396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</row>
    <row r="44" spans="1:164" x14ac:dyDescent="0.2">
      <c r="A44" s="10"/>
      <c r="B44" s="10"/>
      <c r="C44" s="10" t="s">
        <v>847</v>
      </c>
      <c r="D44" s="52">
        <f>MAX(1,DATEDIF(D43,D35,"m"))</f>
        <v>36</v>
      </c>
      <c r="E44" s="52">
        <f>MAX(1,DATEDIF(E43,E35,"m"))</f>
        <v>36</v>
      </c>
      <c r="F44" s="52">
        <f>MAX(1,DATEDIF(F43,F35,"m"))</f>
        <v>36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</row>
    <row r="45" spans="1:164" x14ac:dyDescent="0.2">
      <c r="A45" s="10"/>
      <c r="B45" s="10"/>
      <c r="C45" s="10" t="s">
        <v>848</v>
      </c>
      <c r="D45" s="208">
        <f>EDATE(D35,1)</f>
        <v>48061</v>
      </c>
      <c r="E45" s="208">
        <f>EDATE(E35,1)</f>
        <v>48792</v>
      </c>
      <c r="F45" s="208">
        <f>EDATE(F35,1)</f>
        <v>49522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</row>
    <row r="46" spans="1:164" x14ac:dyDescent="0.2">
      <c r="A46" s="10"/>
      <c r="B46" s="10"/>
      <c r="C46" s="10" t="s">
        <v>849</v>
      </c>
      <c r="D46" s="208">
        <f>IF(D41&gt;0,EDATE(D45,D41),EDATE(D35,1))</f>
        <v>48427</v>
      </c>
      <c r="E46" s="208">
        <f>IF(E41&gt;0,EDATE(E45,E41),EDATE(E35,1))</f>
        <v>49157</v>
      </c>
      <c r="F46" s="208">
        <f>IF(F41&gt;0,EDATE(F45,F41),EDATE(F35,1))</f>
        <v>49888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</row>
    <row r="47" spans="1:164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</row>
    <row r="48" spans="1:164" x14ac:dyDescent="0.2">
      <c r="A48" s="10"/>
      <c r="B48" s="24" t="s">
        <v>850</v>
      </c>
      <c r="C48" s="24"/>
      <c r="D48" s="24"/>
      <c r="E48" s="24"/>
      <c r="F48" s="24"/>
      <c r="G48" s="24"/>
      <c r="H48" s="24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</row>
    <row r="49" spans="1:164" x14ac:dyDescent="0.2">
      <c r="A49" s="10"/>
      <c r="B49" s="10"/>
      <c r="C49" s="10" t="s">
        <v>707</v>
      </c>
      <c r="D49" s="85">
        <v>0.1</v>
      </c>
      <c r="E49" s="18">
        <f t="shared" ref="E49:F52" si="16">D49</f>
        <v>0.1</v>
      </c>
      <c r="F49" s="18">
        <f t="shared" si="16"/>
        <v>0.1</v>
      </c>
      <c r="G49" s="23" t="s">
        <v>711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</row>
    <row r="50" spans="1:164" x14ac:dyDescent="0.2">
      <c r="A50" s="10"/>
      <c r="B50" s="10"/>
      <c r="C50" s="10" t="s">
        <v>708</v>
      </c>
      <c r="D50" s="85">
        <v>0.3</v>
      </c>
      <c r="E50" s="18">
        <f t="shared" si="16"/>
        <v>0.3</v>
      </c>
      <c r="F50" s="18">
        <f t="shared" si="16"/>
        <v>0.3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</row>
    <row r="51" spans="1:164" x14ac:dyDescent="0.2">
      <c r="A51" s="10"/>
      <c r="B51" s="10"/>
      <c r="C51" s="10" t="s">
        <v>709</v>
      </c>
      <c r="D51" s="85">
        <v>0.1</v>
      </c>
      <c r="E51" s="18">
        <f t="shared" si="16"/>
        <v>0.1</v>
      </c>
      <c r="F51" s="18">
        <f t="shared" si="16"/>
        <v>0.1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</row>
    <row r="52" spans="1:164" x14ac:dyDescent="0.2">
      <c r="A52" s="10"/>
      <c r="B52" s="10"/>
      <c r="C52" s="10" t="s">
        <v>710</v>
      </c>
      <c r="D52" s="85">
        <v>0.5</v>
      </c>
      <c r="E52" s="18">
        <f t="shared" si="16"/>
        <v>0.5</v>
      </c>
      <c r="F52" s="18">
        <f t="shared" si="16"/>
        <v>0.5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</row>
    <row r="53" spans="1:164" x14ac:dyDescent="0.2">
      <c r="A53" s="10"/>
      <c r="B53" s="10"/>
      <c r="C53" s="13" t="s">
        <v>24</v>
      </c>
      <c r="D53" s="54">
        <f>SUM(D49:D52)</f>
        <v>1</v>
      </c>
      <c r="E53" s="54">
        <f>SUM(E49:E52)</f>
        <v>1</v>
      </c>
      <c r="F53" s="54">
        <f>SUM(F49:F52)</f>
        <v>1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</row>
    <row r="54" spans="1:164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</row>
    <row r="55" spans="1:164" x14ac:dyDescent="0.2">
      <c r="A55" s="10"/>
      <c r="B55" s="24" t="s">
        <v>33</v>
      </c>
      <c r="C55" s="24"/>
      <c r="D55" s="24"/>
      <c r="E55" s="24"/>
      <c r="F55" s="24"/>
      <c r="G55" s="24"/>
      <c r="H55" s="24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</row>
    <row r="56" spans="1:164" x14ac:dyDescent="0.2">
      <c r="A56" s="10"/>
      <c r="B56" s="10"/>
      <c r="C56" s="10" t="s">
        <v>851</v>
      </c>
      <c r="D56" s="39">
        <v>0.03</v>
      </c>
      <c r="E56" s="18">
        <f t="shared" ref="E56:F63" si="17">D56</f>
        <v>0.03</v>
      </c>
      <c r="F56" s="18">
        <f t="shared" si="17"/>
        <v>0.03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</row>
    <row r="57" spans="1:164" x14ac:dyDescent="0.2">
      <c r="A57" s="10"/>
      <c r="B57" s="10"/>
      <c r="C57" s="10" t="s">
        <v>852</v>
      </c>
      <c r="D57" s="111">
        <v>0.01</v>
      </c>
      <c r="E57" s="107">
        <f t="shared" si="17"/>
        <v>0.01</v>
      </c>
      <c r="F57" s="107">
        <f t="shared" si="17"/>
        <v>0.01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</row>
    <row r="58" spans="1:164" x14ac:dyDescent="0.2">
      <c r="A58" s="10"/>
      <c r="B58" s="10"/>
      <c r="C58" s="10" t="s">
        <v>853</v>
      </c>
      <c r="D58" s="39">
        <v>0.03</v>
      </c>
      <c r="E58" s="18">
        <f t="shared" si="17"/>
        <v>0.03</v>
      </c>
      <c r="F58" s="18">
        <f t="shared" si="17"/>
        <v>0.03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</row>
    <row r="59" spans="1:164" x14ac:dyDescent="0.2">
      <c r="A59" s="10"/>
      <c r="B59" s="10"/>
      <c r="C59" s="10" t="s">
        <v>854</v>
      </c>
      <c r="D59" s="39">
        <v>0</v>
      </c>
      <c r="E59" s="18">
        <f t="shared" si="17"/>
        <v>0</v>
      </c>
      <c r="F59" s="18">
        <f t="shared" si="17"/>
        <v>0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</row>
    <row r="60" spans="1:164" x14ac:dyDescent="0.2">
      <c r="A60" s="10"/>
      <c r="B60" s="10"/>
      <c r="C60" s="10" t="s">
        <v>855</v>
      </c>
      <c r="D60" s="39">
        <v>0.02</v>
      </c>
      <c r="E60" s="18">
        <f t="shared" si="17"/>
        <v>0.02</v>
      </c>
      <c r="F60" s="18">
        <f t="shared" si="17"/>
        <v>0.02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</row>
    <row r="61" spans="1:164" x14ac:dyDescent="0.2">
      <c r="A61" s="10"/>
      <c r="B61" s="10"/>
      <c r="C61" s="10" t="s">
        <v>727</v>
      </c>
      <c r="D61" s="39">
        <v>0.05</v>
      </c>
      <c r="E61" s="18">
        <f t="shared" si="17"/>
        <v>0.05</v>
      </c>
      <c r="F61" s="18">
        <f t="shared" si="17"/>
        <v>0.05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</row>
    <row r="62" spans="1:164" x14ac:dyDescent="0.2">
      <c r="A62" s="10"/>
      <c r="B62" s="10"/>
      <c r="C62" s="10" t="s">
        <v>856</v>
      </c>
      <c r="D62" s="39">
        <v>0.04</v>
      </c>
      <c r="E62" s="18">
        <f t="shared" si="17"/>
        <v>0.04</v>
      </c>
      <c r="F62" s="18">
        <f t="shared" si="17"/>
        <v>0.04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</row>
    <row r="63" spans="1:164" x14ac:dyDescent="0.2">
      <c r="A63" s="10"/>
      <c r="B63" s="10"/>
      <c r="C63" s="10" t="s">
        <v>731</v>
      </c>
      <c r="D63" s="39">
        <v>0.04</v>
      </c>
      <c r="E63" s="18">
        <f t="shared" si="17"/>
        <v>0.04</v>
      </c>
      <c r="F63" s="18">
        <f t="shared" si="17"/>
        <v>0.04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</row>
    <row r="64" spans="1:164" x14ac:dyDescent="0.2">
      <c r="C64" s="142" t="s">
        <v>1016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</row>
    <row r="65" spans="1:164" x14ac:dyDescent="0.2">
      <c r="C65" s="10" t="s">
        <v>952</v>
      </c>
      <c r="D65" s="10"/>
      <c r="E65" s="10"/>
      <c r="F65" s="10"/>
      <c r="G65" s="153">
        <f>'LAND LOTS'!$G$65</f>
        <v>113000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</row>
    <row r="66" spans="1:164" x14ac:dyDescent="0.2">
      <c r="C66" s="10" t="s">
        <v>953</v>
      </c>
      <c r="D66" s="10"/>
      <c r="E66" s="10"/>
      <c r="F66" s="10"/>
      <c r="G66" s="58">
        <v>34180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</row>
    <row r="67" spans="1:164" x14ac:dyDescent="0.2">
      <c r="C67" s="10" t="s">
        <v>946</v>
      </c>
      <c r="D67" s="10"/>
      <c r="E67" s="10"/>
      <c r="F67" s="10"/>
      <c r="G67" s="153">
        <f>'LAND LOTS'!$G$66</f>
        <v>637620</v>
      </c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</row>
    <row r="68" spans="1:164" x14ac:dyDescent="0.2">
      <c r="C68" s="10" t="s">
        <v>1017</v>
      </c>
      <c r="D68" s="58">
        <v>0</v>
      </c>
      <c r="E68" s="58">
        <v>0</v>
      </c>
      <c r="F68" s="58">
        <v>0</v>
      </c>
      <c r="G68" s="106">
        <f>SUM(D68:F68)</f>
        <v>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</row>
    <row r="69" spans="1:164" x14ac:dyDescent="0.2">
      <c r="C69" s="10" t="s">
        <v>947</v>
      </c>
      <c r="D69" s="42">
        <f>'LAND LOTS'!$D$67</f>
        <v>0.03</v>
      </c>
      <c r="E69" s="18">
        <f>D69</f>
        <v>0.03</v>
      </c>
      <c r="F69" s="18">
        <f>E69</f>
        <v>0.03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</row>
    <row r="70" spans="1:164" x14ac:dyDescent="0.2">
      <c r="C70" s="10" t="s">
        <v>950</v>
      </c>
      <c r="D70" s="152">
        <f>'LAND LOTS'!$D$70</f>
        <v>12</v>
      </c>
      <c r="E70" s="52">
        <f>D70</f>
        <v>12</v>
      </c>
      <c r="F70" s="52">
        <f>E70</f>
        <v>12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</row>
    <row r="71" spans="1:164" x14ac:dyDescent="0.2">
      <c r="C71" s="49" t="s">
        <v>954</v>
      </c>
      <c r="D71" s="209">
        <f>D68*(1+D69)</f>
        <v>0</v>
      </c>
      <c r="E71" s="209">
        <f>E68*(1+E69)</f>
        <v>0</v>
      </c>
      <c r="F71" s="209">
        <f>F68*(1+F69)</f>
        <v>0</v>
      </c>
      <c r="G71" s="209">
        <f>SUM(D71:F71)</f>
        <v>0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</row>
    <row r="72" spans="1:164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</row>
    <row r="73" spans="1:164" x14ac:dyDescent="0.2">
      <c r="A73" s="10"/>
      <c r="B73" s="24" t="s">
        <v>734</v>
      </c>
      <c r="C73" s="24"/>
      <c r="D73" s="24"/>
      <c r="E73" s="24"/>
      <c r="F73" s="24"/>
      <c r="G73" s="24"/>
      <c r="H73" s="24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</row>
    <row r="74" spans="1:164" x14ac:dyDescent="0.2">
      <c r="A74" s="10"/>
      <c r="B74" s="10"/>
      <c r="C74" s="10" t="s">
        <v>857</v>
      </c>
      <c r="D74" s="39">
        <v>0.6</v>
      </c>
      <c r="E74" s="18">
        <f>D74</f>
        <v>0.6</v>
      </c>
      <c r="F74" s="18">
        <f>E74</f>
        <v>0.6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</row>
    <row r="75" spans="1:164" x14ac:dyDescent="0.2">
      <c r="A75" s="10"/>
      <c r="B75" s="10"/>
      <c r="C75" s="10" t="s">
        <v>736</v>
      </c>
      <c r="D75" s="39">
        <v>0.12</v>
      </c>
      <c r="E75" s="18">
        <f>D75</f>
        <v>0.12</v>
      </c>
      <c r="F75" s="18">
        <f>E75</f>
        <v>0.12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</row>
    <row r="76" spans="1:164" x14ac:dyDescent="0.2">
      <c r="A76" s="10"/>
      <c r="B76" s="10"/>
      <c r="C76" s="10" t="s">
        <v>858</v>
      </c>
      <c r="D76" s="208">
        <f>D46</f>
        <v>48427</v>
      </c>
      <c r="E76" s="208">
        <f>E46</f>
        <v>49157</v>
      </c>
      <c r="F76" s="208">
        <f>F46</f>
        <v>49888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</row>
    <row r="77" spans="1:164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</row>
    <row r="78" spans="1:164" x14ac:dyDescent="0.2">
      <c r="A78" s="10"/>
      <c r="B78" s="24" t="s">
        <v>859</v>
      </c>
      <c r="C78" s="24"/>
      <c r="D78" s="24"/>
      <c r="E78" s="24"/>
      <c r="F78" s="24"/>
      <c r="G78" s="24"/>
      <c r="H78" s="2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</row>
    <row r="79" spans="1:164" ht="30" customHeight="1" x14ac:dyDescent="0.2">
      <c r="A79" s="10"/>
      <c r="B79" s="10"/>
      <c r="C79" s="125" t="s">
        <v>36</v>
      </c>
      <c r="D79" s="125" t="s">
        <v>868</v>
      </c>
      <c r="E79" s="125" t="s">
        <v>869</v>
      </c>
      <c r="F79" s="125" t="s">
        <v>870</v>
      </c>
      <c r="G79" s="125" t="s">
        <v>871</v>
      </c>
      <c r="H79" s="125"/>
      <c r="I79" s="125" t="s">
        <v>872</v>
      </c>
      <c r="J79" s="125" t="s">
        <v>873</v>
      </c>
      <c r="K79" s="125" t="s">
        <v>874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</row>
    <row r="80" spans="1:164" x14ac:dyDescent="0.2">
      <c r="A80" s="10"/>
      <c r="B80" s="10"/>
      <c r="C80" s="10" t="s">
        <v>875</v>
      </c>
      <c r="D80" s="106">
        <f t="shared" ref="D80:F83" si="18">ROUND(D$19*$J80,0)</f>
        <v>30</v>
      </c>
      <c r="E80" s="106">
        <f t="shared" si="18"/>
        <v>30</v>
      </c>
      <c r="F80" s="106">
        <f t="shared" si="18"/>
        <v>30</v>
      </c>
      <c r="G80" s="106">
        <f>SUM(D80:F80)</f>
        <v>90</v>
      </c>
      <c r="H80" s="10"/>
      <c r="I80" s="131">
        <v>82.5</v>
      </c>
      <c r="J80" s="113">
        <v>0.35</v>
      </c>
      <c r="K80" s="106">
        <f>I80*$D$22/1000</f>
        <v>1897.5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</row>
    <row r="81" spans="1:164" x14ac:dyDescent="0.2">
      <c r="A81" s="10"/>
      <c r="B81" s="10"/>
      <c r="C81" s="10" t="s">
        <v>876</v>
      </c>
      <c r="D81" s="106">
        <f t="shared" si="18"/>
        <v>34</v>
      </c>
      <c r="E81" s="106">
        <f t="shared" si="18"/>
        <v>34</v>
      </c>
      <c r="F81" s="106">
        <f t="shared" si="18"/>
        <v>34</v>
      </c>
      <c r="G81" s="106">
        <f>SUM(D81:F81)</f>
        <v>102</v>
      </c>
      <c r="H81" s="10"/>
      <c r="I81" s="131">
        <v>130</v>
      </c>
      <c r="J81" s="113">
        <v>0.4</v>
      </c>
      <c r="K81" s="106">
        <f>I81*$D$22/1000</f>
        <v>2990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</row>
    <row r="82" spans="1:164" x14ac:dyDescent="0.2">
      <c r="A82" s="10"/>
      <c r="B82" s="10"/>
      <c r="C82" s="10" t="s">
        <v>877</v>
      </c>
      <c r="D82" s="106">
        <f t="shared" si="18"/>
        <v>17</v>
      </c>
      <c r="E82" s="106">
        <f t="shared" si="18"/>
        <v>17</v>
      </c>
      <c r="F82" s="106">
        <f t="shared" si="18"/>
        <v>17</v>
      </c>
      <c r="G82" s="106">
        <f>SUM(D82:F82)</f>
        <v>51</v>
      </c>
      <c r="H82" s="10"/>
      <c r="I82" s="131">
        <v>185</v>
      </c>
      <c r="J82" s="113">
        <v>0.2</v>
      </c>
      <c r="K82" s="106">
        <f>I82*$D$22/1000</f>
        <v>4255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</row>
    <row r="83" spans="1:164" x14ac:dyDescent="0.2">
      <c r="A83" s="10"/>
      <c r="B83" s="10"/>
      <c r="C83" s="10" t="s">
        <v>878</v>
      </c>
      <c r="D83" s="106">
        <f t="shared" si="18"/>
        <v>4</v>
      </c>
      <c r="E83" s="106">
        <f t="shared" si="18"/>
        <v>4</v>
      </c>
      <c r="F83" s="106">
        <f t="shared" si="18"/>
        <v>4</v>
      </c>
      <c r="G83" s="106">
        <f>SUM(D83:F83)</f>
        <v>12</v>
      </c>
      <c r="H83" s="10"/>
      <c r="I83" s="131">
        <v>260</v>
      </c>
      <c r="J83" s="113">
        <v>0.05</v>
      </c>
      <c r="K83" s="106">
        <f>I83*$D$22/1000</f>
        <v>5980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</row>
    <row r="84" spans="1:164" x14ac:dyDescent="0.2">
      <c r="A84" s="10"/>
      <c r="B84" s="10"/>
      <c r="C84" s="49" t="s">
        <v>24</v>
      </c>
      <c r="D84" s="209">
        <f>SUM(D80:D83)</f>
        <v>85</v>
      </c>
      <c r="E84" s="209">
        <f>SUM(E80:E83)</f>
        <v>85</v>
      </c>
      <c r="F84" s="209">
        <f>SUM(F80:F83)</f>
        <v>85</v>
      </c>
      <c r="G84" s="209">
        <f>SUM(G80:G83)</f>
        <v>255</v>
      </c>
      <c r="H84" s="49"/>
      <c r="I84" s="235">
        <f>SUMPRODUCT(I80:I83,J80:J83)</f>
        <v>130.875</v>
      </c>
      <c r="J84" s="236">
        <f>SUM(J80:J83)</f>
        <v>1</v>
      </c>
      <c r="K84" s="49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</row>
    <row r="85" spans="1:164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</row>
    <row r="86" spans="1:164" x14ac:dyDescent="0.2">
      <c r="A86" s="10"/>
      <c r="B86" s="10"/>
      <c r="C86" s="23" t="s">
        <v>879</v>
      </c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</row>
    <row r="87" spans="1:164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</row>
    <row r="88" spans="1:164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</row>
    <row r="89" spans="1:164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</row>
    <row r="90" spans="1:164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</row>
    <row r="91" spans="1:164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</row>
    <row r="92" spans="1:164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</row>
    <row r="93" spans="1:164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</row>
    <row r="94" spans="1:164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</row>
    <row r="95" spans="1:164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</row>
    <row r="96" spans="1:164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</row>
    <row r="97" spans="1:164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</row>
    <row r="98" spans="1:164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</row>
    <row r="99" spans="1:164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</row>
    <row r="100" spans="1:164" x14ac:dyDescent="0.2">
      <c r="A100" s="10"/>
      <c r="B100" s="24" t="s">
        <v>907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</row>
    <row r="101" spans="1:164" x14ac:dyDescent="0.2">
      <c r="A101" s="10"/>
      <c r="B101" s="49" t="s">
        <v>908</v>
      </c>
      <c r="C101" s="237" t="str">
        <f>"Launch "&amp;TEXT($D$32,"mmm/yy")&amp;" · construction "&amp;TEXT($D$34,"mmm/yy")&amp;"–"&amp;TEXT(EDATE($D$35,-1),"mmm/yy")&amp;" · keys "&amp;TEXT($D$35,"mmm/yy")</f>
        <v>Lançamento jan/28 · obra jul/28–jun/31 · chaves jul/31</v>
      </c>
      <c r="D101" s="49"/>
      <c r="E101" s="49"/>
      <c r="F101" s="49"/>
      <c r="G101" s="49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</row>
    <row r="102" spans="1:164" x14ac:dyDescent="0.2">
      <c r="A102" s="10"/>
      <c r="B102" s="10"/>
      <c r="C102" s="10" t="s">
        <v>742</v>
      </c>
      <c r="D102" s="10"/>
      <c r="E102" s="10"/>
      <c r="F102" s="10"/>
      <c r="G102" s="10"/>
      <c r="H102" s="18">
        <f>SUM(I102:FH102)</f>
        <v>1.0000000000000009</v>
      </c>
      <c r="I102" s="51">
        <f t="shared" ref="I102:AN102" si="19">IFERROR(IF(AND(I$6&gt;=$D$32,I$6&lt;EDATE($D$32,$D$39)),$D$38/$D$39,IF(AND(I$6&gt;=$D$43,I$6&lt;$D$35),$D$42/$D$44,IF(AND(I$6&gt;=$D$45,I$6&lt;$D$46),$D$40/$D$41,0))),0)</f>
        <v>0</v>
      </c>
      <c r="J102" s="51">
        <f t="shared" si="19"/>
        <v>0</v>
      </c>
      <c r="K102" s="51">
        <f t="shared" si="19"/>
        <v>0</v>
      </c>
      <c r="L102" s="51">
        <f t="shared" si="19"/>
        <v>0</v>
      </c>
      <c r="M102" s="51">
        <f t="shared" si="19"/>
        <v>0</v>
      </c>
      <c r="N102" s="51">
        <f t="shared" si="19"/>
        <v>0</v>
      </c>
      <c r="O102" s="51">
        <f t="shared" si="19"/>
        <v>0</v>
      </c>
      <c r="P102" s="51">
        <f t="shared" si="19"/>
        <v>0</v>
      </c>
      <c r="Q102" s="51">
        <f t="shared" si="19"/>
        <v>0</v>
      </c>
      <c r="R102" s="51">
        <f t="shared" si="19"/>
        <v>0</v>
      </c>
      <c r="S102" s="51">
        <f t="shared" si="19"/>
        <v>0</v>
      </c>
      <c r="T102" s="51">
        <f t="shared" si="19"/>
        <v>0</v>
      </c>
      <c r="U102" s="51">
        <f t="shared" si="19"/>
        <v>4.9999999999999996E-2</v>
      </c>
      <c r="V102" s="51">
        <f t="shared" si="19"/>
        <v>4.9999999999999996E-2</v>
      </c>
      <c r="W102" s="51">
        <f t="shared" si="19"/>
        <v>4.9999999999999996E-2</v>
      </c>
      <c r="X102" s="51">
        <f t="shared" si="19"/>
        <v>4.9999999999999996E-2</v>
      </c>
      <c r="Y102" s="51">
        <f t="shared" si="19"/>
        <v>4.9999999999999996E-2</v>
      </c>
      <c r="Z102" s="51">
        <f t="shared" si="19"/>
        <v>4.9999999999999996E-2</v>
      </c>
      <c r="AA102" s="51">
        <f t="shared" si="19"/>
        <v>1.6666666666666666E-2</v>
      </c>
      <c r="AB102" s="51">
        <f t="shared" si="19"/>
        <v>1.6666666666666666E-2</v>
      </c>
      <c r="AC102" s="51">
        <f t="shared" si="19"/>
        <v>1.6666666666666666E-2</v>
      </c>
      <c r="AD102" s="51">
        <f t="shared" si="19"/>
        <v>1.6666666666666666E-2</v>
      </c>
      <c r="AE102" s="51">
        <f t="shared" si="19"/>
        <v>1.6666666666666666E-2</v>
      </c>
      <c r="AF102" s="51">
        <f t="shared" si="19"/>
        <v>1.6666666666666666E-2</v>
      </c>
      <c r="AG102" s="51">
        <f t="shared" si="19"/>
        <v>1.6666666666666666E-2</v>
      </c>
      <c r="AH102" s="51">
        <f t="shared" si="19"/>
        <v>1.6666666666666666E-2</v>
      </c>
      <c r="AI102" s="51">
        <f t="shared" si="19"/>
        <v>1.6666666666666666E-2</v>
      </c>
      <c r="AJ102" s="51">
        <f t="shared" si="19"/>
        <v>1.6666666666666666E-2</v>
      </c>
      <c r="AK102" s="51">
        <f t="shared" si="19"/>
        <v>1.6666666666666666E-2</v>
      </c>
      <c r="AL102" s="51">
        <f t="shared" si="19"/>
        <v>1.6666666666666666E-2</v>
      </c>
      <c r="AM102" s="51">
        <f t="shared" si="19"/>
        <v>1.6666666666666666E-2</v>
      </c>
      <c r="AN102" s="51">
        <f t="shared" si="19"/>
        <v>1.6666666666666666E-2</v>
      </c>
      <c r="AO102" s="51">
        <f t="shared" ref="AO102:BT102" si="20">IFERROR(IF(AND(AO$6&gt;=$D$32,AO$6&lt;EDATE($D$32,$D$39)),$D$38/$D$39,IF(AND(AO$6&gt;=$D$43,AO$6&lt;$D$35),$D$42/$D$44,IF(AND(AO$6&gt;=$D$45,AO$6&lt;$D$46),$D$40/$D$41,0))),0)</f>
        <v>1.6666666666666666E-2</v>
      </c>
      <c r="AP102" s="51">
        <f t="shared" si="20"/>
        <v>1.6666666666666666E-2</v>
      </c>
      <c r="AQ102" s="51">
        <f t="shared" si="20"/>
        <v>1.6666666666666666E-2</v>
      </c>
      <c r="AR102" s="51">
        <f t="shared" si="20"/>
        <v>1.6666666666666666E-2</v>
      </c>
      <c r="AS102" s="51">
        <f t="shared" si="20"/>
        <v>1.6666666666666666E-2</v>
      </c>
      <c r="AT102" s="51">
        <f t="shared" si="20"/>
        <v>1.6666666666666666E-2</v>
      </c>
      <c r="AU102" s="51">
        <f t="shared" si="20"/>
        <v>1.6666666666666666E-2</v>
      </c>
      <c r="AV102" s="51">
        <f t="shared" si="20"/>
        <v>1.6666666666666666E-2</v>
      </c>
      <c r="AW102" s="51">
        <f t="shared" si="20"/>
        <v>1.6666666666666666E-2</v>
      </c>
      <c r="AX102" s="51">
        <f t="shared" si="20"/>
        <v>1.6666666666666666E-2</v>
      </c>
      <c r="AY102" s="51">
        <f t="shared" si="20"/>
        <v>1.6666666666666666E-2</v>
      </c>
      <c r="AZ102" s="51">
        <f t="shared" si="20"/>
        <v>1.6666666666666666E-2</v>
      </c>
      <c r="BA102" s="51">
        <f t="shared" si="20"/>
        <v>1.6666666666666666E-2</v>
      </c>
      <c r="BB102" s="51">
        <f t="shared" si="20"/>
        <v>1.6666666666666666E-2</v>
      </c>
      <c r="BC102" s="51">
        <f t="shared" si="20"/>
        <v>1.6666666666666666E-2</v>
      </c>
      <c r="BD102" s="51">
        <f t="shared" si="20"/>
        <v>1.6666666666666666E-2</v>
      </c>
      <c r="BE102" s="51">
        <f t="shared" si="20"/>
        <v>1.6666666666666666E-2</v>
      </c>
      <c r="BF102" s="51">
        <f t="shared" si="20"/>
        <v>1.6666666666666666E-2</v>
      </c>
      <c r="BG102" s="51">
        <f t="shared" si="20"/>
        <v>1.6666666666666666E-2</v>
      </c>
      <c r="BH102" s="51">
        <f t="shared" si="20"/>
        <v>1.6666666666666666E-2</v>
      </c>
      <c r="BI102" s="51">
        <f t="shared" si="20"/>
        <v>1.6666666666666666E-2</v>
      </c>
      <c r="BJ102" s="51">
        <f t="shared" si="20"/>
        <v>1.6666666666666666E-2</v>
      </c>
      <c r="BK102" s="51">
        <f t="shared" si="20"/>
        <v>0</v>
      </c>
      <c r="BL102" s="51">
        <f t="shared" si="20"/>
        <v>8.3333333333333332E-3</v>
      </c>
      <c r="BM102" s="51">
        <f t="shared" si="20"/>
        <v>8.3333333333333332E-3</v>
      </c>
      <c r="BN102" s="51">
        <f t="shared" si="20"/>
        <v>8.3333333333333332E-3</v>
      </c>
      <c r="BO102" s="51">
        <f t="shared" si="20"/>
        <v>8.3333333333333332E-3</v>
      </c>
      <c r="BP102" s="51">
        <f t="shared" si="20"/>
        <v>8.3333333333333332E-3</v>
      </c>
      <c r="BQ102" s="51">
        <f t="shared" si="20"/>
        <v>8.3333333333333332E-3</v>
      </c>
      <c r="BR102" s="51">
        <f t="shared" si="20"/>
        <v>8.3333333333333332E-3</v>
      </c>
      <c r="BS102" s="51">
        <f t="shared" si="20"/>
        <v>8.3333333333333332E-3</v>
      </c>
      <c r="BT102" s="51">
        <f t="shared" si="20"/>
        <v>8.3333333333333332E-3</v>
      </c>
      <c r="BU102" s="51">
        <f t="shared" ref="BU102:CZ102" si="21">IFERROR(IF(AND(BU$6&gt;=$D$32,BU$6&lt;EDATE($D$32,$D$39)),$D$38/$D$39,IF(AND(BU$6&gt;=$D$43,BU$6&lt;$D$35),$D$42/$D$44,IF(AND(BU$6&gt;=$D$45,BU$6&lt;$D$46),$D$40/$D$41,0))),0)</f>
        <v>8.3333333333333332E-3</v>
      </c>
      <c r="BV102" s="51">
        <f t="shared" si="21"/>
        <v>8.3333333333333332E-3</v>
      </c>
      <c r="BW102" s="51">
        <f t="shared" si="21"/>
        <v>8.3333333333333332E-3</v>
      </c>
      <c r="BX102" s="51">
        <f t="shared" si="21"/>
        <v>0</v>
      </c>
      <c r="BY102" s="51">
        <f t="shared" si="21"/>
        <v>0</v>
      </c>
      <c r="BZ102" s="51">
        <f t="shared" si="21"/>
        <v>0</v>
      </c>
      <c r="CA102" s="51">
        <f t="shared" si="21"/>
        <v>0</v>
      </c>
      <c r="CB102" s="51">
        <f t="shared" si="21"/>
        <v>0</v>
      </c>
      <c r="CC102" s="51">
        <f t="shared" si="21"/>
        <v>0</v>
      </c>
      <c r="CD102" s="51">
        <f t="shared" si="21"/>
        <v>0</v>
      </c>
      <c r="CE102" s="51">
        <f t="shared" si="21"/>
        <v>0</v>
      </c>
      <c r="CF102" s="51">
        <f t="shared" si="21"/>
        <v>0</v>
      </c>
      <c r="CG102" s="51">
        <f t="shared" si="21"/>
        <v>0</v>
      </c>
      <c r="CH102" s="51">
        <f t="shared" si="21"/>
        <v>0</v>
      </c>
      <c r="CI102" s="51">
        <f t="shared" si="21"/>
        <v>0</v>
      </c>
      <c r="CJ102" s="51">
        <f t="shared" si="21"/>
        <v>0</v>
      </c>
      <c r="CK102" s="51">
        <f t="shared" si="21"/>
        <v>0</v>
      </c>
      <c r="CL102" s="51">
        <f t="shared" si="21"/>
        <v>0</v>
      </c>
      <c r="CM102" s="51">
        <f t="shared" si="21"/>
        <v>0</v>
      </c>
      <c r="CN102" s="51">
        <f t="shared" si="21"/>
        <v>0</v>
      </c>
      <c r="CO102" s="51">
        <f t="shared" si="21"/>
        <v>0</v>
      </c>
      <c r="CP102" s="51">
        <f t="shared" si="21"/>
        <v>0</v>
      </c>
      <c r="CQ102" s="51">
        <f t="shared" si="21"/>
        <v>0</v>
      </c>
      <c r="CR102" s="51">
        <f t="shared" si="21"/>
        <v>0</v>
      </c>
      <c r="CS102" s="51">
        <f t="shared" si="21"/>
        <v>0</v>
      </c>
      <c r="CT102" s="51">
        <f t="shared" si="21"/>
        <v>0</v>
      </c>
      <c r="CU102" s="51">
        <f t="shared" si="21"/>
        <v>0</v>
      </c>
      <c r="CV102" s="51">
        <f t="shared" si="21"/>
        <v>0</v>
      </c>
      <c r="CW102" s="51">
        <f t="shared" si="21"/>
        <v>0</v>
      </c>
      <c r="CX102" s="51">
        <f t="shared" si="21"/>
        <v>0</v>
      </c>
      <c r="CY102" s="51">
        <f t="shared" si="21"/>
        <v>0</v>
      </c>
      <c r="CZ102" s="51">
        <f t="shared" si="21"/>
        <v>0</v>
      </c>
      <c r="DA102" s="51">
        <f t="shared" ref="DA102:EF102" si="22">IFERROR(IF(AND(DA$6&gt;=$D$32,DA$6&lt;EDATE($D$32,$D$39)),$D$38/$D$39,IF(AND(DA$6&gt;=$D$43,DA$6&lt;$D$35),$D$42/$D$44,IF(AND(DA$6&gt;=$D$45,DA$6&lt;$D$46),$D$40/$D$41,0))),0)</f>
        <v>0</v>
      </c>
      <c r="DB102" s="51">
        <f t="shared" si="22"/>
        <v>0</v>
      </c>
      <c r="DC102" s="51">
        <f t="shared" si="22"/>
        <v>0</v>
      </c>
      <c r="DD102" s="51">
        <f t="shared" si="22"/>
        <v>0</v>
      </c>
      <c r="DE102" s="51">
        <f t="shared" si="22"/>
        <v>0</v>
      </c>
      <c r="DF102" s="51">
        <f t="shared" si="22"/>
        <v>0</v>
      </c>
      <c r="DG102" s="51">
        <f t="shared" si="22"/>
        <v>0</v>
      </c>
      <c r="DH102" s="51">
        <f t="shared" si="22"/>
        <v>0</v>
      </c>
      <c r="DI102" s="51">
        <f t="shared" si="22"/>
        <v>0</v>
      </c>
      <c r="DJ102" s="51">
        <f t="shared" si="22"/>
        <v>0</v>
      </c>
      <c r="DK102" s="51">
        <f t="shared" si="22"/>
        <v>0</v>
      </c>
      <c r="DL102" s="51">
        <f t="shared" si="22"/>
        <v>0</v>
      </c>
      <c r="DM102" s="51">
        <f t="shared" si="22"/>
        <v>0</v>
      </c>
      <c r="DN102" s="51">
        <f t="shared" si="22"/>
        <v>0</v>
      </c>
      <c r="DO102" s="51">
        <f t="shared" si="22"/>
        <v>0</v>
      </c>
      <c r="DP102" s="51">
        <f t="shared" si="22"/>
        <v>0</v>
      </c>
      <c r="DQ102" s="51">
        <f t="shared" si="22"/>
        <v>0</v>
      </c>
      <c r="DR102" s="51">
        <f t="shared" si="22"/>
        <v>0</v>
      </c>
      <c r="DS102" s="51">
        <f t="shared" si="22"/>
        <v>0</v>
      </c>
      <c r="DT102" s="51">
        <f t="shared" si="22"/>
        <v>0</v>
      </c>
      <c r="DU102" s="51">
        <f t="shared" si="22"/>
        <v>0</v>
      </c>
      <c r="DV102" s="51">
        <f t="shared" si="22"/>
        <v>0</v>
      </c>
      <c r="DW102" s="51">
        <f t="shared" si="22"/>
        <v>0</v>
      </c>
      <c r="DX102" s="51">
        <f t="shared" si="22"/>
        <v>0</v>
      </c>
      <c r="DY102" s="51">
        <f t="shared" si="22"/>
        <v>0</v>
      </c>
      <c r="DZ102" s="51">
        <f t="shared" si="22"/>
        <v>0</v>
      </c>
      <c r="EA102" s="51">
        <f t="shared" si="22"/>
        <v>0</v>
      </c>
      <c r="EB102" s="51">
        <f t="shared" si="22"/>
        <v>0</v>
      </c>
      <c r="EC102" s="51">
        <f t="shared" si="22"/>
        <v>0</v>
      </c>
      <c r="ED102" s="51">
        <f t="shared" si="22"/>
        <v>0</v>
      </c>
      <c r="EE102" s="51">
        <f t="shared" si="22"/>
        <v>0</v>
      </c>
      <c r="EF102" s="51">
        <f t="shared" si="22"/>
        <v>0</v>
      </c>
      <c r="EG102" s="51">
        <f t="shared" ref="EG102:FH102" si="23">IFERROR(IF(AND(EG$6&gt;=$D$32,EG$6&lt;EDATE($D$32,$D$39)),$D$38/$D$39,IF(AND(EG$6&gt;=$D$43,EG$6&lt;$D$35),$D$42/$D$44,IF(AND(EG$6&gt;=$D$45,EG$6&lt;$D$46),$D$40/$D$41,0))),0)</f>
        <v>0</v>
      </c>
      <c r="EH102" s="51">
        <f t="shared" si="23"/>
        <v>0</v>
      </c>
      <c r="EI102" s="51">
        <f t="shared" si="23"/>
        <v>0</v>
      </c>
      <c r="EJ102" s="51">
        <f t="shared" si="23"/>
        <v>0</v>
      </c>
      <c r="EK102" s="51">
        <f t="shared" si="23"/>
        <v>0</v>
      </c>
      <c r="EL102" s="51">
        <f t="shared" si="23"/>
        <v>0</v>
      </c>
      <c r="EM102" s="51">
        <f t="shared" si="23"/>
        <v>0</v>
      </c>
      <c r="EN102" s="51">
        <f t="shared" si="23"/>
        <v>0</v>
      </c>
      <c r="EO102" s="51">
        <f t="shared" si="23"/>
        <v>0</v>
      </c>
      <c r="EP102" s="51">
        <f t="shared" si="23"/>
        <v>0</v>
      </c>
      <c r="EQ102" s="51">
        <f t="shared" si="23"/>
        <v>0</v>
      </c>
      <c r="ER102" s="51">
        <f t="shared" si="23"/>
        <v>0</v>
      </c>
      <c r="ES102" s="51">
        <f t="shared" si="23"/>
        <v>0</v>
      </c>
      <c r="ET102" s="51">
        <f t="shared" si="23"/>
        <v>0</v>
      </c>
      <c r="EU102" s="51">
        <f t="shared" si="23"/>
        <v>0</v>
      </c>
      <c r="EV102" s="51">
        <f t="shared" si="23"/>
        <v>0</v>
      </c>
      <c r="EW102" s="51">
        <f t="shared" si="23"/>
        <v>0</v>
      </c>
      <c r="EX102" s="51">
        <f t="shared" si="23"/>
        <v>0</v>
      </c>
      <c r="EY102" s="51">
        <f t="shared" si="23"/>
        <v>0</v>
      </c>
      <c r="EZ102" s="51">
        <f t="shared" si="23"/>
        <v>0</v>
      </c>
      <c r="FA102" s="51">
        <f t="shared" si="23"/>
        <v>0</v>
      </c>
      <c r="FB102" s="51">
        <f t="shared" si="23"/>
        <v>0</v>
      </c>
      <c r="FC102" s="51">
        <f t="shared" si="23"/>
        <v>0</v>
      </c>
      <c r="FD102" s="51">
        <f t="shared" si="23"/>
        <v>0</v>
      </c>
      <c r="FE102" s="51">
        <f t="shared" si="23"/>
        <v>0</v>
      </c>
      <c r="FF102" s="51">
        <f t="shared" si="23"/>
        <v>0</v>
      </c>
      <c r="FG102" s="51">
        <f t="shared" si="23"/>
        <v>0</v>
      </c>
      <c r="FH102" s="51">
        <f t="shared" si="23"/>
        <v>0</v>
      </c>
    </row>
    <row r="103" spans="1:164" x14ac:dyDescent="0.2">
      <c r="A103" s="10"/>
      <c r="B103" s="10"/>
      <c r="C103" s="10" t="s">
        <v>909</v>
      </c>
      <c r="D103" s="10"/>
      <c r="E103" s="10"/>
      <c r="F103" s="10"/>
      <c r="G103" s="10"/>
      <c r="H103" s="12">
        <f>SUM(I103:FH103)</f>
        <v>276920.00000000023</v>
      </c>
      <c r="I103" s="12">
        <f t="shared" ref="I103:AN103" si="24">I102*$D$23*(1+$D$11)^(MAX(0,DATEDIF($D$10,I$6,"m"))/12)</f>
        <v>0</v>
      </c>
      <c r="J103" s="12">
        <f t="shared" si="24"/>
        <v>0</v>
      </c>
      <c r="K103" s="12">
        <f t="shared" si="24"/>
        <v>0</v>
      </c>
      <c r="L103" s="12">
        <f t="shared" si="24"/>
        <v>0</v>
      </c>
      <c r="M103" s="12">
        <f t="shared" si="24"/>
        <v>0</v>
      </c>
      <c r="N103" s="12">
        <f t="shared" si="24"/>
        <v>0</v>
      </c>
      <c r="O103" s="12">
        <f t="shared" si="24"/>
        <v>0</v>
      </c>
      <c r="P103" s="12">
        <f t="shared" si="24"/>
        <v>0</v>
      </c>
      <c r="Q103" s="12">
        <f t="shared" si="24"/>
        <v>0</v>
      </c>
      <c r="R103" s="12">
        <f t="shared" si="24"/>
        <v>0</v>
      </c>
      <c r="S103" s="12">
        <f t="shared" si="24"/>
        <v>0</v>
      </c>
      <c r="T103" s="12">
        <f t="shared" si="24"/>
        <v>0</v>
      </c>
      <c r="U103" s="12">
        <f t="shared" si="24"/>
        <v>13845.999999999998</v>
      </c>
      <c r="V103" s="12">
        <f t="shared" si="24"/>
        <v>13845.999999999998</v>
      </c>
      <c r="W103" s="12">
        <f t="shared" si="24"/>
        <v>13845.999999999998</v>
      </c>
      <c r="X103" s="12">
        <f t="shared" si="24"/>
        <v>13845.999999999998</v>
      </c>
      <c r="Y103" s="12">
        <f t="shared" si="24"/>
        <v>13845.999999999998</v>
      </c>
      <c r="Z103" s="12">
        <f t="shared" si="24"/>
        <v>13845.999999999998</v>
      </c>
      <c r="AA103" s="12">
        <f t="shared" si="24"/>
        <v>4615.333333333333</v>
      </c>
      <c r="AB103" s="12">
        <f t="shared" si="24"/>
        <v>4615.333333333333</v>
      </c>
      <c r="AC103" s="12">
        <f t="shared" si="24"/>
        <v>4615.333333333333</v>
      </c>
      <c r="AD103" s="12">
        <f t="shared" si="24"/>
        <v>4615.333333333333</v>
      </c>
      <c r="AE103" s="12">
        <f t="shared" si="24"/>
        <v>4615.333333333333</v>
      </c>
      <c r="AF103" s="12">
        <f t="shared" si="24"/>
        <v>4615.333333333333</v>
      </c>
      <c r="AG103" s="12">
        <f t="shared" si="24"/>
        <v>4615.333333333333</v>
      </c>
      <c r="AH103" s="12">
        <f t="shared" si="24"/>
        <v>4615.333333333333</v>
      </c>
      <c r="AI103" s="12">
        <f t="shared" si="24"/>
        <v>4615.333333333333</v>
      </c>
      <c r="AJ103" s="12">
        <f t="shared" si="24"/>
        <v>4615.333333333333</v>
      </c>
      <c r="AK103" s="12">
        <f t="shared" si="24"/>
        <v>4615.333333333333</v>
      </c>
      <c r="AL103" s="12">
        <f t="shared" si="24"/>
        <v>4615.333333333333</v>
      </c>
      <c r="AM103" s="12">
        <f t="shared" si="24"/>
        <v>4615.333333333333</v>
      </c>
      <c r="AN103" s="12">
        <f t="shared" si="24"/>
        <v>4615.333333333333</v>
      </c>
      <c r="AO103" s="12">
        <f t="shared" ref="AO103:BT103" si="25">AO102*$D$23*(1+$D$11)^(MAX(0,DATEDIF($D$10,AO$6,"m"))/12)</f>
        <v>4615.333333333333</v>
      </c>
      <c r="AP103" s="12">
        <f t="shared" si="25"/>
        <v>4615.333333333333</v>
      </c>
      <c r="AQ103" s="12">
        <f t="shared" si="25"/>
        <v>4615.333333333333</v>
      </c>
      <c r="AR103" s="12">
        <f t="shared" si="25"/>
        <v>4615.333333333333</v>
      </c>
      <c r="AS103" s="12">
        <f t="shared" si="25"/>
        <v>4615.333333333333</v>
      </c>
      <c r="AT103" s="12">
        <f t="shared" si="25"/>
        <v>4615.333333333333</v>
      </c>
      <c r="AU103" s="12">
        <f t="shared" si="25"/>
        <v>4615.333333333333</v>
      </c>
      <c r="AV103" s="12">
        <f t="shared" si="25"/>
        <v>4615.333333333333</v>
      </c>
      <c r="AW103" s="12">
        <f t="shared" si="25"/>
        <v>4615.333333333333</v>
      </c>
      <c r="AX103" s="12">
        <f t="shared" si="25"/>
        <v>4615.333333333333</v>
      </c>
      <c r="AY103" s="12">
        <f t="shared" si="25"/>
        <v>4615.333333333333</v>
      </c>
      <c r="AZ103" s="12">
        <f t="shared" si="25"/>
        <v>4615.333333333333</v>
      </c>
      <c r="BA103" s="12">
        <f t="shared" si="25"/>
        <v>4615.333333333333</v>
      </c>
      <c r="BB103" s="12">
        <f t="shared" si="25"/>
        <v>4615.333333333333</v>
      </c>
      <c r="BC103" s="12">
        <f t="shared" si="25"/>
        <v>4615.333333333333</v>
      </c>
      <c r="BD103" s="12">
        <f t="shared" si="25"/>
        <v>4615.333333333333</v>
      </c>
      <c r="BE103" s="12">
        <f t="shared" si="25"/>
        <v>4615.333333333333</v>
      </c>
      <c r="BF103" s="12">
        <f t="shared" si="25"/>
        <v>4615.333333333333</v>
      </c>
      <c r="BG103" s="12">
        <f t="shared" si="25"/>
        <v>4615.333333333333</v>
      </c>
      <c r="BH103" s="12">
        <f t="shared" si="25"/>
        <v>4615.333333333333</v>
      </c>
      <c r="BI103" s="12">
        <f t="shared" si="25"/>
        <v>4615.333333333333</v>
      </c>
      <c r="BJ103" s="12">
        <f t="shared" si="25"/>
        <v>4615.333333333333</v>
      </c>
      <c r="BK103" s="12">
        <f t="shared" si="25"/>
        <v>0</v>
      </c>
      <c r="BL103" s="12">
        <f t="shared" si="25"/>
        <v>2307.6666666666665</v>
      </c>
      <c r="BM103" s="12">
        <f t="shared" si="25"/>
        <v>2307.6666666666665</v>
      </c>
      <c r="BN103" s="12">
        <f t="shared" si="25"/>
        <v>2307.6666666666665</v>
      </c>
      <c r="BO103" s="12">
        <f t="shared" si="25"/>
        <v>2307.6666666666665</v>
      </c>
      <c r="BP103" s="12">
        <f t="shared" si="25"/>
        <v>2307.6666666666665</v>
      </c>
      <c r="BQ103" s="12">
        <f t="shared" si="25"/>
        <v>2307.6666666666665</v>
      </c>
      <c r="BR103" s="12">
        <f t="shared" si="25"/>
        <v>2307.6666666666665</v>
      </c>
      <c r="BS103" s="12">
        <f t="shared" si="25"/>
        <v>2307.6666666666665</v>
      </c>
      <c r="BT103" s="12">
        <f t="shared" si="25"/>
        <v>2307.6666666666665</v>
      </c>
      <c r="BU103" s="12">
        <f t="shared" ref="BU103:CZ103" si="26">BU102*$D$23*(1+$D$11)^(MAX(0,DATEDIF($D$10,BU$6,"m"))/12)</f>
        <v>2307.6666666666665</v>
      </c>
      <c r="BV103" s="12">
        <f t="shared" si="26"/>
        <v>2307.6666666666665</v>
      </c>
      <c r="BW103" s="12">
        <f t="shared" si="26"/>
        <v>2307.6666666666665</v>
      </c>
      <c r="BX103" s="12">
        <f t="shared" si="26"/>
        <v>0</v>
      </c>
      <c r="BY103" s="12">
        <f t="shared" si="26"/>
        <v>0</v>
      </c>
      <c r="BZ103" s="12">
        <f t="shared" si="26"/>
        <v>0</v>
      </c>
      <c r="CA103" s="12">
        <f t="shared" si="26"/>
        <v>0</v>
      </c>
      <c r="CB103" s="12">
        <f t="shared" si="26"/>
        <v>0</v>
      </c>
      <c r="CC103" s="12">
        <f t="shared" si="26"/>
        <v>0</v>
      </c>
      <c r="CD103" s="12">
        <f t="shared" si="26"/>
        <v>0</v>
      </c>
      <c r="CE103" s="12">
        <f t="shared" si="26"/>
        <v>0</v>
      </c>
      <c r="CF103" s="12">
        <f t="shared" si="26"/>
        <v>0</v>
      </c>
      <c r="CG103" s="12">
        <f t="shared" si="26"/>
        <v>0</v>
      </c>
      <c r="CH103" s="12">
        <f t="shared" si="26"/>
        <v>0</v>
      </c>
      <c r="CI103" s="12">
        <f t="shared" si="26"/>
        <v>0</v>
      </c>
      <c r="CJ103" s="12">
        <f t="shared" si="26"/>
        <v>0</v>
      </c>
      <c r="CK103" s="12">
        <f t="shared" si="26"/>
        <v>0</v>
      </c>
      <c r="CL103" s="12">
        <f t="shared" si="26"/>
        <v>0</v>
      </c>
      <c r="CM103" s="12">
        <f t="shared" si="26"/>
        <v>0</v>
      </c>
      <c r="CN103" s="12">
        <f t="shared" si="26"/>
        <v>0</v>
      </c>
      <c r="CO103" s="12">
        <f t="shared" si="26"/>
        <v>0</v>
      </c>
      <c r="CP103" s="12">
        <f t="shared" si="26"/>
        <v>0</v>
      </c>
      <c r="CQ103" s="12">
        <f t="shared" si="26"/>
        <v>0</v>
      </c>
      <c r="CR103" s="12">
        <f t="shared" si="26"/>
        <v>0</v>
      </c>
      <c r="CS103" s="12">
        <f t="shared" si="26"/>
        <v>0</v>
      </c>
      <c r="CT103" s="12">
        <f t="shared" si="26"/>
        <v>0</v>
      </c>
      <c r="CU103" s="12">
        <f t="shared" si="26"/>
        <v>0</v>
      </c>
      <c r="CV103" s="12">
        <f t="shared" si="26"/>
        <v>0</v>
      </c>
      <c r="CW103" s="12">
        <f t="shared" si="26"/>
        <v>0</v>
      </c>
      <c r="CX103" s="12">
        <f t="shared" si="26"/>
        <v>0</v>
      </c>
      <c r="CY103" s="12">
        <f t="shared" si="26"/>
        <v>0</v>
      </c>
      <c r="CZ103" s="12">
        <f t="shared" si="26"/>
        <v>0</v>
      </c>
      <c r="DA103" s="12">
        <f t="shared" ref="DA103:EF103" si="27">DA102*$D$23*(1+$D$11)^(MAX(0,DATEDIF($D$10,DA$6,"m"))/12)</f>
        <v>0</v>
      </c>
      <c r="DB103" s="12">
        <f t="shared" si="27"/>
        <v>0</v>
      </c>
      <c r="DC103" s="12">
        <f t="shared" si="27"/>
        <v>0</v>
      </c>
      <c r="DD103" s="12">
        <f t="shared" si="27"/>
        <v>0</v>
      </c>
      <c r="DE103" s="12">
        <f t="shared" si="27"/>
        <v>0</v>
      </c>
      <c r="DF103" s="12">
        <f t="shared" si="27"/>
        <v>0</v>
      </c>
      <c r="DG103" s="12">
        <f t="shared" si="27"/>
        <v>0</v>
      </c>
      <c r="DH103" s="12">
        <f t="shared" si="27"/>
        <v>0</v>
      </c>
      <c r="DI103" s="12">
        <f t="shared" si="27"/>
        <v>0</v>
      </c>
      <c r="DJ103" s="12">
        <f t="shared" si="27"/>
        <v>0</v>
      </c>
      <c r="DK103" s="12">
        <f t="shared" si="27"/>
        <v>0</v>
      </c>
      <c r="DL103" s="12">
        <f t="shared" si="27"/>
        <v>0</v>
      </c>
      <c r="DM103" s="12">
        <f t="shared" si="27"/>
        <v>0</v>
      </c>
      <c r="DN103" s="12">
        <f t="shared" si="27"/>
        <v>0</v>
      </c>
      <c r="DO103" s="12">
        <f t="shared" si="27"/>
        <v>0</v>
      </c>
      <c r="DP103" s="12">
        <f t="shared" si="27"/>
        <v>0</v>
      </c>
      <c r="DQ103" s="12">
        <f t="shared" si="27"/>
        <v>0</v>
      </c>
      <c r="DR103" s="12">
        <f t="shared" si="27"/>
        <v>0</v>
      </c>
      <c r="DS103" s="12">
        <f t="shared" si="27"/>
        <v>0</v>
      </c>
      <c r="DT103" s="12">
        <f t="shared" si="27"/>
        <v>0</v>
      </c>
      <c r="DU103" s="12">
        <f t="shared" si="27"/>
        <v>0</v>
      </c>
      <c r="DV103" s="12">
        <f t="shared" si="27"/>
        <v>0</v>
      </c>
      <c r="DW103" s="12">
        <f t="shared" si="27"/>
        <v>0</v>
      </c>
      <c r="DX103" s="12">
        <f t="shared" si="27"/>
        <v>0</v>
      </c>
      <c r="DY103" s="12">
        <f t="shared" si="27"/>
        <v>0</v>
      </c>
      <c r="DZ103" s="12">
        <f t="shared" si="27"/>
        <v>0</v>
      </c>
      <c r="EA103" s="12">
        <f t="shared" si="27"/>
        <v>0</v>
      </c>
      <c r="EB103" s="12">
        <f t="shared" si="27"/>
        <v>0</v>
      </c>
      <c r="EC103" s="12">
        <f t="shared" si="27"/>
        <v>0</v>
      </c>
      <c r="ED103" s="12">
        <f t="shared" si="27"/>
        <v>0</v>
      </c>
      <c r="EE103" s="12">
        <f t="shared" si="27"/>
        <v>0</v>
      </c>
      <c r="EF103" s="12">
        <f t="shared" si="27"/>
        <v>0</v>
      </c>
      <c r="EG103" s="12">
        <f t="shared" ref="EG103:FH103" si="28">EG102*$D$23*(1+$D$11)^(MAX(0,DATEDIF($D$10,EG$6,"m"))/12)</f>
        <v>0</v>
      </c>
      <c r="EH103" s="12">
        <f t="shared" si="28"/>
        <v>0</v>
      </c>
      <c r="EI103" s="12">
        <f t="shared" si="28"/>
        <v>0</v>
      </c>
      <c r="EJ103" s="12">
        <f t="shared" si="28"/>
        <v>0</v>
      </c>
      <c r="EK103" s="12">
        <f t="shared" si="28"/>
        <v>0</v>
      </c>
      <c r="EL103" s="12">
        <f t="shared" si="28"/>
        <v>0</v>
      </c>
      <c r="EM103" s="12">
        <f t="shared" si="28"/>
        <v>0</v>
      </c>
      <c r="EN103" s="12">
        <f t="shared" si="28"/>
        <v>0</v>
      </c>
      <c r="EO103" s="12">
        <f t="shared" si="28"/>
        <v>0</v>
      </c>
      <c r="EP103" s="12">
        <f t="shared" si="28"/>
        <v>0</v>
      </c>
      <c r="EQ103" s="12">
        <f t="shared" si="28"/>
        <v>0</v>
      </c>
      <c r="ER103" s="12">
        <f t="shared" si="28"/>
        <v>0</v>
      </c>
      <c r="ES103" s="12">
        <f t="shared" si="28"/>
        <v>0</v>
      </c>
      <c r="ET103" s="12">
        <f t="shared" si="28"/>
        <v>0</v>
      </c>
      <c r="EU103" s="12">
        <f t="shared" si="28"/>
        <v>0</v>
      </c>
      <c r="EV103" s="12">
        <f t="shared" si="28"/>
        <v>0</v>
      </c>
      <c r="EW103" s="12">
        <f t="shared" si="28"/>
        <v>0</v>
      </c>
      <c r="EX103" s="12">
        <f t="shared" si="28"/>
        <v>0</v>
      </c>
      <c r="EY103" s="12">
        <f t="shared" si="28"/>
        <v>0</v>
      </c>
      <c r="EZ103" s="12">
        <f t="shared" si="28"/>
        <v>0</v>
      </c>
      <c r="FA103" s="12">
        <f t="shared" si="28"/>
        <v>0</v>
      </c>
      <c r="FB103" s="12">
        <f t="shared" si="28"/>
        <v>0</v>
      </c>
      <c r="FC103" s="12">
        <f t="shared" si="28"/>
        <v>0</v>
      </c>
      <c r="FD103" s="12">
        <f t="shared" si="28"/>
        <v>0</v>
      </c>
      <c r="FE103" s="12">
        <f t="shared" si="28"/>
        <v>0</v>
      </c>
      <c r="FF103" s="12">
        <f t="shared" si="28"/>
        <v>0</v>
      </c>
      <c r="FG103" s="12">
        <f t="shared" si="28"/>
        <v>0</v>
      </c>
      <c r="FH103" s="12">
        <f t="shared" si="28"/>
        <v>0</v>
      </c>
    </row>
    <row r="104" spans="1:164" x14ac:dyDescent="0.2">
      <c r="A104" s="10"/>
      <c r="B104" s="10"/>
      <c r="C104" s="201" t="s">
        <v>748</v>
      </c>
      <c r="D104" s="194"/>
      <c r="E104" s="194"/>
      <c r="F104" s="194"/>
      <c r="G104" s="194"/>
      <c r="H104" s="216"/>
      <c r="I104" s="216">
        <f t="shared" ref="I104:AN104" si="29">IF(I$6&lt;$D$35,I103*$D$50/DATEDIF(I$6,$D$35,"m"),0)</f>
        <v>0</v>
      </c>
      <c r="J104" s="216">
        <f t="shared" si="29"/>
        <v>0</v>
      </c>
      <c r="K104" s="216">
        <f t="shared" si="29"/>
        <v>0</v>
      </c>
      <c r="L104" s="216">
        <f t="shared" si="29"/>
        <v>0</v>
      </c>
      <c r="M104" s="216">
        <f t="shared" si="29"/>
        <v>0</v>
      </c>
      <c r="N104" s="216">
        <f t="shared" si="29"/>
        <v>0</v>
      </c>
      <c r="O104" s="216">
        <f t="shared" si="29"/>
        <v>0</v>
      </c>
      <c r="P104" s="216">
        <f t="shared" si="29"/>
        <v>0</v>
      </c>
      <c r="Q104" s="216">
        <f t="shared" si="29"/>
        <v>0</v>
      </c>
      <c r="R104" s="216">
        <f t="shared" si="29"/>
        <v>0</v>
      </c>
      <c r="S104" s="216">
        <f t="shared" si="29"/>
        <v>0</v>
      </c>
      <c r="T104" s="216">
        <f t="shared" si="29"/>
        <v>0</v>
      </c>
      <c r="U104" s="216">
        <f t="shared" si="29"/>
        <v>98.899999999999977</v>
      </c>
      <c r="V104" s="216">
        <f t="shared" si="29"/>
        <v>101.31219512195121</v>
      </c>
      <c r="W104" s="216">
        <f t="shared" si="29"/>
        <v>103.84499999999998</v>
      </c>
      <c r="X104" s="216">
        <f t="shared" si="29"/>
        <v>106.5076923076923</v>
      </c>
      <c r="Y104" s="216">
        <f t="shared" si="29"/>
        <v>109.31052631578946</v>
      </c>
      <c r="Z104" s="216">
        <f t="shared" si="29"/>
        <v>112.26486486486485</v>
      </c>
      <c r="AA104" s="216">
        <f t="shared" si="29"/>
        <v>38.461111111111109</v>
      </c>
      <c r="AB104" s="216">
        <f t="shared" si="29"/>
        <v>39.559999999999995</v>
      </c>
      <c r="AC104" s="216">
        <f t="shared" si="29"/>
        <v>40.723529411764702</v>
      </c>
      <c r="AD104" s="216">
        <f t="shared" si="29"/>
        <v>41.957575757575754</v>
      </c>
      <c r="AE104" s="216">
        <f t="shared" si="29"/>
        <v>43.268749999999997</v>
      </c>
      <c r="AF104" s="216">
        <f t="shared" si="29"/>
        <v>44.664516129032258</v>
      </c>
      <c r="AG104" s="216">
        <f t="shared" si="29"/>
        <v>46.153333333333329</v>
      </c>
      <c r="AH104" s="216">
        <f t="shared" si="29"/>
        <v>47.744827586206895</v>
      </c>
      <c r="AI104" s="216">
        <f t="shared" si="29"/>
        <v>49.449999999999996</v>
      </c>
      <c r="AJ104" s="216">
        <f t="shared" si="29"/>
        <v>51.281481481481478</v>
      </c>
      <c r="AK104" s="216">
        <f t="shared" si="29"/>
        <v>53.253846153846148</v>
      </c>
      <c r="AL104" s="216">
        <f t="shared" si="29"/>
        <v>55.383999999999993</v>
      </c>
      <c r="AM104" s="216">
        <f t="shared" si="29"/>
        <v>57.691666666666663</v>
      </c>
      <c r="AN104" s="216">
        <f t="shared" si="29"/>
        <v>60.199999999999996</v>
      </c>
      <c r="AO104" s="216">
        <f t="shared" ref="AO104:BT104" si="30">IF(AO$6&lt;$D$35,AO103*$D$50/DATEDIF(AO$6,$D$35,"m"),0)</f>
        <v>62.93636363636363</v>
      </c>
      <c r="AP104" s="216">
        <f t="shared" si="30"/>
        <v>65.933333333333323</v>
      </c>
      <c r="AQ104" s="216">
        <f t="shared" si="30"/>
        <v>69.22999999999999</v>
      </c>
      <c r="AR104" s="216">
        <f t="shared" si="30"/>
        <v>72.873684210526307</v>
      </c>
      <c r="AS104" s="216">
        <f t="shared" si="30"/>
        <v>76.922222222222217</v>
      </c>
      <c r="AT104" s="216">
        <f t="shared" si="30"/>
        <v>81.447058823529403</v>
      </c>
      <c r="AU104" s="216">
        <f t="shared" si="30"/>
        <v>86.537499999999994</v>
      </c>
      <c r="AV104" s="216">
        <f t="shared" si="30"/>
        <v>92.306666666666658</v>
      </c>
      <c r="AW104" s="216">
        <f t="shared" si="30"/>
        <v>98.899999999999991</v>
      </c>
      <c r="AX104" s="216">
        <f t="shared" si="30"/>
        <v>106.5076923076923</v>
      </c>
      <c r="AY104" s="216">
        <f t="shared" si="30"/>
        <v>115.38333333333333</v>
      </c>
      <c r="AZ104" s="216">
        <f t="shared" si="30"/>
        <v>125.87272727272726</v>
      </c>
      <c r="BA104" s="216">
        <f t="shared" si="30"/>
        <v>138.45999999999998</v>
      </c>
      <c r="BB104" s="216">
        <f t="shared" si="30"/>
        <v>153.84444444444443</v>
      </c>
      <c r="BC104" s="216">
        <f t="shared" si="30"/>
        <v>173.07499999999999</v>
      </c>
      <c r="BD104" s="216">
        <f t="shared" si="30"/>
        <v>197.79999999999998</v>
      </c>
      <c r="BE104" s="216">
        <f t="shared" si="30"/>
        <v>230.76666666666665</v>
      </c>
      <c r="BF104" s="216">
        <f t="shared" si="30"/>
        <v>276.91999999999996</v>
      </c>
      <c r="BG104" s="216">
        <f t="shared" si="30"/>
        <v>346.15</v>
      </c>
      <c r="BH104" s="216">
        <f t="shared" si="30"/>
        <v>461.5333333333333</v>
      </c>
      <c r="BI104" s="216">
        <f t="shared" si="30"/>
        <v>692.3</v>
      </c>
      <c r="BJ104" s="216">
        <f t="shared" si="30"/>
        <v>1384.6</v>
      </c>
      <c r="BK104" s="216">
        <f t="shared" si="30"/>
        <v>0</v>
      </c>
      <c r="BL104" s="216">
        <f t="shared" si="30"/>
        <v>0</v>
      </c>
      <c r="BM104" s="216">
        <f t="shared" si="30"/>
        <v>0</v>
      </c>
      <c r="BN104" s="216">
        <f t="shared" si="30"/>
        <v>0</v>
      </c>
      <c r="BO104" s="216">
        <f t="shared" si="30"/>
        <v>0</v>
      </c>
      <c r="BP104" s="216">
        <f t="shared" si="30"/>
        <v>0</v>
      </c>
      <c r="BQ104" s="216">
        <f t="shared" si="30"/>
        <v>0</v>
      </c>
      <c r="BR104" s="216">
        <f t="shared" si="30"/>
        <v>0</v>
      </c>
      <c r="BS104" s="216">
        <f t="shared" si="30"/>
        <v>0</v>
      </c>
      <c r="BT104" s="216">
        <f t="shared" si="30"/>
        <v>0</v>
      </c>
      <c r="BU104" s="216">
        <f t="shared" ref="BU104:CZ104" si="31">IF(BU$6&lt;$D$35,BU103*$D$50/DATEDIF(BU$6,$D$35,"m"),0)</f>
        <v>0</v>
      </c>
      <c r="BV104" s="216">
        <f t="shared" si="31"/>
        <v>0</v>
      </c>
      <c r="BW104" s="216">
        <f t="shared" si="31"/>
        <v>0</v>
      </c>
      <c r="BX104" s="216">
        <f t="shared" si="31"/>
        <v>0</v>
      </c>
      <c r="BY104" s="216">
        <f t="shared" si="31"/>
        <v>0</v>
      </c>
      <c r="BZ104" s="216">
        <f t="shared" si="31"/>
        <v>0</v>
      </c>
      <c r="CA104" s="216">
        <f t="shared" si="31"/>
        <v>0</v>
      </c>
      <c r="CB104" s="216">
        <f t="shared" si="31"/>
        <v>0</v>
      </c>
      <c r="CC104" s="216">
        <f t="shared" si="31"/>
        <v>0</v>
      </c>
      <c r="CD104" s="216">
        <f t="shared" si="31"/>
        <v>0</v>
      </c>
      <c r="CE104" s="216">
        <f t="shared" si="31"/>
        <v>0</v>
      </c>
      <c r="CF104" s="216">
        <f t="shared" si="31"/>
        <v>0</v>
      </c>
      <c r="CG104" s="216">
        <f t="shared" si="31"/>
        <v>0</v>
      </c>
      <c r="CH104" s="216">
        <f t="shared" si="31"/>
        <v>0</v>
      </c>
      <c r="CI104" s="216">
        <f t="shared" si="31"/>
        <v>0</v>
      </c>
      <c r="CJ104" s="216">
        <f t="shared" si="31"/>
        <v>0</v>
      </c>
      <c r="CK104" s="216">
        <f t="shared" si="31"/>
        <v>0</v>
      </c>
      <c r="CL104" s="216">
        <f t="shared" si="31"/>
        <v>0</v>
      </c>
      <c r="CM104" s="216">
        <f t="shared" si="31"/>
        <v>0</v>
      </c>
      <c r="CN104" s="216">
        <f t="shared" si="31"/>
        <v>0</v>
      </c>
      <c r="CO104" s="216">
        <f t="shared" si="31"/>
        <v>0</v>
      </c>
      <c r="CP104" s="216">
        <f t="shared" si="31"/>
        <v>0</v>
      </c>
      <c r="CQ104" s="216">
        <f t="shared" si="31"/>
        <v>0</v>
      </c>
      <c r="CR104" s="216">
        <f t="shared" si="31"/>
        <v>0</v>
      </c>
      <c r="CS104" s="216">
        <f t="shared" si="31"/>
        <v>0</v>
      </c>
      <c r="CT104" s="216">
        <f t="shared" si="31"/>
        <v>0</v>
      </c>
      <c r="CU104" s="216">
        <f t="shared" si="31"/>
        <v>0</v>
      </c>
      <c r="CV104" s="216">
        <f t="shared" si="31"/>
        <v>0</v>
      </c>
      <c r="CW104" s="216">
        <f t="shared" si="31"/>
        <v>0</v>
      </c>
      <c r="CX104" s="216">
        <f t="shared" si="31"/>
        <v>0</v>
      </c>
      <c r="CY104" s="216">
        <f t="shared" si="31"/>
        <v>0</v>
      </c>
      <c r="CZ104" s="216">
        <f t="shared" si="31"/>
        <v>0</v>
      </c>
      <c r="DA104" s="216">
        <f t="shared" ref="DA104:EF104" si="32">IF(DA$6&lt;$D$35,DA103*$D$50/DATEDIF(DA$6,$D$35,"m"),0)</f>
        <v>0</v>
      </c>
      <c r="DB104" s="216">
        <f t="shared" si="32"/>
        <v>0</v>
      </c>
      <c r="DC104" s="216">
        <f t="shared" si="32"/>
        <v>0</v>
      </c>
      <c r="DD104" s="216">
        <f t="shared" si="32"/>
        <v>0</v>
      </c>
      <c r="DE104" s="216">
        <f t="shared" si="32"/>
        <v>0</v>
      </c>
      <c r="DF104" s="216">
        <f t="shared" si="32"/>
        <v>0</v>
      </c>
      <c r="DG104" s="216">
        <f t="shared" si="32"/>
        <v>0</v>
      </c>
      <c r="DH104" s="216">
        <f t="shared" si="32"/>
        <v>0</v>
      </c>
      <c r="DI104" s="216">
        <f t="shared" si="32"/>
        <v>0</v>
      </c>
      <c r="DJ104" s="216">
        <f t="shared" si="32"/>
        <v>0</v>
      </c>
      <c r="DK104" s="216">
        <f t="shared" si="32"/>
        <v>0</v>
      </c>
      <c r="DL104" s="216">
        <f t="shared" si="32"/>
        <v>0</v>
      </c>
      <c r="DM104" s="216">
        <f t="shared" si="32"/>
        <v>0</v>
      </c>
      <c r="DN104" s="216">
        <f t="shared" si="32"/>
        <v>0</v>
      </c>
      <c r="DO104" s="216">
        <f t="shared" si="32"/>
        <v>0</v>
      </c>
      <c r="DP104" s="216">
        <f t="shared" si="32"/>
        <v>0</v>
      </c>
      <c r="DQ104" s="216">
        <f t="shared" si="32"/>
        <v>0</v>
      </c>
      <c r="DR104" s="216">
        <f t="shared" si="32"/>
        <v>0</v>
      </c>
      <c r="DS104" s="216">
        <f t="shared" si="32"/>
        <v>0</v>
      </c>
      <c r="DT104" s="216">
        <f t="shared" si="32"/>
        <v>0</v>
      </c>
      <c r="DU104" s="216">
        <f t="shared" si="32"/>
        <v>0</v>
      </c>
      <c r="DV104" s="216">
        <f t="shared" si="32"/>
        <v>0</v>
      </c>
      <c r="DW104" s="216">
        <f t="shared" si="32"/>
        <v>0</v>
      </c>
      <c r="DX104" s="216">
        <f t="shared" si="32"/>
        <v>0</v>
      </c>
      <c r="DY104" s="216">
        <f t="shared" si="32"/>
        <v>0</v>
      </c>
      <c r="DZ104" s="216">
        <f t="shared" si="32"/>
        <v>0</v>
      </c>
      <c r="EA104" s="216">
        <f t="shared" si="32"/>
        <v>0</v>
      </c>
      <c r="EB104" s="216">
        <f t="shared" si="32"/>
        <v>0</v>
      </c>
      <c r="EC104" s="216">
        <f t="shared" si="32"/>
        <v>0</v>
      </c>
      <c r="ED104" s="216">
        <f t="shared" si="32"/>
        <v>0</v>
      </c>
      <c r="EE104" s="216">
        <f t="shared" si="32"/>
        <v>0</v>
      </c>
      <c r="EF104" s="216">
        <f t="shared" si="32"/>
        <v>0</v>
      </c>
      <c r="EG104" s="216">
        <f t="shared" ref="EG104:FH104" si="33">IF(EG$6&lt;$D$35,EG103*$D$50/DATEDIF(EG$6,$D$35,"m"),0)</f>
        <v>0</v>
      </c>
      <c r="EH104" s="216">
        <f t="shared" si="33"/>
        <v>0</v>
      </c>
      <c r="EI104" s="216">
        <f t="shared" si="33"/>
        <v>0</v>
      </c>
      <c r="EJ104" s="216">
        <f t="shared" si="33"/>
        <v>0</v>
      </c>
      <c r="EK104" s="216">
        <f t="shared" si="33"/>
        <v>0</v>
      </c>
      <c r="EL104" s="216">
        <f t="shared" si="33"/>
        <v>0</v>
      </c>
      <c r="EM104" s="216">
        <f t="shared" si="33"/>
        <v>0</v>
      </c>
      <c r="EN104" s="216">
        <f t="shared" si="33"/>
        <v>0</v>
      </c>
      <c r="EO104" s="216">
        <f t="shared" si="33"/>
        <v>0</v>
      </c>
      <c r="EP104" s="216">
        <f t="shared" si="33"/>
        <v>0</v>
      </c>
      <c r="EQ104" s="216">
        <f t="shared" si="33"/>
        <v>0</v>
      </c>
      <c r="ER104" s="216">
        <f t="shared" si="33"/>
        <v>0</v>
      </c>
      <c r="ES104" s="216">
        <f t="shared" si="33"/>
        <v>0</v>
      </c>
      <c r="ET104" s="216">
        <f t="shared" si="33"/>
        <v>0</v>
      </c>
      <c r="EU104" s="216">
        <f t="shared" si="33"/>
        <v>0</v>
      </c>
      <c r="EV104" s="216">
        <f t="shared" si="33"/>
        <v>0</v>
      </c>
      <c r="EW104" s="216">
        <f t="shared" si="33"/>
        <v>0</v>
      </c>
      <c r="EX104" s="216">
        <f t="shared" si="33"/>
        <v>0</v>
      </c>
      <c r="EY104" s="216">
        <f t="shared" si="33"/>
        <v>0</v>
      </c>
      <c r="EZ104" s="216">
        <f t="shared" si="33"/>
        <v>0</v>
      </c>
      <c r="FA104" s="216">
        <f t="shared" si="33"/>
        <v>0</v>
      </c>
      <c r="FB104" s="216">
        <f t="shared" si="33"/>
        <v>0</v>
      </c>
      <c r="FC104" s="216">
        <f t="shared" si="33"/>
        <v>0</v>
      </c>
      <c r="FD104" s="216">
        <f t="shared" si="33"/>
        <v>0</v>
      </c>
      <c r="FE104" s="216">
        <f t="shared" si="33"/>
        <v>0</v>
      </c>
      <c r="FF104" s="216">
        <f t="shared" si="33"/>
        <v>0</v>
      </c>
      <c r="FG104" s="216">
        <f t="shared" si="33"/>
        <v>0</v>
      </c>
      <c r="FH104" s="216">
        <f t="shared" si="33"/>
        <v>0</v>
      </c>
    </row>
    <row r="105" spans="1:164" x14ac:dyDescent="0.2">
      <c r="A105" s="10"/>
      <c r="B105" s="10"/>
      <c r="C105" s="10" t="s">
        <v>749</v>
      </c>
      <c r="D105" s="10"/>
      <c r="E105" s="10"/>
      <c r="F105" s="10"/>
      <c r="G105" s="10"/>
      <c r="H105" s="12">
        <f t="shared" ref="H105:H113" si="34">SUM(I105:FH105)</f>
        <v>38768.799999999988</v>
      </c>
      <c r="I105" s="12">
        <f t="shared" ref="I105:AN105" si="35">I103*$D$49+IF(I$6&gt;=$D$35,I103*($D$50+$D$51),0)</f>
        <v>0</v>
      </c>
      <c r="J105" s="12">
        <f t="shared" si="35"/>
        <v>0</v>
      </c>
      <c r="K105" s="12">
        <f t="shared" si="35"/>
        <v>0</v>
      </c>
      <c r="L105" s="12">
        <f t="shared" si="35"/>
        <v>0</v>
      </c>
      <c r="M105" s="12">
        <f t="shared" si="35"/>
        <v>0</v>
      </c>
      <c r="N105" s="12">
        <f t="shared" si="35"/>
        <v>0</v>
      </c>
      <c r="O105" s="12">
        <f t="shared" si="35"/>
        <v>0</v>
      </c>
      <c r="P105" s="12">
        <f t="shared" si="35"/>
        <v>0</v>
      </c>
      <c r="Q105" s="12">
        <f t="shared" si="35"/>
        <v>0</v>
      </c>
      <c r="R105" s="12">
        <f t="shared" si="35"/>
        <v>0</v>
      </c>
      <c r="S105" s="12">
        <f t="shared" si="35"/>
        <v>0</v>
      </c>
      <c r="T105" s="12">
        <f t="shared" si="35"/>
        <v>0</v>
      </c>
      <c r="U105" s="12">
        <f t="shared" si="35"/>
        <v>1384.6</v>
      </c>
      <c r="V105" s="12">
        <f t="shared" si="35"/>
        <v>1384.6</v>
      </c>
      <c r="W105" s="12">
        <f t="shared" si="35"/>
        <v>1384.6</v>
      </c>
      <c r="X105" s="12">
        <f t="shared" si="35"/>
        <v>1384.6</v>
      </c>
      <c r="Y105" s="12">
        <f t="shared" si="35"/>
        <v>1384.6</v>
      </c>
      <c r="Z105" s="12">
        <f t="shared" si="35"/>
        <v>1384.6</v>
      </c>
      <c r="AA105" s="12">
        <f t="shared" si="35"/>
        <v>461.5333333333333</v>
      </c>
      <c r="AB105" s="12">
        <f t="shared" si="35"/>
        <v>461.5333333333333</v>
      </c>
      <c r="AC105" s="12">
        <f t="shared" si="35"/>
        <v>461.5333333333333</v>
      </c>
      <c r="AD105" s="12">
        <f t="shared" si="35"/>
        <v>461.5333333333333</v>
      </c>
      <c r="AE105" s="12">
        <f t="shared" si="35"/>
        <v>461.5333333333333</v>
      </c>
      <c r="AF105" s="12">
        <f t="shared" si="35"/>
        <v>461.5333333333333</v>
      </c>
      <c r="AG105" s="12">
        <f t="shared" si="35"/>
        <v>461.5333333333333</v>
      </c>
      <c r="AH105" s="12">
        <f t="shared" si="35"/>
        <v>461.5333333333333</v>
      </c>
      <c r="AI105" s="12">
        <f t="shared" si="35"/>
        <v>461.5333333333333</v>
      </c>
      <c r="AJ105" s="12">
        <f t="shared" si="35"/>
        <v>461.5333333333333</v>
      </c>
      <c r="AK105" s="12">
        <f t="shared" si="35"/>
        <v>461.5333333333333</v>
      </c>
      <c r="AL105" s="12">
        <f t="shared" si="35"/>
        <v>461.5333333333333</v>
      </c>
      <c r="AM105" s="12">
        <f t="shared" si="35"/>
        <v>461.5333333333333</v>
      </c>
      <c r="AN105" s="12">
        <f t="shared" si="35"/>
        <v>461.5333333333333</v>
      </c>
      <c r="AO105" s="12">
        <f t="shared" ref="AO105:BT105" si="36">AO103*$D$49+IF(AO$6&gt;=$D$35,AO103*($D$50+$D$51),0)</f>
        <v>461.5333333333333</v>
      </c>
      <c r="AP105" s="12">
        <f t="shared" si="36"/>
        <v>461.5333333333333</v>
      </c>
      <c r="AQ105" s="12">
        <f t="shared" si="36"/>
        <v>461.5333333333333</v>
      </c>
      <c r="AR105" s="12">
        <f t="shared" si="36"/>
        <v>461.5333333333333</v>
      </c>
      <c r="AS105" s="12">
        <f t="shared" si="36"/>
        <v>461.5333333333333</v>
      </c>
      <c r="AT105" s="12">
        <f t="shared" si="36"/>
        <v>461.5333333333333</v>
      </c>
      <c r="AU105" s="12">
        <f t="shared" si="36"/>
        <v>461.5333333333333</v>
      </c>
      <c r="AV105" s="12">
        <f t="shared" si="36"/>
        <v>461.5333333333333</v>
      </c>
      <c r="AW105" s="12">
        <f t="shared" si="36"/>
        <v>461.5333333333333</v>
      </c>
      <c r="AX105" s="12">
        <f t="shared" si="36"/>
        <v>461.5333333333333</v>
      </c>
      <c r="AY105" s="12">
        <f t="shared" si="36"/>
        <v>461.5333333333333</v>
      </c>
      <c r="AZ105" s="12">
        <f t="shared" si="36"/>
        <v>461.5333333333333</v>
      </c>
      <c r="BA105" s="12">
        <f t="shared" si="36"/>
        <v>461.5333333333333</v>
      </c>
      <c r="BB105" s="12">
        <f t="shared" si="36"/>
        <v>461.5333333333333</v>
      </c>
      <c r="BC105" s="12">
        <f t="shared" si="36"/>
        <v>461.5333333333333</v>
      </c>
      <c r="BD105" s="12">
        <f t="shared" si="36"/>
        <v>461.5333333333333</v>
      </c>
      <c r="BE105" s="12">
        <f t="shared" si="36"/>
        <v>461.5333333333333</v>
      </c>
      <c r="BF105" s="12">
        <f t="shared" si="36"/>
        <v>461.5333333333333</v>
      </c>
      <c r="BG105" s="12">
        <f t="shared" si="36"/>
        <v>461.5333333333333</v>
      </c>
      <c r="BH105" s="12">
        <f t="shared" si="36"/>
        <v>461.5333333333333</v>
      </c>
      <c r="BI105" s="12">
        <f t="shared" si="36"/>
        <v>461.5333333333333</v>
      </c>
      <c r="BJ105" s="12">
        <f t="shared" si="36"/>
        <v>461.5333333333333</v>
      </c>
      <c r="BK105" s="12">
        <f t="shared" si="36"/>
        <v>0</v>
      </c>
      <c r="BL105" s="12">
        <f t="shared" si="36"/>
        <v>1153.8333333333333</v>
      </c>
      <c r="BM105" s="12">
        <f t="shared" si="36"/>
        <v>1153.8333333333333</v>
      </c>
      <c r="BN105" s="12">
        <f t="shared" si="36"/>
        <v>1153.8333333333333</v>
      </c>
      <c r="BO105" s="12">
        <f t="shared" si="36"/>
        <v>1153.8333333333333</v>
      </c>
      <c r="BP105" s="12">
        <f t="shared" si="36"/>
        <v>1153.8333333333333</v>
      </c>
      <c r="BQ105" s="12">
        <f t="shared" si="36"/>
        <v>1153.8333333333333</v>
      </c>
      <c r="BR105" s="12">
        <f t="shared" si="36"/>
        <v>1153.8333333333333</v>
      </c>
      <c r="BS105" s="12">
        <f t="shared" si="36"/>
        <v>1153.8333333333333</v>
      </c>
      <c r="BT105" s="12">
        <f t="shared" si="36"/>
        <v>1153.8333333333333</v>
      </c>
      <c r="BU105" s="12">
        <f t="shared" ref="BU105:CZ105" si="37">BU103*$D$49+IF(BU$6&gt;=$D$35,BU103*($D$50+$D$51),0)</f>
        <v>1153.8333333333333</v>
      </c>
      <c r="BV105" s="12">
        <f t="shared" si="37"/>
        <v>1153.8333333333333</v>
      </c>
      <c r="BW105" s="12">
        <f t="shared" si="37"/>
        <v>1153.8333333333333</v>
      </c>
      <c r="BX105" s="12">
        <f t="shared" si="37"/>
        <v>0</v>
      </c>
      <c r="BY105" s="12">
        <f t="shared" si="37"/>
        <v>0</v>
      </c>
      <c r="BZ105" s="12">
        <f t="shared" si="37"/>
        <v>0</v>
      </c>
      <c r="CA105" s="12">
        <f t="shared" si="37"/>
        <v>0</v>
      </c>
      <c r="CB105" s="12">
        <f t="shared" si="37"/>
        <v>0</v>
      </c>
      <c r="CC105" s="12">
        <f t="shared" si="37"/>
        <v>0</v>
      </c>
      <c r="CD105" s="12">
        <f t="shared" si="37"/>
        <v>0</v>
      </c>
      <c r="CE105" s="12">
        <f t="shared" si="37"/>
        <v>0</v>
      </c>
      <c r="CF105" s="12">
        <f t="shared" si="37"/>
        <v>0</v>
      </c>
      <c r="CG105" s="12">
        <f t="shared" si="37"/>
        <v>0</v>
      </c>
      <c r="CH105" s="12">
        <f t="shared" si="37"/>
        <v>0</v>
      </c>
      <c r="CI105" s="12">
        <f t="shared" si="37"/>
        <v>0</v>
      </c>
      <c r="CJ105" s="12">
        <f t="shared" si="37"/>
        <v>0</v>
      </c>
      <c r="CK105" s="12">
        <f t="shared" si="37"/>
        <v>0</v>
      </c>
      <c r="CL105" s="12">
        <f t="shared" si="37"/>
        <v>0</v>
      </c>
      <c r="CM105" s="12">
        <f t="shared" si="37"/>
        <v>0</v>
      </c>
      <c r="CN105" s="12">
        <f t="shared" si="37"/>
        <v>0</v>
      </c>
      <c r="CO105" s="12">
        <f t="shared" si="37"/>
        <v>0</v>
      </c>
      <c r="CP105" s="12">
        <f t="shared" si="37"/>
        <v>0</v>
      </c>
      <c r="CQ105" s="12">
        <f t="shared" si="37"/>
        <v>0</v>
      </c>
      <c r="CR105" s="12">
        <f t="shared" si="37"/>
        <v>0</v>
      </c>
      <c r="CS105" s="12">
        <f t="shared" si="37"/>
        <v>0</v>
      </c>
      <c r="CT105" s="12">
        <f t="shared" si="37"/>
        <v>0</v>
      </c>
      <c r="CU105" s="12">
        <f t="shared" si="37"/>
        <v>0</v>
      </c>
      <c r="CV105" s="12">
        <f t="shared" si="37"/>
        <v>0</v>
      </c>
      <c r="CW105" s="12">
        <f t="shared" si="37"/>
        <v>0</v>
      </c>
      <c r="CX105" s="12">
        <f t="shared" si="37"/>
        <v>0</v>
      </c>
      <c r="CY105" s="12">
        <f t="shared" si="37"/>
        <v>0</v>
      </c>
      <c r="CZ105" s="12">
        <f t="shared" si="37"/>
        <v>0</v>
      </c>
      <c r="DA105" s="12">
        <f t="shared" ref="DA105:EF105" si="38">DA103*$D$49+IF(DA$6&gt;=$D$35,DA103*($D$50+$D$51),0)</f>
        <v>0</v>
      </c>
      <c r="DB105" s="12">
        <f t="shared" si="38"/>
        <v>0</v>
      </c>
      <c r="DC105" s="12">
        <f t="shared" si="38"/>
        <v>0</v>
      </c>
      <c r="DD105" s="12">
        <f t="shared" si="38"/>
        <v>0</v>
      </c>
      <c r="DE105" s="12">
        <f t="shared" si="38"/>
        <v>0</v>
      </c>
      <c r="DF105" s="12">
        <f t="shared" si="38"/>
        <v>0</v>
      </c>
      <c r="DG105" s="12">
        <f t="shared" si="38"/>
        <v>0</v>
      </c>
      <c r="DH105" s="12">
        <f t="shared" si="38"/>
        <v>0</v>
      </c>
      <c r="DI105" s="12">
        <f t="shared" si="38"/>
        <v>0</v>
      </c>
      <c r="DJ105" s="12">
        <f t="shared" si="38"/>
        <v>0</v>
      </c>
      <c r="DK105" s="12">
        <f t="shared" si="38"/>
        <v>0</v>
      </c>
      <c r="DL105" s="12">
        <f t="shared" si="38"/>
        <v>0</v>
      </c>
      <c r="DM105" s="12">
        <f t="shared" si="38"/>
        <v>0</v>
      </c>
      <c r="DN105" s="12">
        <f t="shared" si="38"/>
        <v>0</v>
      </c>
      <c r="DO105" s="12">
        <f t="shared" si="38"/>
        <v>0</v>
      </c>
      <c r="DP105" s="12">
        <f t="shared" si="38"/>
        <v>0</v>
      </c>
      <c r="DQ105" s="12">
        <f t="shared" si="38"/>
        <v>0</v>
      </c>
      <c r="DR105" s="12">
        <f t="shared" si="38"/>
        <v>0</v>
      </c>
      <c r="DS105" s="12">
        <f t="shared" si="38"/>
        <v>0</v>
      </c>
      <c r="DT105" s="12">
        <f t="shared" si="38"/>
        <v>0</v>
      </c>
      <c r="DU105" s="12">
        <f t="shared" si="38"/>
        <v>0</v>
      </c>
      <c r="DV105" s="12">
        <f t="shared" si="38"/>
        <v>0</v>
      </c>
      <c r="DW105" s="12">
        <f t="shared" si="38"/>
        <v>0</v>
      </c>
      <c r="DX105" s="12">
        <f t="shared" si="38"/>
        <v>0</v>
      </c>
      <c r="DY105" s="12">
        <f t="shared" si="38"/>
        <v>0</v>
      </c>
      <c r="DZ105" s="12">
        <f t="shared" si="38"/>
        <v>0</v>
      </c>
      <c r="EA105" s="12">
        <f t="shared" si="38"/>
        <v>0</v>
      </c>
      <c r="EB105" s="12">
        <f t="shared" si="38"/>
        <v>0</v>
      </c>
      <c r="EC105" s="12">
        <f t="shared" si="38"/>
        <v>0</v>
      </c>
      <c r="ED105" s="12">
        <f t="shared" si="38"/>
        <v>0</v>
      </c>
      <c r="EE105" s="12">
        <f t="shared" si="38"/>
        <v>0</v>
      </c>
      <c r="EF105" s="12">
        <f t="shared" si="38"/>
        <v>0</v>
      </c>
      <c r="EG105" s="12">
        <f t="shared" ref="EG105:FH105" si="39">EG103*$D$49+IF(EG$6&gt;=$D$35,EG103*($D$50+$D$51),0)</f>
        <v>0</v>
      </c>
      <c r="EH105" s="12">
        <f t="shared" si="39"/>
        <v>0</v>
      </c>
      <c r="EI105" s="12">
        <f t="shared" si="39"/>
        <v>0</v>
      </c>
      <c r="EJ105" s="12">
        <f t="shared" si="39"/>
        <v>0</v>
      </c>
      <c r="EK105" s="12">
        <f t="shared" si="39"/>
        <v>0</v>
      </c>
      <c r="EL105" s="12">
        <f t="shared" si="39"/>
        <v>0</v>
      </c>
      <c r="EM105" s="12">
        <f t="shared" si="39"/>
        <v>0</v>
      </c>
      <c r="EN105" s="12">
        <f t="shared" si="39"/>
        <v>0</v>
      </c>
      <c r="EO105" s="12">
        <f t="shared" si="39"/>
        <v>0</v>
      </c>
      <c r="EP105" s="12">
        <f t="shared" si="39"/>
        <v>0</v>
      </c>
      <c r="EQ105" s="12">
        <f t="shared" si="39"/>
        <v>0</v>
      </c>
      <c r="ER105" s="12">
        <f t="shared" si="39"/>
        <v>0</v>
      </c>
      <c r="ES105" s="12">
        <f t="shared" si="39"/>
        <v>0</v>
      </c>
      <c r="ET105" s="12">
        <f t="shared" si="39"/>
        <v>0</v>
      </c>
      <c r="EU105" s="12">
        <f t="shared" si="39"/>
        <v>0</v>
      </c>
      <c r="EV105" s="12">
        <f t="shared" si="39"/>
        <v>0</v>
      </c>
      <c r="EW105" s="12">
        <f t="shared" si="39"/>
        <v>0</v>
      </c>
      <c r="EX105" s="12">
        <f t="shared" si="39"/>
        <v>0</v>
      </c>
      <c r="EY105" s="12">
        <f t="shared" si="39"/>
        <v>0</v>
      </c>
      <c r="EZ105" s="12">
        <f t="shared" si="39"/>
        <v>0</v>
      </c>
      <c r="FA105" s="12">
        <f t="shared" si="39"/>
        <v>0</v>
      </c>
      <c r="FB105" s="12">
        <f t="shared" si="39"/>
        <v>0</v>
      </c>
      <c r="FC105" s="12">
        <f t="shared" si="39"/>
        <v>0</v>
      </c>
      <c r="FD105" s="12">
        <f t="shared" si="39"/>
        <v>0</v>
      </c>
      <c r="FE105" s="12">
        <f t="shared" si="39"/>
        <v>0</v>
      </c>
      <c r="FF105" s="12">
        <f t="shared" si="39"/>
        <v>0</v>
      </c>
      <c r="FG105" s="12">
        <f t="shared" si="39"/>
        <v>0</v>
      </c>
      <c r="FH105" s="12">
        <f t="shared" si="39"/>
        <v>0</v>
      </c>
    </row>
    <row r="106" spans="1:164" x14ac:dyDescent="0.2">
      <c r="A106" s="10"/>
      <c r="B106" s="10"/>
      <c r="C106" s="10" t="s">
        <v>750</v>
      </c>
      <c r="D106" s="10"/>
      <c r="E106" s="10"/>
      <c r="F106" s="10"/>
      <c r="G106" s="10"/>
      <c r="H106" s="12">
        <f t="shared" si="34"/>
        <v>74768.400000000009</v>
      </c>
      <c r="I106" s="12">
        <f>IF(I$6&lt;$D$35,SUM($I104:I104),0)</f>
        <v>0</v>
      </c>
      <c r="J106" s="12">
        <f>IF(J$6&lt;$D$35,SUM($I104:J104),0)</f>
        <v>0</v>
      </c>
      <c r="K106" s="12">
        <f>IF(K$6&lt;$D$35,SUM($I104:K104),0)</f>
        <v>0</v>
      </c>
      <c r="L106" s="12">
        <f>IF(L$6&lt;$D$35,SUM($I104:L104),0)</f>
        <v>0</v>
      </c>
      <c r="M106" s="12">
        <f>IF(M$6&lt;$D$35,SUM($I104:M104),0)</f>
        <v>0</v>
      </c>
      <c r="N106" s="12">
        <f>IF(N$6&lt;$D$35,SUM($I104:N104),0)</f>
        <v>0</v>
      </c>
      <c r="O106" s="12">
        <f>IF(O$6&lt;$D$35,SUM($I104:O104),0)</f>
        <v>0</v>
      </c>
      <c r="P106" s="12">
        <f>IF(P$6&lt;$D$35,SUM($I104:P104),0)</f>
        <v>0</v>
      </c>
      <c r="Q106" s="12">
        <f>IF(Q$6&lt;$D$35,SUM($I104:Q104),0)</f>
        <v>0</v>
      </c>
      <c r="R106" s="12">
        <f>IF(R$6&lt;$D$35,SUM($I104:R104),0)</f>
        <v>0</v>
      </c>
      <c r="S106" s="12">
        <f>IF(S$6&lt;$D$35,SUM($I104:S104),0)</f>
        <v>0</v>
      </c>
      <c r="T106" s="12">
        <f>IF(T$6&lt;$D$35,SUM($I104:T104),0)</f>
        <v>0</v>
      </c>
      <c r="U106" s="12">
        <f>IF(U$6&lt;$D$35,SUM($I104:U104),0)</f>
        <v>98.899999999999977</v>
      </c>
      <c r="V106" s="12">
        <f>IF(V$6&lt;$D$35,SUM($I104:V104),0)</f>
        <v>200.2121951219512</v>
      </c>
      <c r="W106" s="12">
        <f>IF(W$6&lt;$D$35,SUM($I104:W104),0)</f>
        <v>304.05719512195117</v>
      </c>
      <c r="X106" s="12">
        <f>IF(X$6&lt;$D$35,SUM($I104:X104),0)</f>
        <v>410.56488742964348</v>
      </c>
      <c r="Y106" s="12">
        <f>IF(Y$6&lt;$D$35,SUM($I104:Y104),0)</f>
        <v>519.87541374543298</v>
      </c>
      <c r="Z106" s="12">
        <f>IF(Z$6&lt;$D$35,SUM($I104:Z104),0)</f>
        <v>632.14027861029786</v>
      </c>
      <c r="AA106" s="12">
        <f>IF(AA$6&lt;$D$35,SUM($I104:AA104),0)</f>
        <v>670.60138972140896</v>
      </c>
      <c r="AB106" s="12">
        <f>IF(AB$6&lt;$D$35,SUM($I104:AB104),0)</f>
        <v>710.16138972140891</v>
      </c>
      <c r="AC106" s="12">
        <f>IF(AC$6&lt;$D$35,SUM($I104:AC104),0)</f>
        <v>750.88491913317364</v>
      </c>
      <c r="AD106" s="12">
        <f>IF(AD$6&lt;$D$35,SUM($I104:AD104),0)</f>
        <v>792.84249489074944</v>
      </c>
      <c r="AE106" s="12">
        <f>IF(AE$6&lt;$D$35,SUM($I104:AE104),0)</f>
        <v>836.11124489074939</v>
      </c>
      <c r="AF106" s="12">
        <f>IF(AF$6&lt;$D$35,SUM($I104:AF104),0)</f>
        <v>880.77576101978161</v>
      </c>
      <c r="AG106" s="12">
        <f>IF(AG$6&lt;$D$35,SUM($I104:AG104),0)</f>
        <v>926.92909435311492</v>
      </c>
      <c r="AH106" s="12">
        <f>IF(AH$6&lt;$D$35,SUM($I104:AH104),0)</f>
        <v>974.67392193932187</v>
      </c>
      <c r="AI106" s="12">
        <f>IF(AI$6&lt;$D$35,SUM($I104:AI104),0)</f>
        <v>1024.1239219393219</v>
      </c>
      <c r="AJ106" s="12">
        <f>IF(AJ$6&lt;$D$35,SUM($I104:AJ104),0)</f>
        <v>1075.4054034208034</v>
      </c>
      <c r="AK106" s="12">
        <f>IF(AK$6&lt;$D$35,SUM($I104:AK104),0)</f>
        <v>1128.6592495746495</v>
      </c>
      <c r="AL106" s="12">
        <f>IF(AL$6&lt;$D$35,SUM($I104:AL104),0)</f>
        <v>1184.0432495746495</v>
      </c>
      <c r="AM106" s="12">
        <f>IF(AM$6&lt;$D$35,SUM($I104:AM104),0)</f>
        <v>1241.7349162413161</v>
      </c>
      <c r="AN106" s="12">
        <f>IF(AN$6&lt;$D$35,SUM($I104:AN104),0)</f>
        <v>1301.9349162413162</v>
      </c>
      <c r="AO106" s="12">
        <f>IF(AO$6&lt;$D$35,SUM($I104:AO104),0)</f>
        <v>1364.8712798776799</v>
      </c>
      <c r="AP106" s="12">
        <f>IF(AP$6&lt;$D$35,SUM($I104:AP104),0)</f>
        <v>1430.8046132110132</v>
      </c>
      <c r="AQ106" s="12">
        <f>IF(AQ$6&lt;$D$35,SUM($I104:AQ104),0)</f>
        <v>1500.0346132110133</v>
      </c>
      <c r="AR106" s="12">
        <f>IF(AR$6&lt;$D$35,SUM($I104:AR104),0)</f>
        <v>1572.9082974215396</v>
      </c>
      <c r="AS106" s="12">
        <f>IF(AS$6&lt;$D$35,SUM($I104:AS104),0)</f>
        <v>1649.8305196437618</v>
      </c>
      <c r="AT106" s="12">
        <f>IF(AT$6&lt;$D$35,SUM($I104:AT104),0)</f>
        <v>1731.2775784672913</v>
      </c>
      <c r="AU106" s="12">
        <f>IF(AU$6&lt;$D$35,SUM($I104:AU104),0)</f>
        <v>1817.8150784672912</v>
      </c>
      <c r="AV106" s="12">
        <f>IF(AV$6&lt;$D$35,SUM($I104:AV104),0)</f>
        <v>1910.1217451339578</v>
      </c>
      <c r="AW106" s="12">
        <f>IF(AW$6&lt;$D$35,SUM($I104:AW104),0)</f>
        <v>2009.0217451339579</v>
      </c>
      <c r="AX106" s="12">
        <f>IF(AX$6&lt;$D$35,SUM($I104:AX104),0)</f>
        <v>2115.5294374416503</v>
      </c>
      <c r="AY106" s="12">
        <f>IF(AY$6&lt;$D$35,SUM($I104:AY104),0)</f>
        <v>2230.9127707749835</v>
      </c>
      <c r="AZ106" s="12">
        <f>IF(AZ$6&lt;$D$35,SUM($I104:AZ104),0)</f>
        <v>2356.7854980477109</v>
      </c>
      <c r="BA106" s="12">
        <f>IF(BA$6&lt;$D$35,SUM($I104:BA104),0)</f>
        <v>2495.245498047711</v>
      </c>
      <c r="BB106" s="12">
        <f>IF(BB$6&lt;$D$35,SUM($I104:BB104),0)</f>
        <v>2649.0899424921554</v>
      </c>
      <c r="BC106" s="12">
        <f>IF(BC$6&lt;$D$35,SUM($I104:BC104),0)</f>
        <v>2822.1649424921552</v>
      </c>
      <c r="BD106" s="12">
        <f>IF(BD$6&lt;$D$35,SUM($I104:BD104),0)</f>
        <v>3019.9649424921554</v>
      </c>
      <c r="BE106" s="12">
        <f>IF(BE$6&lt;$D$35,SUM($I104:BE104),0)</f>
        <v>3250.7316091588218</v>
      </c>
      <c r="BF106" s="12">
        <f>IF(BF$6&lt;$D$35,SUM($I104:BF104),0)</f>
        <v>3527.6516091588219</v>
      </c>
      <c r="BG106" s="12">
        <f>IF(BG$6&lt;$D$35,SUM($I104:BG104),0)</f>
        <v>3873.801609158822</v>
      </c>
      <c r="BH106" s="12">
        <f>IF(BH$6&lt;$D$35,SUM($I104:BH104),0)</f>
        <v>4335.3349424921553</v>
      </c>
      <c r="BI106" s="12">
        <f>IF(BI$6&lt;$D$35,SUM($I104:BI104),0)</f>
        <v>5027.6349424921555</v>
      </c>
      <c r="BJ106" s="12">
        <f>IF(BJ$6&lt;$D$35,SUM($I104:BJ104),0)</f>
        <v>6412.2349424921558</v>
      </c>
      <c r="BK106" s="12">
        <f>IF(BK$6&lt;$D$35,SUM($I104:BK104),0)</f>
        <v>0</v>
      </c>
      <c r="BL106" s="12">
        <f>IF(BL$6&lt;$D$35,SUM($I104:BL104),0)</f>
        <v>0</v>
      </c>
      <c r="BM106" s="12">
        <f>IF(BM$6&lt;$D$35,SUM($I104:BM104),0)</f>
        <v>0</v>
      </c>
      <c r="BN106" s="12">
        <f>IF(BN$6&lt;$D$35,SUM($I104:BN104),0)</f>
        <v>0</v>
      </c>
      <c r="BO106" s="12">
        <f>IF(BO$6&lt;$D$35,SUM($I104:BO104),0)</f>
        <v>0</v>
      </c>
      <c r="BP106" s="12">
        <f>IF(BP$6&lt;$D$35,SUM($I104:BP104),0)</f>
        <v>0</v>
      </c>
      <c r="BQ106" s="12">
        <f>IF(BQ$6&lt;$D$35,SUM($I104:BQ104),0)</f>
        <v>0</v>
      </c>
      <c r="BR106" s="12">
        <f>IF(BR$6&lt;$D$35,SUM($I104:BR104),0)</f>
        <v>0</v>
      </c>
      <c r="BS106" s="12">
        <f>IF(BS$6&lt;$D$35,SUM($I104:BS104),0)</f>
        <v>0</v>
      </c>
      <c r="BT106" s="12">
        <f>IF(BT$6&lt;$D$35,SUM($I104:BT104),0)</f>
        <v>0</v>
      </c>
      <c r="BU106" s="12">
        <f>IF(BU$6&lt;$D$35,SUM($I104:BU104),0)</f>
        <v>0</v>
      </c>
      <c r="BV106" s="12">
        <f>IF(BV$6&lt;$D$35,SUM($I104:BV104),0)</f>
        <v>0</v>
      </c>
      <c r="BW106" s="12">
        <f>IF(BW$6&lt;$D$35,SUM($I104:BW104),0)</f>
        <v>0</v>
      </c>
      <c r="BX106" s="12">
        <f>IF(BX$6&lt;$D$35,SUM($I104:BX104),0)</f>
        <v>0</v>
      </c>
      <c r="BY106" s="12">
        <f>IF(BY$6&lt;$D$35,SUM($I104:BY104),0)</f>
        <v>0</v>
      </c>
      <c r="BZ106" s="12">
        <f>IF(BZ$6&lt;$D$35,SUM($I104:BZ104),0)</f>
        <v>0</v>
      </c>
      <c r="CA106" s="12">
        <f>IF(CA$6&lt;$D$35,SUM($I104:CA104),0)</f>
        <v>0</v>
      </c>
      <c r="CB106" s="12">
        <f>IF(CB$6&lt;$D$35,SUM($I104:CB104),0)</f>
        <v>0</v>
      </c>
      <c r="CC106" s="12">
        <f>IF(CC$6&lt;$D$35,SUM($I104:CC104),0)</f>
        <v>0</v>
      </c>
      <c r="CD106" s="12">
        <f>IF(CD$6&lt;$D$35,SUM($I104:CD104),0)</f>
        <v>0</v>
      </c>
      <c r="CE106" s="12">
        <f>IF(CE$6&lt;$D$35,SUM($I104:CE104),0)</f>
        <v>0</v>
      </c>
      <c r="CF106" s="12">
        <f>IF(CF$6&lt;$D$35,SUM($I104:CF104),0)</f>
        <v>0</v>
      </c>
      <c r="CG106" s="12">
        <f>IF(CG$6&lt;$D$35,SUM($I104:CG104),0)</f>
        <v>0</v>
      </c>
      <c r="CH106" s="12">
        <f>IF(CH$6&lt;$D$35,SUM($I104:CH104),0)</f>
        <v>0</v>
      </c>
      <c r="CI106" s="12">
        <f>IF(CI$6&lt;$D$35,SUM($I104:CI104),0)</f>
        <v>0</v>
      </c>
      <c r="CJ106" s="12">
        <f>IF(CJ$6&lt;$D$35,SUM($I104:CJ104),0)</f>
        <v>0</v>
      </c>
      <c r="CK106" s="12">
        <f>IF(CK$6&lt;$D$35,SUM($I104:CK104),0)</f>
        <v>0</v>
      </c>
      <c r="CL106" s="12">
        <f>IF(CL$6&lt;$D$35,SUM($I104:CL104),0)</f>
        <v>0</v>
      </c>
      <c r="CM106" s="12">
        <f>IF(CM$6&lt;$D$35,SUM($I104:CM104),0)</f>
        <v>0</v>
      </c>
      <c r="CN106" s="12">
        <f>IF(CN$6&lt;$D$35,SUM($I104:CN104),0)</f>
        <v>0</v>
      </c>
      <c r="CO106" s="12">
        <f>IF(CO$6&lt;$D$35,SUM($I104:CO104),0)</f>
        <v>0</v>
      </c>
      <c r="CP106" s="12">
        <f>IF(CP$6&lt;$D$35,SUM($I104:CP104),0)</f>
        <v>0</v>
      </c>
      <c r="CQ106" s="12">
        <f>IF(CQ$6&lt;$D$35,SUM($I104:CQ104),0)</f>
        <v>0</v>
      </c>
      <c r="CR106" s="12">
        <f>IF(CR$6&lt;$D$35,SUM($I104:CR104),0)</f>
        <v>0</v>
      </c>
      <c r="CS106" s="12">
        <f>IF(CS$6&lt;$D$35,SUM($I104:CS104),0)</f>
        <v>0</v>
      </c>
      <c r="CT106" s="12">
        <f>IF(CT$6&lt;$D$35,SUM($I104:CT104),0)</f>
        <v>0</v>
      </c>
      <c r="CU106" s="12">
        <f>IF(CU$6&lt;$D$35,SUM($I104:CU104),0)</f>
        <v>0</v>
      </c>
      <c r="CV106" s="12">
        <f>IF(CV$6&lt;$D$35,SUM($I104:CV104),0)</f>
        <v>0</v>
      </c>
      <c r="CW106" s="12">
        <f>IF(CW$6&lt;$D$35,SUM($I104:CW104),0)</f>
        <v>0</v>
      </c>
      <c r="CX106" s="12">
        <f>IF(CX$6&lt;$D$35,SUM($I104:CX104),0)</f>
        <v>0</v>
      </c>
      <c r="CY106" s="12">
        <f>IF(CY$6&lt;$D$35,SUM($I104:CY104),0)</f>
        <v>0</v>
      </c>
      <c r="CZ106" s="12">
        <f>IF(CZ$6&lt;$D$35,SUM($I104:CZ104),0)</f>
        <v>0</v>
      </c>
      <c r="DA106" s="12">
        <f>IF(DA$6&lt;$D$35,SUM($I104:DA104),0)</f>
        <v>0</v>
      </c>
      <c r="DB106" s="12">
        <f>IF(DB$6&lt;$D$35,SUM($I104:DB104),0)</f>
        <v>0</v>
      </c>
      <c r="DC106" s="12">
        <f>IF(DC$6&lt;$D$35,SUM($I104:DC104),0)</f>
        <v>0</v>
      </c>
      <c r="DD106" s="12">
        <f>IF(DD$6&lt;$D$35,SUM($I104:DD104),0)</f>
        <v>0</v>
      </c>
      <c r="DE106" s="12">
        <f>IF(DE$6&lt;$D$35,SUM($I104:DE104),0)</f>
        <v>0</v>
      </c>
      <c r="DF106" s="12">
        <f>IF(DF$6&lt;$D$35,SUM($I104:DF104),0)</f>
        <v>0</v>
      </c>
      <c r="DG106" s="12">
        <f>IF(DG$6&lt;$D$35,SUM($I104:DG104),0)</f>
        <v>0</v>
      </c>
      <c r="DH106" s="12">
        <f>IF(DH$6&lt;$D$35,SUM($I104:DH104),0)</f>
        <v>0</v>
      </c>
      <c r="DI106" s="12">
        <f>IF(DI$6&lt;$D$35,SUM($I104:DI104),0)</f>
        <v>0</v>
      </c>
      <c r="DJ106" s="12">
        <f>IF(DJ$6&lt;$D$35,SUM($I104:DJ104),0)</f>
        <v>0</v>
      </c>
      <c r="DK106" s="12">
        <f>IF(DK$6&lt;$D$35,SUM($I104:DK104),0)</f>
        <v>0</v>
      </c>
      <c r="DL106" s="12">
        <f>IF(DL$6&lt;$D$35,SUM($I104:DL104),0)</f>
        <v>0</v>
      </c>
      <c r="DM106" s="12">
        <f>IF(DM$6&lt;$D$35,SUM($I104:DM104),0)</f>
        <v>0</v>
      </c>
      <c r="DN106" s="12">
        <f>IF(DN$6&lt;$D$35,SUM($I104:DN104),0)</f>
        <v>0</v>
      </c>
      <c r="DO106" s="12">
        <f>IF(DO$6&lt;$D$35,SUM($I104:DO104),0)</f>
        <v>0</v>
      </c>
      <c r="DP106" s="12">
        <f>IF(DP$6&lt;$D$35,SUM($I104:DP104),0)</f>
        <v>0</v>
      </c>
      <c r="DQ106" s="12">
        <f>IF(DQ$6&lt;$D$35,SUM($I104:DQ104),0)</f>
        <v>0</v>
      </c>
      <c r="DR106" s="12">
        <f>IF(DR$6&lt;$D$35,SUM($I104:DR104),0)</f>
        <v>0</v>
      </c>
      <c r="DS106" s="12">
        <f>IF(DS$6&lt;$D$35,SUM($I104:DS104),0)</f>
        <v>0</v>
      </c>
      <c r="DT106" s="12">
        <f>IF(DT$6&lt;$D$35,SUM($I104:DT104),0)</f>
        <v>0</v>
      </c>
      <c r="DU106" s="12">
        <f>IF(DU$6&lt;$D$35,SUM($I104:DU104),0)</f>
        <v>0</v>
      </c>
      <c r="DV106" s="12">
        <f>IF(DV$6&lt;$D$35,SUM($I104:DV104),0)</f>
        <v>0</v>
      </c>
      <c r="DW106" s="12">
        <f>IF(DW$6&lt;$D$35,SUM($I104:DW104),0)</f>
        <v>0</v>
      </c>
      <c r="DX106" s="12">
        <f>IF(DX$6&lt;$D$35,SUM($I104:DX104),0)</f>
        <v>0</v>
      </c>
      <c r="DY106" s="12">
        <f>IF(DY$6&lt;$D$35,SUM($I104:DY104),0)</f>
        <v>0</v>
      </c>
      <c r="DZ106" s="12">
        <f>IF(DZ$6&lt;$D$35,SUM($I104:DZ104),0)</f>
        <v>0</v>
      </c>
      <c r="EA106" s="12">
        <f>IF(EA$6&lt;$D$35,SUM($I104:EA104),0)</f>
        <v>0</v>
      </c>
      <c r="EB106" s="12">
        <f>IF(EB$6&lt;$D$35,SUM($I104:EB104),0)</f>
        <v>0</v>
      </c>
      <c r="EC106" s="12">
        <f>IF(EC$6&lt;$D$35,SUM($I104:EC104),0)</f>
        <v>0</v>
      </c>
      <c r="ED106" s="12">
        <f>IF(ED$6&lt;$D$35,SUM($I104:ED104),0)</f>
        <v>0</v>
      </c>
      <c r="EE106" s="12">
        <f>IF(EE$6&lt;$D$35,SUM($I104:EE104),0)</f>
        <v>0</v>
      </c>
      <c r="EF106" s="12">
        <f>IF(EF$6&lt;$D$35,SUM($I104:EF104),0)</f>
        <v>0</v>
      </c>
      <c r="EG106" s="12">
        <f>IF(EG$6&lt;$D$35,SUM($I104:EG104),0)</f>
        <v>0</v>
      </c>
      <c r="EH106" s="12">
        <f>IF(EH$6&lt;$D$35,SUM($I104:EH104),0)</f>
        <v>0</v>
      </c>
      <c r="EI106" s="12">
        <f>IF(EI$6&lt;$D$35,SUM($I104:EI104),0)</f>
        <v>0</v>
      </c>
      <c r="EJ106" s="12">
        <f>IF(EJ$6&lt;$D$35,SUM($I104:EJ104),0)</f>
        <v>0</v>
      </c>
      <c r="EK106" s="12">
        <f>IF(EK$6&lt;$D$35,SUM($I104:EK104),0)</f>
        <v>0</v>
      </c>
      <c r="EL106" s="12">
        <f>IF(EL$6&lt;$D$35,SUM($I104:EL104),0)</f>
        <v>0</v>
      </c>
      <c r="EM106" s="12">
        <f>IF(EM$6&lt;$D$35,SUM($I104:EM104),0)</f>
        <v>0</v>
      </c>
      <c r="EN106" s="12">
        <f>IF(EN$6&lt;$D$35,SUM($I104:EN104),0)</f>
        <v>0</v>
      </c>
      <c r="EO106" s="12">
        <f>IF(EO$6&lt;$D$35,SUM($I104:EO104),0)</f>
        <v>0</v>
      </c>
      <c r="EP106" s="12">
        <f>IF(EP$6&lt;$D$35,SUM($I104:EP104),0)</f>
        <v>0</v>
      </c>
      <c r="EQ106" s="12">
        <f>IF(EQ$6&lt;$D$35,SUM($I104:EQ104),0)</f>
        <v>0</v>
      </c>
      <c r="ER106" s="12">
        <f>IF(ER$6&lt;$D$35,SUM($I104:ER104),0)</f>
        <v>0</v>
      </c>
      <c r="ES106" s="12">
        <f>IF(ES$6&lt;$D$35,SUM($I104:ES104),0)</f>
        <v>0</v>
      </c>
      <c r="ET106" s="12">
        <f>IF(ET$6&lt;$D$35,SUM($I104:ET104),0)</f>
        <v>0</v>
      </c>
      <c r="EU106" s="12">
        <f>IF(EU$6&lt;$D$35,SUM($I104:EU104),0)</f>
        <v>0</v>
      </c>
      <c r="EV106" s="12">
        <f>IF(EV$6&lt;$D$35,SUM($I104:EV104),0)</f>
        <v>0</v>
      </c>
      <c r="EW106" s="12">
        <f>IF(EW$6&lt;$D$35,SUM($I104:EW104),0)</f>
        <v>0</v>
      </c>
      <c r="EX106" s="12">
        <f>IF(EX$6&lt;$D$35,SUM($I104:EX104),0)</f>
        <v>0</v>
      </c>
      <c r="EY106" s="12">
        <f>IF(EY$6&lt;$D$35,SUM($I104:EY104),0)</f>
        <v>0</v>
      </c>
      <c r="EZ106" s="12">
        <f>IF(EZ$6&lt;$D$35,SUM($I104:EZ104),0)</f>
        <v>0</v>
      </c>
      <c r="FA106" s="12">
        <f>IF(FA$6&lt;$D$35,SUM($I104:FA104),0)</f>
        <v>0</v>
      </c>
      <c r="FB106" s="12">
        <f>IF(FB$6&lt;$D$35,SUM($I104:FB104),0)</f>
        <v>0</v>
      </c>
      <c r="FC106" s="12">
        <f>IF(FC$6&lt;$D$35,SUM($I104:FC104),0)</f>
        <v>0</v>
      </c>
      <c r="FD106" s="12">
        <f>IF(FD$6&lt;$D$35,SUM($I104:FD104),0)</f>
        <v>0</v>
      </c>
      <c r="FE106" s="12">
        <f>IF(FE$6&lt;$D$35,SUM($I104:FE104),0)</f>
        <v>0</v>
      </c>
      <c r="FF106" s="12">
        <f>IF(FF$6&lt;$D$35,SUM($I104:FF104),0)</f>
        <v>0</v>
      </c>
      <c r="FG106" s="12">
        <f>IF(FG$6&lt;$D$35,SUM($I104:FG104),0)</f>
        <v>0</v>
      </c>
      <c r="FH106" s="12">
        <f>IF(FH$6&lt;$D$35,SUM($I104:FH104),0)</f>
        <v>0</v>
      </c>
    </row>
    <row r="107" spans="1:164" x14ac:dyDescent="0.2">
      <c r="A107" s="10"/>
      <c r="B107" s="10"/>
      <c r="C107" s="10" t="s">
        <v>709</v>
      </c>
      <c r="D107" s="10"/>
      <c r="E107" s="10"/>
      <c r="F107" s="10"/>
      <c r="G107" s="10"/>
      <c r="H107" s="12">
        <f t="shared" si="34"/>
        <v>24922.800000000017</v>
      </c>
      <c r="I107" s="12">
        <f t="shared" ref="I107:AN107" si="40">IF(I$6=$D$35,SUMIF($I$6:$FH$6,"&lt;"&amp;$D$35,$I$103:$FH$103)*$D$51,0)</f>
        <v>0</v>
      </c>
      <c r="J107" s="12">
        <f t="shared" si="40"/>
        <v>0</v>
      </c>
      <c r="K107" s="12">
        <f t="shared" si="40"/>
        <v>0</v>
      </c>
      <c r="L107" s="12">
        <f t="shared" si="40"/>
        <v>0</v>
      </c>
      <c r="M107" s="12">
        <f t="shared" si="40"/>
        <v>0</v>
      </c>
      <c r="N107" s="12">
        <f t="shared" si="40"/>
        <v>0</v>
      </c>
      <c r="O107" s="12">
        <f t="shared" si="40"/>
        <v>0</v>
      </c>
      <c r="P107" s="12">
        <f t="shared" si="40"/>
        <v>0</v>
      </c>
      <c r="Q107" s="12">
        <f t="shared" si="40"/>
        <v>0</v>
      </c>
      <c r="R107" s="12">
        <f t="shared" si="40"/>
        <v>0</v>
      </c>
      <c r="S107" s="12">
        <f t="shared" si="40"/>
        <v>0</v>
      </c>
      <c r="T107" s="12">
        <f t="shared" si="40"/>
        <v>0</v>
      </c>
      <c r="U107" s="12">
        <f t="shared" si="40"/>
        <v>0</v>
      </c>
      <c r="V107" s="12">
        <f t="shared" si="40"/>
        <v>0</v>
      </c>
      <c r="W107" s="12">
        <f t="shared" si="40"/>
        <v>0</v>
      </c>
      <c r="X107" s="12">
        <f t="shared" si="40"/>
        <v>0</v>
      </c>
      <c r="Y107" s="12">
        <f t="shared" si="40"/>
        <v>0</v>
      </c>
      <c r="Z107" s="12">
        <f t="shared" si="40"/>
        <v>0</v>
      </c>
      <c r="AA107" s="12">
        <f t="shared" si="40"/>
        <v>0</v>
      </c>
      <c r="AB107" s="12">
        <f t="shared" si="40"/>
        <v>0</v>
      </c>
      <c r="AC107" s="12">
        <f t="shared" si="40"/>
        <v>0</v>
      </c>
      <c r="AD107" s="12">
        <f t="shared" si="40"/>
        <v>0</v>
      </c>
      <c r="AE107" s="12">
        <f t="shared" si="40"/>
        <v>0</v>
      </c>
      <c r="AF107" s="12">
        <f t="shared" si="40"/>
        <v>0</v>
      </c>
      <c r="AG107" s="12">
        <f t="shared" si="40"/>
        <v>0</v>
      </c>
      <c r="AH107" s="12">
        <f t="shared" si="40"/>
        <v>0</v>
      </c>
      <c r="AI107" s="12">
        <f t="shared" si="40"/>
        <v>0</v>
      </c>
      <c r="AJ107" s="12">
        <f t="shared" si="40"/>
        <v>0</v>
      </c>
      <c r="AK107" s="12">
        <f t="shared" si="40"/>
        <v>0</v>
      </c>
      <c r="AL107" s="12">
        <f t="shared" si="40"/>
        <v>0</v>
      </c>
      <c r="AM107" s="12">
        <f t="shared" si="40"/>
        <v>0</v>
      </c>
      <c r="AN107" s="12">
        <f t="shared" si="40"/>
        <v>0</v>
      </c>
      <c r="AO107" s="12">
        <f t="shared" ref="AO107:BT107" si="41">IF(AO$6=$D$35,SUMIF($I$6:$FH$6,"&lt;"&amp;$D$35,$I$103:$FH$103)*$D$51,0)</f>
        <v>0</v>
      </c>
      <c r="AP107" s="12">
        <f t="shared" si="41"/>
        <v>0</v>
      </c>
      <c r="AQ107" s="12">
        <f t="shared" si="41"/>
        <v>0</v>
      </c>
      <c r="AR107" s="12">
        <f t="shared" si="41"/>
        <v>0</v>
      </c>
      <c r="AS107" s="12">
        <f t="shared" si="41"/>
        <v>0</v>
      </c>
      <c r="AT107" s="12">
        <f t="shared" si="41"/>
        <v>0</v>
      </c>
      <c r="AU107" s="12">
        <f t="shared" si="41"/>
        <v>0</v>
      </c>
      <c r="AV107" s="12">
        <f t="shared" si="41"/>
        <v>0</v>
      </c>
      <c r="AW107" s="12">
        <f t="shared" si="41"/>
        <v>0</v>
      </c>
      <c r="AX107" s="12">
        <f t="shared" si="41"/>
        <v>0</v>
      </c>
      <c r="AY107" s="12">
        <f t="shared" si="41"/>
        <v>0</v>
      </c>
      <c r="AZ107" s="12">
        <f t="shared" si="41"/>
        <v>0</v>
      </c>
      <c r="BA107" s="12">
        <f t="shared" si="41"/>
        <v>0</v>
      </c>
      <c r="BB107" s="12">
        <f t="shared" si="41"/>
        <v>0</v>
      </c>
      <c r="BC107" s="12">
        <f t="shared" si="41"/>
        <v>0</v>
      </c>
      <c r="BD107" s="12">
        <f t="shared" si="41"/>
        <v>0</v>
      </c>
      <c r="BE107" s="12">
        <f t="shared" si="41"/>
        <v>0</v>
      </c>
      <c r="BF107" s="12">
        <f t="shared" si="41"/>
        <v>0</v>
      </c>
      <c r="BG107" s="12">
        <f t="shared" si="41"/>
        <v>0</v>
      </c>
      <c r="BH107" s="12">
        <f t="shared" si="41"/>
        <v>0</v>
      </c>
      <c r="BI107" s="12">
        <f t="shared" si="41"/>
        <v>0</v>
      </c>
      <c r="BJ107" s="12">
        <f t="shared" si="41"/>
        <v>0</v>
      </c>
      <c r="BK107" s="12">
        <f t="shared" si="41"/>
        <v>24922.800000000017</v>
      </c>
      <c r="BL107" s="12">
        <f t="shared" si="41"/>
        <v>0</v>
      </c>
      <c r="BM107" s="12">
        <f t="shared" si="41"/>
        <v>0</v>
      </c>
      <c r="BN107" s="12">
        <f t="shared" si="41"/>
        <v>0</v>
      </c>
      <c r="BO107" s="12">
        <f t="shared" si="41"/>
        <v>0</v>
      </c>
      <c r="BP107" s="12">
        <f t="shared" si="41"/>
        <v>0</v>
      </c>
      <c r="BQ107" s="12">
        <f t="shared" si="41"/>
        <v>0</v>
      </c>
      <c r="BR107" s="12">
        <f t="shared" si="41"/>
        <v>0</v>
      </c>
      <c r="BS107" s="12">
        <f t="shared" si="41"/>
        <v>0</v>
      </c>
      <c r="BT107" s="12">
        <f t="shared" si="41"/>
        <v>0</v>
      </c>
      <c r="BU107" s="12">
        <f t="shared" ref="BU107:CZ107" si="42">IF(BU$6=$D$35,SUMIF($I$6:$FH$6,"&lt;"&amp;$D$35,$I$103:$FH$103)*$D$51,0)</f>
        <v>0</v>
      </c>
      <c r="BV107" s="12">
        <f t="shared" si="42"/>
        <v>0</v>
      </c>
      <c r="BW107" s="12">
        <f t="shared" si="42"/>
        <v>0</v>
      </c>
      <c r="BX107" s="12">
        <f t="shared" si="42"/>
        <v>0</v>
      </c>
      <c r="BY107" s="12">
        <f t="shared" si="42"/>
        <v>0</v>
      </c>
      <c r="BZ107" s="12">
        <f t="shared" si="42"/>
        <v>0</v>
      </c>
      <c r="CA107" s="12">
        <f t="shared" si="42"/>
        <v>0</v>
      </c>
      <c r="CB107" s="12">
        <f t="shared" si="42"/>
        <v>0</v>
      </c>
      <c r="CC107" s="12">
        <f t="shared" si="42"/>
        <v>0</v>
      </c>
      <c r="CD107" s="12">
        <f t="shared" si="42"/>
        <v>0</v>
      </c>
      <c r="CE107" s="12">
        <f t="shared" si="42"/>
        <v>0</v>
      </c>
      <c r="CF107" s="12">
        <f t="shared" si="42"/>
        <v>0</v>
      </c>
      <c r="CG107" s="12">
        <f t="shared" si="42"/>
        <v>0</v>
      </c>
      <c r="CH107" s="12">
        <f t="shared" si="42"/>
        <v>0</v>
      </c>
      <c r="CI107" s="12">
        <f t="shared" si="42"/>
        <v>0</v>
      </c>
      <c r="CJ107" s="12">
        <f t="shared" si="42"/>
        <v>0</v>
      </c>
      <c r="CK107" s="12">
        <f t="shared" si="42"/>
        <v>0</v>
      </c>
      <c r="CL107" s="12">
        <f t="shared" si="42"/>
        <v>0</v>
      </c>
      <c r="CM107" s="12">
        <f t="shared" si="42"/>
        <v>0</v>
      </c>
      <c r="CN107" s="12">
        <f t="shared" si="42"/>
        <v>0</v>
      </c>
      <c r="CO107" s="12">
        <f t="shared" si="42"/>
        <v>0</v>
      </c>
      <c r="CP107" s="12">
        <f t="shared" si="42"/>
        <v>0</v>
      </c>
      <c r="CQ107" s="12">
        <f t="shared" si="42"/>
        <v>0</v>
      </c>
      <c r="CR107" s="12">
        <f t="shared" si="42"/>
        <v>0</v>
      </c>
      <c r="CS107" s="12">
        <f t="shared" si="42"/>
        <v>0</v>
      </c>
      <c r="CT107" s="12">
        <f t="shared" si="42"/>
        <v>0</v>
      </c>
      <c r="CU107" s="12">
        <f t="shared" si="42"/>
        <v>0</v>
      </c>
      <c r="CV107" s="12">
        <f t="shared" si="42"/>
        <v>0</v>
      </c>
      <c r="CW107" s="12">
        <f t="shared" si="42"/>
        <v>0</v>
      </c>
      <c r="CX107" s="12">
        <f t="shared" si="42"/>
        <v>0</v>
      </c>
      <c r="CY107" s="12">
        <f t="shared" si="42"/>
        <v>0</v>
      </c>
      <c r="CZ107" s="12">
        <f t="shared" si="42"/>
        <v>0</v>
      </c>
      <c r="DA107" s="12">
        <f t="shared" ref="DA107:EF107" si="43">IF(DA$6=$D$35,SUMIF($I$6:$FH$6,"&lt;"&amp;$D$35,$I$103:$FH$103)*$D$51,0)</f>
        <v>0</v>
      </c>
      <c r="DB107" s="12">
        <f t="shared" si="43"/>
        <v>0</v>
      </c>
      <c r="DC107" s="12">
        <f t="shared" si="43"/>
        <v>0</v>
      </c>
      <c r="DD107" s="12">
        <f t="shared" si="43"/>
        <v>0</v>
      </c>
      <c r="DE107" s="12">
        <f t="shared" si="43"/>
        <v>0</v>
      </c>
      <c r="DF107" s="12">
        <f t="shared" si="43"/>
        <v>0</v>
      </c>
      <c r="DG107" s="12">
        <f t="shared" si="43"/>
        <v>0</v>
      </c>
      <c r="DH107" s="12">
        <f t="shared" si="43"/>
        <v>0</v>
      </c>
      <c r="DI107" s="12">
        <f t="shared" si="43"/>
        <v>0</v>
      </c>
      <c r="DJ107" s="12">
        <f t="shared" si="43"/>
        <v>0</v>
      </c>
      <c r="DK107" s="12">
        <f t="shared" si="43"/>
        <v>0</v>
      </c>
      <c r="DL107" s="12">
        <f t="shared" si="43"/>
        <v>0</v>
      </c>
      <c r="DM107" s="12">
        <f t="shared" si="43"/>
        <v>0</v>
      </c>
      <c r="DN107" s="12">
        <f t="shared" si="43"/>
        <v>0</v>
      </c>
      <c r="DO107" s="12">
        <f t="shared" si="43"/>
        <v>0</v>
      </c>
      <c r="DP107" s="12">
        <f t="shared" si="43"/>
        <v>0</v>
      </c>
      <c r="DQ107" s="12">
        <f t="shared" si="43"/>
        <v>0</v>
      </c>
      <c r="DR107" s="12">
        <f t="shared" si="43"/>
        <v>0</v>
      </c>
      <c r="DS107" s="12">
        <f t="shared" si="43"/>
        <v>0</v>
      </c>
      <c r="DT107" s="12">
        <f t="shared" si="43"/>
        <v>0</v>
      </c>
      <c r="DU107" s="12">
        <f t="shared" si="43"/>
        <v>0</v>
      </c>
      <c r="DV107" s="12">
        <f t="shared" si="43"/>
        <v>0</v>
      </c>
      <c r="DW107" s="12">
        <f t="shared" si="43"/>
        <v>0</v>
      </c>
      <c r="DX107" s="12">
        <f t="shared" si="43"/>
        <v>0</v>
      </c>
      <c r="DY107" s="12">
        <f t="shared" si="43"/>
        <v>0</v>
      </c>
      <c r="DZ107" s="12">
        <f t="shared" si="43"/>
        <v>0</v>
      </c>
      <c r="EA107" s="12">
        <f t="shared" si="43"/>
        <v>0</v>
      </c>
      <c r="EB107" s="12">
        <f t="shared" si="43"/>
        <v>0</v>
      </c>
      <c r="EC107" s="12">
        <f t="shared" si="43"/>
        <v>0</v>
      </c>
      <c r="ED107" s="12">
        <f t="shared" si="43"/>
        <v>0</v>
      </c>
      <c r="EE107" s="12">
        <f t="shared" si="43"/>
        <v>0</v>
      </c>
      <c r="EF107" s="12">
        <f t="shared" si="43"/>
        <v>0</v>
      </c>
      <c r="EG107" s="12">
        <f t="shared" ref="EG107:FH107" si="44">IF(EG$6=$D$35,SUMIF($I$6:$FH$6,"&lt;"&amp;$D$35,$I$103:$FH$103)*$D$51,0)</f>
        <v>0</v>
      </c>
      <c r="EH107" s="12">
        <f t="shared" si="44"/>
        <v>0</v>
      </c>
      <c r="EI107" s="12">
        <f t="shared" si="44"/>
        <v>0</v>
      </c>
      <c r="EJ107" s="12">
        <f t="shared" si="44"/>
        <v>0</v>
      </c>
      <c r="EK107" s="12">
        <f t="shared" si="44"/>
        <v>0</v>
      </c>
      <c r="EL107" s="12">
        <f t="shared" si="44"/>
        <v>0</v>
      </c>
      <c r="EM107" s="12">
        <f t="shared" si="44"/>
        <v>0</v>
      </c>
      <c r="EN107" s="12">
        <f t="shared" si="44"/>
        <v>0</v>
      </c>
      <c r="EO107" s="12">
        <f t="shared" si="44"/>
        <v>0</v>
      </c>
      <c r="EP107" s="12">
        <f t="shared" si="44"/>
        <v>0</v>
      </c>
      <c r="EQ107" s="12">
        <f t="shared" si="44"/>
        <v>0</v>
      </c>
      <c r="ER107" s="12">
        <f t="shared" si="44"/>
        <v>0</v>
      </c>
      <c r="ES107" s="12">
        <f t="shared" si="44"/>
        <v>0</v>
      </c>
      <c r="ET107" s="12">
        <f t="shared" si="44"/>
        <v>0</v>
      </c>
      <c r="EU107" s="12">
        <f t="shared" si="44"/>
        <v>0</v>
      </c>
      <c r="EV107" s="12">
        <f t="shared" si="44"/>
        <v>0</v>
      </c>
      <c r="EW107" s="12">
        <f t="shared" si="44"/>
        <v>0</v>
      </c>
      <c r="EX107" s="12">
        <f t="shared" si="44"/>
        <v>0</v>
      </c>
      <c r="EY107" s="12">
        <f t="shared" si="44"/>
        <v>0</v>
      </c>
      <c r="EZ107" s="12">
        <f t="shared" si="44"/>
        <v>0</v>
      </c>
      <c r="FA107" s="12">
        <f t="shared" si="44"/>
        <v>0</v>
      </c>
      <c r="FB107" s="12">
        <f t="shared" si="44"/>
        <v>0</v>
      </c>
      <c r="FC107" s="12">
        <f t="shared" si="44"/>
        <v>0</v>
      </c>
      <c r="FD107" s="12">
        <f t="shared" si="44"/>
        <v>0</v>
      </c>
      <c r="FE107" s="12">
        <f t="shared" si="44"/>
        <v>0</v>
      </c>
      <c r="FF107" s="12">
        <f t="shared" si="44"/>
        <v>0</v>
      </c>
      <c r="FG107" s="12">
        <f t="shared" si="44"/>
        <v>0</v>
      </c>
      <c r="FH107" s="12">
        <f t="shared" si="44"/>
        <v>0</v>
      </c>
    </row>
    <row r="108" spans="1:164" x14ac:dyDescent="0.2">
      <c r="A108" s="10"/>
      <c r="B108" s="10"/>
      <c r="C108" s="10" t="s">
        <v>751</v>
      </c>
      <c r="D108" s="10"/>
      <c r="E108" s="10"/>
      <c r="F108" s="10"/>
      <c r="G108" s="10"/>
      <c r="H108" s="12">
        <f t="shared" si="34"/>
        <v>138460.00000000012</v>
      </c>
      <c r="I108" s="12">
        <f t="shared" ref="I108:AN108" si="45">IF(I$6=$D$46,SUMIF($I$6:$FH$6,"&lt;"&amp;$D$46,$I$103:$FH$103)*$D$52,0)</f>
        <v>0</v>
      </c>
      <c r="J108" s="12">
        <f t="shared" si="45"/>
        <v>0</v>
      </c>
      <c r="K108" s="12">
        <f t="shared" si="45"/>
        <v>0</v>
      </c>
      <c r="L108" s="12">
        <f t="shared" si="45"/>
        <v>0</v>
      </c>
      <c r="M108" s="12">
        <f t="shared" si="45"/>
        <v>0</v>
      </c>
      <c r="N108" s="12">
        <f t="shared" si="45"/>
        <v>0</v>
      </c>
      <c r="O108" s="12">
        <f t="shared" si="45"/>
        <v>0</v>
      </c>
      <c r="P108" s="12">
        <f t="shared" si="45"/>
        <v>0</v>
      </c>
      <c r="Q108" s="12">
        <f t="shared" si="45"/>
        <v>0</v>
      </c>
      <c r="R108" s="12">
        <f t="shared" si="45"/>
        <v>0</v>
      </c>
      <c r="S108" s="12">
        <f t="shared" si="45"/>
        <v>0</v>
      </c>
      <c r="T108" s="12">
        <f t="shared" si="45"/>
        <v>0</v>
      </c>
      <c r="U108" s="12">
        <f t="shared" si="45"/>
        <v>0</v>
      </c>
      <c r="V108" s="12">
        <f t="shared" si="45"/>
        <v>0</v>
      </c>
      <c r="W108" s="12">
        <f t="shared" si="45"/>
        <v>0</v>
      </c>
      <c r="X108" s="12">
        <f t="shared" si="45"/>
        <v>0</v>
      </c>
      <c r="Y108" s="12">
        <f t="shared" si="45"/>
        <v>0</v>
      </c>
      <c r="Z108" s="12">
        <f t="shared" si="45"/>
        <v>0</v>
      </c>
      <c r="AA108" s="12">
        <f t="shared" si="45"/>
        <v>0</v>
      </c>
      <c r="AB108" s="12">
        <f t="shared" si="45"/>
        <v>0</v>
      </c>
      <c r="AC108" s="12">
        <f t="shared" si="45"/>
        <v>0</v>
      </c>
      <c r="AD108" s="12">
        <f t="shared" si="45"/>
        <v>0</v>
      </c>
      <c r="AE108" s="12">
        <f t="shared" si="45"/>
        <v>0</v>
      </c>
      <c r="AF108" s="12">
        <f t="shared" si="45"/>
        <v>0</v>
      </c>
      <c r="AG108" s="12">
        <f t="shared" si="45"/>
        <v>0</v>
      </c>
      <c r="AH108" s="12">
        <f t="shared" si="45"/>
        <v>0</v>
      </c>
      <c r="AI108" s="12">
        <f t="shared" si="45"/>
        <v>0</v>
      </c>
      <c r="AJ108" s="12">
        <f t="shared" si="45"/>
        <v>0</v>
      </c>
      <c r="AK108" s="12">
        <f t="shared" si="45"/>
        <v>0</v>
      </c>
      <c r="AL108" s="12">
        <f t="shared" si="45"/>
        <v>0</v>
      </c>
      <c r="AM108" s="12">
        <f t="shared" si="45"/>
        <v>0</v>
      </c>
      <c r="AN108" s="12">
        <f t="shared" si="45"/>
        <v>0</v>
      </c>
      <c r="AO108" s="12">
        <f t="shared" ref="AO108:BT108" si="46">IF(AO$6=$D$46,SUMIF($I$6:$FH$6,"&lt;"&amp;$D$46,$I$103:$FH$103)*$D$52,0)</f>
        <v>0</v>
      </c>
      <c r="AP108" s="12">
        <f t="shared" si="46"/>
        <v>0</v>
      </c>
      <c r="AQ108" s="12">
        <f t="shared" si="46"/>
        <v>0</v>
      </c>
      <c r="AR108" s="12">
        <f t="shared" si="46"/>
        <v>0</v>
      </c>
      <c r="AS108" s="12">
        <f t="shared" si="46"/>
        <v>0</v>
      </c>
      <c r="AT108" s="12">
        <f t="shared" si="46"/>
        <v>0</v>
      </c>
      <c r="AU108" s="12">
        <f t="shared" si="46"/>
        <v>0</v>
      </c>
      <c r="AV108" s="12">
        <f t="shared" si="46"/>
        <v>0</v>
      </c>
      <c r="AW108" s="12">
        <f t="shared" si="46"/>
        <v>0</v>
      </c>
      <c r="AX108" s="12">
        <f t="shared" si="46"/>
        <v>0</v>
      </c>
      <c r="AY108" s="12">
        <f t="shared" si="46"/>
        <v>0</v>
      </c>
      <c r="AZ108" s="12">
        <f t="shared" si="46"/>
        <v>0</v>
      </c>
      <c r="BA108" s="12">
        <f t="shared" si="46"/>
        <v>0</v>
      </c>
      <c r="BB108" s="12">
        <f t="shared" si="46"/>
        <v>0</v>
      </c>
      <c r="BC108" s="12">
        <f t="shared" si="46"/>
        <v>0</v>
      </c>
      <c r="BD108" s="12">
        <f t="shared" si="46"/>
        <v>0</v>
      </c>
      <c r="BE108" s="12">
        <f t="shared" si="46"/>
        <v>0</v>
      </c>
      <c r="BF108" s="12">
        <f t="shared" si="46"/>
        <v>0</v>
      </c>
      <c r="BG108" s="12">
        <f t="shared" si="46"/>
        <v>0</v>
      </c>
      <c r="BH108" s="12">
        <f t="shared" si="46"/>
        <v>0</v>
      </c>
      <c r="BI108" s="12">
        <f t="shared" si="46"/>
        <v>0</v>
      </c>
      <c r="BJ108" s="12">
        <f t="shared" si="46"/>
        <v>0</v>
      </c>
      <c r="BK108" s="12">
        <f t="shared" si="46"/>
        <v>0</v>
      </c>
      <c r="BL108" s="12">
        <f t="shared" si="46"/>
        <v>0</v>
      </c>
      <c r="BM108" s="12">
        <f t="shared" si="46"/>
        <v>0</v>
      </c>
      <c r="BN108" s="12">
        <f t="shared" si="46"/>
        <v>0</v>
      </c>
      <c r="BO108" s="12">
        <f t="shared" si="46"/>
        <v>0</v>
      </c>
      <c r="BP108" s="12">
        <f t="shared" si="46"/>
        <v>0</v>
      </c>
      <c r="BQ108" s="12">
        <f t="shared" si="46"/>
        <v>0</v>
      </c>
      <c r="BR108" s="12">
        <f t="shared" si="46"/>
        <v>0</v>
      </c>
      <c r="BS108" s="12">
        <f t="shared" si="46"/>
        <v>0</v>
      </c>
      <c r="BT108" s="12">
        <f t="shared" si="46"/>
        <v>0</v>
      </c>
      <c r="BU108" s="12">
        <f t="shared" ref="BU108:CZ108" si="47">IF(BU$6=$D$46,SUMIF($I$6:$FH$6,"&lt;"&amp;$D$46,$I$103:$FH$103)*$D$52,0)</f>
        <v>0</v>
      </c>
      <c r="BV108" s="12">
        <f t="shared" si="47"/>
        <v>0</v>
      </c>
      <c r="BW108" s="12">
        <f t="shared" si="47"/>
        <v>0</v>
      </c>
      <c r="BX108" s="12">
        <f t="shared" si="47"/>
        <v>138460.00000000012</v>
      </c>
      <c r="BY108" s="12">
        <f t="shared" si="47"/>
        <v>0</v>
      </c>
      <c r="BZ108" s="12">
        <f t="shared" si="47"/>
        <v>0</v>
      </c>
      <c r="CA108" s="12">
        <f t="shared" si="47"/>
        <v>0</v>
      </c>
      <c r="CB108" s="12">
        <f t="shared" si="47"/>
        <v>0</v>
      </c>
      <c r="CC108" s="12">
        <f t="shared" si="47"/>
        <v>0</v>
      </c>
      <c r="CD108" s="12">
        <f t="shared" si="47"/>
        <v>0</v>
      </c>
      <c r="CE108" s="12">
        <f t="shared" si="47"/>
        <v>0</v>
      </c>
      <c r="CF108" s="12">
        <f t="shared" si="47"/>
        <v>0</v>
      </c>
      <c r="CG108" s="12">
        <f t="shared" si="47"/>
        <v>0</v>
      </c>
      <c r="CH108" s="12">
        <f t="shared" si="47"/>
        <v>0</v>
      </c>
      <c r="CI108" s="12">
        <f t="shared" si="47"/>
        <v>0</v>
      </c>
      <c r="CJ108" s="12">
        <f t="shared" si="47"/>
        <v>0</v>
      </c>
      <c r="CK108" s="12">
        <f t="shared" si="47"/>
        <v>0</v>
      </c>
      <c r="CL108" s="12">
        <f t="shared" si="47"/>
        <v>0</v>
      </c>
      <c r="CM108" s="12">
        <f t="shared" si="47"/>
        <v>0</v>
      </c>
      <c r="CN108" s="12">
        <f t="shared" si="47"/>
        <v>0</v>
      </c>
      <c r="CO108" s="12">
        <f t="shared" si="47"/>
        <v>0</v>
      </c>
      <c r="CP108" s="12">
        <f t="shared" si="47"/>
        <v>0</v>
      </c>
      <c r="CQ108" s="12">
        <f t="shared" si="47"/>
        <v>0</v>
      </c>
      <c r="CR108" s="12">
        <f t="shared" si="47"/>
        <v>0</v>
      </c>
      <c r="CS108" s="12">
        <f t="shared" si="47"/>
        <v>0</v>
      </c>
      <c r="CT108" s="12">
        <f t="shared" si="47"/>
        <v>0</v>
      </c>
      <c r="CU108" s="12">
        <f t="shared" si="47"/>
        <v>0</v>
      </c>
      <c r="CV108" s="12">
        <f t="shared" si="47"/>
        <v>0</v>
      </c>
      <c r="CW108" s="12">
        <f t="shared" si="47"/>
        <v>0</v>
      </c>
      <c r="CX108" s="12">
        <f t="shared" si="47"/>
        <v>0</v>
      </c>
      <c r="CY108" s="12">
        <f t="shared" si="47"/>
        <v>0</v>
      </c>
      <c r="CZ108" s="12">
        <f t="shared" si="47"/>
        <v>0</v>
      </c>
      <c r="DA108" s="12">
        <f t="shared" ref="DA108:EF108" si="48">IF(DA$6=$D$46,SUMIF($I$6:$FH$6,"&lt;"&amp;$D$46,$I$103:$FH$103)*$D$52,0)</f>
        <v>0</v>
      </c>
      <c r="DB108" s="12">
        <f t="shared" si="48"/>
        <v>0</v>
      </c>
      <c r="DC108" s="12">
        <f t="shared" si="48"/>
        <v>0</v>
      </c>
      <c r="DD108" s="12">
        <f t="shared" si="48"/>
        <v>0</v>
      </c>
      <c r="DE108" s="12">
        <f t="shared" si="48"/>
        <v>0</v>
      </c>
      <c r="DF108" s="12">
        <f t="shared" si="48"/>
        <v>0</v>
      </c>
      <c r="DG108" s="12">
        <f t="shared" si="48"/>
        <v>0</v>
      </c>
      <c r="DH108" s="12">
        <f t="shared" si="48"/>
        <v>0</v>
      </c>
      <c r="DI108" s="12">
        <f t="shared" si="48"/>
        <v>0</v>
      </c>
      <c r="DJ108" s="12">
        <f t="shared" si="48"/>
        <v>0</v>
      </c>
      <c r="DK108" s="12">
        <f t="shared" si="48"/>
        <v>0</v>
      </c>
      <c r="DL108" s="12">
        <f t="shared" si="48"/>
        <v>0</v>
      </c>
      <c r="DM108" s="12">
        <f t="shared" si="48"/>
        <v>0</v>
      </c>
      <c r="DN108" s="12">
        <f t="shared" si="48"/>
        <v>0</v>
      </c>
      <c r="DO108" s="12">
        <f t="shared" si="48"/>
        <v>0</v>
      </c>
      <c r="DP108" s="12">
        <f t="shared" si="48"/>
        <v>0</v>
      </c>
      <c r="DQ108" s="12">
        <f t="shared" si="48"/>
        <v>0</v>
      </c>
      <c r="DR108" s="12">
        <f t="shared" si="48"/>
        <v>0</v>
      </c>
      <c r="DS108" s="12">
        <f t="shared" si="48"/>
        <v>0</v>
      </c>
      <c r="DT108" s="12">
        <f t="shared" si="48"/>
        <v>0</v>
      </c>
      <c r="DU108" s="12">
        <f t="shared" si="48"/>
        <v>0</v>
      </c>
      <c r="DV108" s="12">
        <f t="shared" si="48"/>
        <v>0</v>
      </c>
      <c r="DW108" s="12">
        <f t="shared" si="48"/>
        <v>0</v>
      </c>
      <c r="DX108" s="12">
        <f t="shared" si="48"/>
        <v>0</v>
      </c>
      <c r="DY108" s="12">
        <f t="shared" si="48"/>
        <v>0</v>
      </c>
      <c r="DZ108" s="12">
        <f t="shared" si="48"/>
        <v>0</v>
      </c>
      <c r="EA108" s="12">
        <f t="shared" si="48"/>
        <v>0</v>
      </c>
      <c r="EB108" s="12">
        <f t="shared" si="48"/>
        <v>0</v>
      </c>
      <c r="EC108" s="12">
        <f t="shared" si="48"/>
        <v>0</v>
      </c>
      <c r="ED108" s="12">
        <f t="shared" si="48"/>
        <v>0</v>
      </c>
      <c r="EE108" s="12">
        <f t="shared" si="48"/>
        <v>0</v>
      </c>
      <c r="EF108" s="12">
        <f t="shared" si="48"/>
        <v>0</v>
      </c>
      <c r="EG108" s="12">
        <f t="shared" ref="EG108:FH108" si="49">IF(EG$6=$D$46,SUMIF($I$6:$FH$6,"&lt;"&amp;$D$46,$I$103:$FH$103)*$D$52,0)</f>
        <v>0</v>
      </c>
      <c r="EH108" s="12">
        <f t="shared" si="49"/>
        <v>0</v>
      </c>
      <c r="EI108" s="12">
        <f t="shared" si="49"/>
        <v>0</v>
      </c>
      <c r="EJ108" s="12">
        <f t="shared" si="49"/>
        <v>0</v>
      </c>
      <c r="EK108" s="12">
        <f t="shared" si="49"/>
        <v>0</v>
      </c>
      <c r="EL108" s="12">
        <f t="shared" si="49"/>
        <v>0</v>
      </c>
      <c r="EM108" s="12">
        <f t="shared" si="49"/>
        <v>0</v>
      </c>
      <c r="EN108" s="12">
        <f t="shared" si="49"/>
        <v>0</v>
      </c>
      <c r="EO108" s="12">
        <f t="shared" si="49"/>
        <v>0</v>
      </c>
      <c r="EP108" s="12">
        <f t="shared" si="49"/>
        <v>0</v>
      </c>
      <c r="EQ108" s="12">
        <f t="shared" si="49"/>
        <v>0</v>
      </c>
      <c r="ER108" s="12">
        <f t="shared" si="49"/>
        <v>0</v>
      </c>
      <c r="ES108" s="12">
        <f t="shared" si="49"/>
        <v>0</v>
      </c>
      <c r="ET108" s="12">
        <f t="shared" si="49"/>
        <v>0</v>
      </c>
      <c r="EU108" s="12">
        <f t="shared" si="49"/>
        <v>0</v>
      </c>
      <c r="EV108" s="12">
        <f t="shared" si="49"/>
        <v>0</v>
      </c>
      <c r="EW108" s="12">
        <f t="shared" si="49"/>
        <v>0</v>
      </c>
      <c r="EX108" s="12">
        <f t="shared" si="49"/>
        <v>0</v>
      </c>
      <c r="EY108" s="12">
        <f t="shared" si="49"/>
        <v>0</v>
      </c>
      <c r="EZ108" s="12">
        <f t="shared" si="49"/>
        <v>0</v>
      </c>
      <c r="FA108" s="12">
        <f t="shared" si="49"/>
        <v>0</v>
      </c>
      <c r="FB108" s="12">
        <f t="shared" si="49"/>
        <v>0</v>
      </c>
      <c r="FC108" s="12">
        <f t="shared" si="49"/>
        <v>0</v>
      </c>
      <c r="FD108" s="12">
        <f t="shared" si="49"/>
        <v>0</v>
      </c>
      <c r="FE108" s="12">
        <f t="shared" si="49"/>
        <v>0</v>
      </c>
      <c r="FF108" s="12">
        <f t="shared" si="49"/>
        <v>0</v>
      </c>
      <c r="FG108" s="12">
        <f t="shared" si="49"/>
        <v>0</v>
      </c>
      <c r="FH108" s="12">
        <f t="shared" si="49"/>
        <v>0</v>
      </c>
    </row>
    <row r="109" spans="1:164" x14ac:dyDescent="0.2">
      <c r="A109" s="10"/>
      <c r="B109" s="10"/>
      <c r="C109" s="238" t="s">
        <v>747</v>
      </c>
      <c r="D109" s="238"/>
      <c r="E109" s="238"/>
      <c r="F109" s="238"/>
      <c r="G109" s="238"/>
      <c r="H109" s="239">
        <f t="shared" si="34"/>
        <v>276920.00000000017</v>
      </c>
      <c r="I109" s="239">
        <f t="shared" ref="I109:AN109" si="50">SUM(I105:I108)</f>
        <v>0</v>
      </c>
      <c r="J109" s="239">
        <f t="shared" si="50"/>
        <v>0</v>
      </c>
      <c r="K109" s="239">
        <f t="shared" si="50"/>
        <v>0</v>
      </c>
      <c r="L109" s="239">
        <f t="shared" si="50"/>
        <v>0</v>
      </c>
      <c r="M109" s="239">
        <f t="shared" si="50"/>
        <v>0</v>
      </c>
      <c r="N109" s="239">
        <f t="shared" si="50"/>
        <v>0</v>
      </c>
      <c r="O109" s="239">
        <f t="shared" si="50"/>
        <v>0</v>
      </c>
      <c r="P109" s="239">
        <f t="shared" si="50"/>
        <v>0</v>
      </c>
      <c r="Q109" s="239">
        <f t="shared" si="50"/>
        <v>0</v>
      </c>
      <c r="R109" s="239">
        <f t="shared" si="50"/>
        <v>0</v>
      </c>
      <c r="S109" s="239">
        <f t="shared" si="50"/>
        <v>0</v>
      </c>
      <c r="T109" s="239">
        <f t="shared" si="50"/>
        <v>0</v>
      </c>
      <c r="U109" s="239">
        <f t="shared" si="50"/>
        <v>1483.5</v>
      </c>
      <c r="V109" s="239">
        <f t="shared" si="50"/>
        <v>1584.8121951219512</v>
      </c>
      <c r="W109" s="239">
        <f t="shared" si="50"/>
        <v>1688.6571951219512</v>
      </c>
      <c r="X109" s="239">
        <f t="shared" si="50"/>
        <v>1795.1648874296434</v>
      </c>
      <c r="Y109" s="239">
        <f t="shared" si="50"/>
        <v>1904.4754137454329</v>
      </c>
      <c r="Z109" s="239">
        <f t="shared" si="50"/>
        <v>2016.7402786102978</v>
      </c>
      <c r="AA109" s="239">
        <f t="shared" si="50"/>
        <v>1132.1347230547422</v>
      </c>
      <c r="AB109" s="239">
        <f t="shared" si="50"/>
        <v>1171.6947230547421</v>
      </c>
      <c r="AC109" s="239">
        <f t="shared" si="50"/>
        <v>1212.4182524665071</v>
      </c>
      <c r="AD109" s="239">
        <f t="shared" si="50"/>
        <v>1254.3758282240829</v>
      </c>
      <c r="AE109" s="239">
        <f t="shared" si="50"/>
        <v>1297.6445782240826</v>
      </c>
      <c r="AF109" s="239">
        <f t="shared" si="50"/>
        <v>1342.3090943531149</v>
      </c>
      <c r="AG109" s="239">
        <f t="shared" si="50"/>
        <v>1388.4624276864483</v>
      </c>
      <c r="AH109" s="239">
        <f t="shared" si="50"/>
        <v>1436.2072552726552</v>
      </c>
      <c r="AI109" s="239">
        <f t="shared" si="50"/>
        <v>1485.6572552726552</v>
      </c>
      <c r="AJ109" s="239">
        <f t="shared" si="50"/>
        <v>1536.9387367541367</v>
      </c>
      <c r="AK109" s="239">
        <f t="shared" si="50"/>
        <v>1590.1925829079828</v>
      </c>
      <c r="AL109" s="239">
        <f t="shared" si="50"/>
        <v>1645.5765829079828</v>
      </c>
      <c r="AM109" s="239">
        <f t="shared" si="50"/>
        <v>1703.2682495746494</v>
      </c>
      <c r="AN109" s="239">
        <f t="shared" si="50"/>
        <v>1763.4682495746495</v>
      </c>
      <c r="AO109" s="239">
        <f t="shared" ref="AO109:BT109" si="51">SUM(AO105:AO108)</f>
        <v>1826.4046132110132</v>
      </c>
      <c r="AP109" s="239">
        <f t="shared" si="51"/>
        <v>1892.3379465443466</v>
      </c>
      <c r="AQ109" s="239">
        <f t="shared" si="51"/>
        <v>1961.5679465443466</v>
      </c>
      <c r="AR109" s="239">
        <f t="shared" si="51"/>
        <v>2034.4416307548729</v>
      </c>
      <c r="AS109" s="239">
        <f t="shared" si="51"/>
        <v>2111.3638529770951</v>
      </c>
      <c r="AT109" s="239">
        <f t="shared" si="51"/>
        <v>2192.8109118006246</v>
      </c>
      <c r="AU109" s="239">
        <f t="shared" si="51"/>
        <v>2279.3484118006245</v>
      </c>
      <c r="AV109" s="239">
        <f t="shared" si="51"/>
        <v>2371.6550784672909</v>
      </c>
      <c r="AW109" s="239">
        <f t="shared" si="51"/>
        <v>2470.5550784672914</v>
      </c>
      <c r="AX109" s="239">
        <f t="shared" si="51"/>
        <v>2577.0627707749836</v>
      </c>
      <c r="AY109" s="239">
        <f t="shared" si="51"/>
        <v>2692.4461041083168</v>
      </c>
      <c r="AZ109" s="239">
        <f t="shared" si="51"/>
        <v>2818.3188313810442</v>
      </c>
      <c r="BA109" s="239">
        <f t="shared" si="51"/>
        <v>2956.7788313810443</v>
      </c>
      <c r="BB109" s="239">
        <f t="shared" si="51"/>
        <v>3110.6232758254887</v>
      </c>
      <c r="BC109" s="239">
        <f t="shared" si="51"/>
        <v>3283.6982758254885</v>
      </c>
      <c r="BD109" s="239">
        <f t="shared" si="51"/>
        <v>3481.4982758254887</v>
      </c>
      <c r="BE109" s="239">
        <f t="shared" si="51"/>
        <v>3712.2649424921551</v>
      </c>
      <c r="BF109" s="239">
        <f t="shared" si="51"/>
        <v>3989.1849424921552</v>
      </c>
      <c r="BG109" s="239">
        <f t="shared" si="51"/>
        <v>4335.3349424921553</v>
      </c>
      <c r="BH109" s="239">
        <f t="shared" si="51"/>
        <v>4796.868275825489</v>
      </c>
      <c r="BI109" s="239">
        <f t="shared" si="51"/>
        <v>5489.1682758254883</v>
      </c>
      <c r="BJ109" s="239">
        <f t="shared" si="51"/>
        <v>6873.7682758254887</v>
      </c>
      <c r="BK109" s="239">
        <f t="shared" si="51"/>
        <v>24922.800000000017</v>
      </c>
      <c r="BL109" s="239">
        <f t="shared" si="51"/>
        <v>1153.8333333333333</v>
      </c>
      <c r="BM109" s="239">
        <f t="shared" si="51"/>
        <v>1153.8333333333333</v>
      </c>
      <c r="BN109" s="239">
        <f t="shared" si="51"/>
        <v>1153.8333333333333</v>
      </c>
      <c r="BO109" s="239">
        <f t="shared" si="51"/>
        <v>1153.8333333333333</v>
      </c>
      <c r="BP109" s="239">
        <f t="shared" si="51"/>
        <v>1153.8333333333333</v>
      </c>
      <c r="BQ109" s="239">
        <f t="shared" si="51"/>
        <v>1153.8333333333333</v>
      </c>
      <c r="BR109" s="239">
        <f t="shared" si="51"/>
        <v>1153.8333333333333</v>
      </c>
      <c r="BS109" s="239">
        <f t="shared" si="51"/>
        <v>1153.8333333333333</v>
      </c>
      <c r="BT109" s="239">
        <f t="shared" si="51"/>
        <v>1153.8333333333333</v>
      </c>
      <c r="BU109" s="239">
        <f t="shared" ref="BU109:CZ109" si="52">SUM(BU105:BU108)</f>
        <v>1153.8333333333333</v>
      </c>
      <c r="BV109" s="239">
        <f t="shared" si="52"/>
        <v>1153.8333333333333</v>
      </c>
      <c r="BW109" s="239">
        <f t="shared" si="52"/>
        <v>1153.8333333333333</v>
      </c>
      <c r="BX109" s="239">
        <f t="shared" si="52"/>
        <v>138460.00000000012</v>
      </c>
      <c r="BY109" s="239">
        <f t="shared" si="52"/>
        <v>0</v>
      </c>
      <c r="BZ109" s="239">
        <f t="shared" si="52"/>
        <v>0</v>
      </c>
      <c r="CA109" s="239">
        <f t="shared" si="52"/>
        <v>0</v>
      </c>
      <c r="CB109" s="239">
        <f t="shared" si="52"/>
        <v>0</v>
      </c>
      <c r="CC109" s="239">
        <f t="shared" si="52"/>
        <v>0</v>
      </c>
      <c r="CD109" s="239">
        <f t="shared" si="52"/>
        <v>0</v>
      </c>
      <c r="CE109" s="239">
        <f t="shared" si="52"/>
        <v>0</v>
      </c>
      <c r="CF109" s="239">
        <f t="shared" si="52"/>
        <v>0</v>
      </c>
      <c r="CG109" s="239">
        <f t="shared" si="52"/>
        <v>0</v>
      </c>
      <c r="CH109" s="239">
        <f t="shared" si="52"/>
        <v>0</v>
      </c>
      <c r="CI109" s="239">
        <f t="shared" si="52"/>
        <v>0</v>
      </c>
      <c r="CJ109" s="239">
        <f t="shared" si="52"/>
        <v>0</v>
      </c>
      <c r="CK109" s="239">
        <f t="shared" si="52"/>
        <v>0</v>
      </c>
      <c r="CL109" s="239">
        <f t="shared" si="52"/>
        <v>0</v>
      </c>
      <c r="CM109" s="239">
        <f t="shared" si="52"/>
        <v>0</v>
      </c>
      <c r="CN109" s="239">
        <f t="shared" si="52"/>
        <v>0</v>
      </c>
      <c r="CO109" s="239">
        <f t="shared" si="52"/>
        <v>0</v>
      </c>
      <c r="CP109" s="239">
        <f t="shared" si="52"/>
        <v>0</v>
      </c>
      <c r="CQ109" s="239">
        <f t="shared" si="52"/>
        <v>0</v>
      </c>
      <c r="CR109" s="239">
        <f t="shared" si="52"/>
        <v>0</v>
      </c>
      <c r="CS109" s="239">
        <f t="shared" si="52"/>
        <v>0</v>
      </c>
      <c r="CT109" s="239">
        <f t="shared" si="52"/>
        <v>0</v>
      </c>
      <c r="CU109" s="239">
        <f t="shared" si="52"/>
        <v>0</v>
      </c>
      <c r="CV109" s="239">
        <f t="shared" si="52"/>
        <v>0</v>
      </c>
      <c r="CW109" s="239">
        <f t="shared" si="52"/>
        <v>0</v>
      </c>
      <c r="CX109" s="239">
        <f t="shared" si="52"/>
        <v>0</v>
      </c>
      <c r="CY109" s="239">
        <f t="shared" si="52"/>
        <v>0</v>
      </c>
      <c r="CZ109" s="239">
        <f t="shared" si="52"/>
        <v>0</v>
      </c>
      <c r="DA109" s="239">
        <f t="shared" ref="DA109:EF109" si="53">SUM(DA105:DA108)</f>
        <v>0</v>
      </c>
      <c r="DB109" s="239">
        <f t="shared" si="53"/>
        <v>0</v>
      </c>
      <c r="DC109" s="239">
        <f t="shared" si="53"/>
        <v>0</v>
      </c>
      <c r="DD109" s="239">
        <f t="shared" si="53"/>
        <v>0</v>
      </c>
      <c r="DE109" s="239">
        <f t="shared" si="53"/>
        <v>0</v>
      </c>
      <c r="DF109" s="239">
        <f t="shared" si="53"/>
        <v>0</v>
      </c>
      <c r="DG109" s="239">
        <f t="shared" si="53"/>
        <v>0</v>
      </c>
      <c r="DH109" s="239">
        <f t="shared" si="53"/>
        <v>0</v>
      </c>
      <c r="DI109" s="239">
        <f t="shared" si="53"/>
        <v>0</v>
      </c>
      <c r="DJ109" s="239">
        <f t="shared" si="53"/>
        <v>0</v>
      </c>
      <c r="DK109" s="239">
        <f t="shared" si="53"/>
        <v>0</v>
      </c>
      <c r="DL109" s="239">
        <f t="shared" si="53"/>
        <v>0</v>
      </c>
      <c r="DM109" s="239">
        <f t="shared" si="53"/>
        <v>0</v>
      </c>
      <c r="DN109" s="239">
        <f t="shared" si="53"/>
        <v>0</v>
      </c>
      <c r="DO109" s="239">
        <f t="shared" si="53"/>
        <v>0</v>
      </c>
      <c r="DP109" s="239">
        <f t="shared" si="53"/>
        <v>0</v>
      </c>
      <c r="DQ109" s="239">
        <f t="shared" si="53"/>
        <v>0</v>
      </c>
      <c r="DR109" s="239">
        <f t="shared" si="53"/>
        <v>0</v>
      </c>
      <c r="DS109" s="239">
        <f t="shared" si="53"/>
        <v>0</v>
      </c>
      <c r="DT109" s="239">
        <f t="shared" si="53"/>
        <v>0</v>
      </c>
      <c r="DU109" s="239">
        <f t="shared" si="53"/>
        <v>0</v>
      </c>
      <c r="DV109" s="239">
        <f t="shared" si="53"/>
        <v>0</v>
      </c>
      <c r="DW109" s="239">
        <f t="shared" si="53"/>
        <v>0</v>
      </c>
      <c r="DX109" s="239">
        <f t="shared" si="53"/>
        <v>0</v>
      </c>
      <c r="DY109" s="239">
        <f t="shared" si="53"/>
        <v>0</v>
      </c>
      <c r="DZ109" s="239">
        <f t="shared" si="53"/>
        <v>0</v>
      </c>
      <c r="EA109" s="239">
        <f t="shared" si="53"/>
        <v>0</v>
      </c>
      <c r="EB109" s="239">
        <f t="shared" si="53"/>
        <v>0</v>
      </c>
      <c r="EC109" s="239">
        <f t="shared" si="53"/>
        <v>0</v>
      </c>
      <c r="ED109" s="239">
        <f t="shared" si="53"/>
        <v>0</v>
      </c>
      <c r="EE109" s="239">
        <f t="shared" si="53"/>
        <v>0</v>
      </c>
      <c r="EF109" s="239">
        <f t="shared" si="53"/>
        <v>0</v>
      </c>
      <c r="EG109" s="239">
        <f t="shared" ref="EG109:FH109" si="54">SUM(EG105:EG108)</f>
        <v>0</v>
      </c>
      <c r="EH109" s="239">
        <f t="shared" si="54"/>
        <v>0</v>
      </c>
      <c r="EI109" s="239">
        <f t="shared" si="54"/>
        <v>0</v>
      </c>
      <c r="EJ109" s="239">
        <f t="shared" si="54"/>
        <v>0</v>
      </c>
      <c r="EK109" s="239">
        <f t="shared" si="54"/>
        <v>0</v>
      </c>
      <c r="EL109" s="239">
        <f t="shared" si="54"/>
        <v>0</v>
      </c>
      <c r="EM109" s="239">
        <f t="shared" si="54"/>
        <v>0</v>
      </c>
      <c r="EN109" s="239">
        <f t="shared" si="54"/>
        <v>0</v>
      </c>
      <c r="EO109" s="239">
        <f t="shared" si="54"/>
        <v>0</v>
      </c>
      <c r="EP109" s="239">
        <f t="shared" si="54"/>
        <v>0</v>
      </c>
      <c r="EQ109" s="239">
        <f t="shared" si="54"/>
        <v>0</v>
      </c>
      <c r="ER109" s="239">
        <f t="shared" si="54"/>
        <v>0</v>
      </c>
      <c r="ES109" s="239">
        <f t="shared" si="54"/>
        <v>0</v>
      </c>
      <c r="ET109" s="239">
        <f t="shared" si="54"/>
        <v>0</v>
      </c>
      <c r="EU109" s="239">
        <f t="shared" si="54"/>
        <v>0</v>
      </c>
      <c r="EV109" s="239">
        <f t="shared" si="54"/>
        <v>0</v>
      </c>
      <c r="EW109" s="239">
        <f t="shared" si="54"/>
        <v>0</v>
      </c>
      <c r="EX109" s="239">
        <f t="shared" si="54"/>
        <v>0</v>
      </c>
      <c r="EY109" s="239">
        <f t="shared" si="54"/>
        <v>0</v>
      </c>
      <c r="EZ109" s="239">
        <f t="shared" si="54"/>
        <v>0</v>
      </c>
      <c r="FA109" s="239">
        <f t="shared" si="54"/>
        <v>0</v>
      </c>
      <c r="FB109" s="239">
        <f t="shared" si="54"/>
        <v>0</v>
      </c>
      <c r="FC109" s="239">
        <f t="shared" si="54"/>
        <v>0</v>
      </c>
      <c r="FD109" s="239">
        <f t="shared" si="54"/>
        <v>0</v>
      </c>
      <c r="FE109" s="239">
        <f t="shared" si="54"/>
        <v>0</v>
      </c>
      <c r="FF109" s="239">
        <f t="shared" si="54"/>
        <v>0</v>
      </c>
      <c r="FG109" s="239">
        <f t="shared" si="54"/>
        <v>0</v>
      </c>
      <c r="FH109" s="239">
        <f t="shared" si="54"/>
        <v>0</v>
      </c>
    </row>
    <row r="110" spans="1:164" x14ac:dyDescent="0.2">
      <c r="A110" s="10"/>
      <c r="B110" s="10"/>
      <c r="C110" s="10" t="s">
        <v>753</v>
      </c>
      <c r="D110" s="10"/>
      <c r="E110" s="10"/>
      <c r="F110" s="10"/>
      <c r="G110" s="10"/>
      <c r="H110" s="12">
        <f t="shared" si="34"/>
        <v>-13845.999999999991</v>
      </c>
      <c r="I110" s="12">
        <f t="shared" ref="I110:AN110" si="55">-I103*$D$61</f>
        <v>0</v>
      </c>
      <c r="J110" s="12">
        <f t="shared" si="55"/>
        <v>0</v>
      </c>
      <c r="K110" s="12">
        <f t="shared" si="55"/>
        <v>0</v>
      </c>
      <c r="L110" s="12">
        <f t="shared" si="55"/>
        <v>0</v>
      </c>
      <c r="M110" s="12">
        <f t="shared" si="55"/>
        <v>0</v>
      </c>
      <c r="N110" s="12">
        <f t="shared" si="55"/>
        <v>0</v>
      </c>
      <c r="O110" s="12">
        <f t="shared" si="55"/>
        <v>0</v>
      </c>
      <c r="P110" s="12">
        <f t="shared" si="55"/>
        <v>0</v>
      </c>
      <c r="Q110" s="12">
        <f t="shared" si="55"/>
        <v>0</v>
      </c>
      <c r="R110" s="12">
        <f t="shared" si="55"/>
        <v>0</v>
      </c>
      <c r="S110" s="12">
        <f t="shared" si="55"/>
        <v>0</v>
      </c>
      <c r="T110" s="12">
        <f t="shared" si="55"/>
        <v>0</v>
      </c>
      <c r="U110" s="12">
        <f t="shared" si="55"/>
        <v>-692.3</v>
      </c>
      <c r="V110" s="12">
        <f t="shared" si="55"/>
        <v>-692.3</v>
      </c>
      <c r="W110" s="12">
        <f t="shared" si="55"/>
        <v>-692.3</v>
      </c>
      <c r="X110" s="12">
        <f t="shared" si="55"/>
        <v>-692.3</v>
      </c>
      <c r="Y110" s="12">
        <f t="shared" si="55"/>
        <v>-692.3</v>
      </c>
      <c r="Z110" s="12">
        <f t="shared" si="55"/>
        <v>-692.3</v>
      </c>
      <c r="AA110" s="12">
        <f t="shared" si="55"/>
        <v>-230.76666666666665</v>
      </c>
      <c r="AB110" s="12">
        <f t="shared" si="55"/>
        <v>-230.76666666666665</v>
      </c>
      <c r="AC110" s="12">
        <f t="shared" si="55"/>
        <v>-230.76666666666665</v>
      </c>
      <c r="AD110" s="12">
        <f t="shared" si="55"/>
        <v>-230.76666666666665</v>
      </c>
      <c r="AE110" s="12">
        <f t="shared" si="55"/>
        <v>-230.76666666666665</v>
      </c>
      <c r="AF110" s="12">
        <f t="shared" si="55"/>
        <v>-230.76666666666665</v>
      </c>
      <c r="AG110" s="12">
        <f t="shared" si="55"/>
        <v>-230.76666666666665</v>
      </c>
      <c r="AH110" s="12">
        <f t="shared" si="55"/>
        <v>-230.76666666666665</v>
      </c>
      <c r="AI110" s="12">
        <f t="shared" si="55"/>
        <v>-230.76666666666665</v>
      </c>
      <c r="AJ110" s="12">
        <f t="shared" si="55"/>
        <v>-230.76666666666665</v>
      </c>
      <c r="AK110" s="12">
        <f t="shared" si="55"/>
        <v>-230.76666666666665</v>
      </c>
      <c r="AL110" s="12">
        <f t="shared" si="55"/>
        <v>-230.76666666666665</v>
      </c>
      <c r="AM110" s="12">
        <f t="shared" si="55"/>
        <v>-230.76666666666665</v>
      </c>
      <c r="AN110" s="12">
        <f t="shared" si="55"/>
        <v>-230.76666666666665</v>
      </c>
      <c r="AO110" s="12">
        <f t="shared" ref="AO110:BT110" si="56">-AO103*$D$61</f>
        <v>-230.76666666666665</v>
      </c>
      <c r="AP110" s="12">
        <f t="shared" si="56"/>
        <v>-230.76666666666665</v>
      </c>
      <c r="AQ110" s="12">
        <f t="shared" si="56"/>
        <v>-230.76666666666665</v>
      </c>
      <c r="AR110" s="12">
        <f t="shared" si="56"/>
        <v>-230.76666666666665</v>
      </c>
      <c r="AS110" s="12">
        <f t="shared" si="56"/>
        <v>-230.76666666666665</v>
      </c>
      <c r="AT110" s="12">
        <f t="shared" si="56"/>
        <v>-230.76666666666665</v>
      </c>
      <c r="AU110" s="12">
        <f t="shared" si="56"/>
        <v>-230.76666666666665</v>
      </c>
      <c r="AV110" s="12">
        <f t="shared" si="56"/>
        <v>-230.76666666666665</v>
      </c>
      <c r="AW110" s="12">
        <f t="shared" si="56"/>
        <v>-230.76666666666665</v>
      </c>
      <c r="AX110" s="12">
        <f t="shared" si="56"/>
        <v>-230.76666666666665</v>
      </c>
      <c r="AY110" s="12">
        <f t="shared" si="56"/>
        <v>-230.76666666666665</v>
      </c>
      <c r="AZ110" s="12">
        <f t="shared" si="56"/>
        <v>-230.76666666666665</v>
      </c>
      <c r="BA110" s="12">
        <f t="shared" si="56"/>
        <v>-230.76666666666665</v>
      </c>
      <c r="BB110" s="12">
        <f t="shared" si="56"/>
        <v>-230.76666666666665</v>
      </c>
      <c r="BC110" s="12">
        <f t="shared" si="56"/>
        <v>-230.76666666666665</v>
      </c>
      <c r="BD110" s="12">
        <f t="shared" si="56"/>
        <v>-230.76666666666665</v>
      </c>
      <c r="BE110" s="12">
        <f t="shared" si="56"/>
        <v>-230.76666666666665</v>
      </c>
      <c r="BF110" s="12">
        <f t="shared" si="56"/>
        <v>-230.76666666666665</v>
      </c>
      <c r="BG110" s="12">
        <f t="shared" si="56"/>
        <v>-230.76666666666665</v>
      </c>
      <c r="BH110" s="12">
        <f t="shared" si="56"/>
        <v>-230.76666666666665</v>
      </c>
      <c r="BI110" s="12">
        <f t="shared" si="56"/>
        <v>-230.76666666666665</v>
      </c>
      <c r="BJ110" s="12">
        <f t="shared" si="56"/>
        <v>-230.76666666666665</v>
      </c>
      <c r="BK110" s="12">
        <f t="shared" si="56"/>
        <v>0</v>
      </c>
      <c r="BL110" s="12">
        <f t="shared" si="56"/>
        <v>-115.38333333333333</v>
      </c>
      <c r="BM110" s="12">
        <f t="shared" si="56"/>
        <v>-115.38333333333333</v>
      </c>
      <c r="BN110" s="12">
        <f t="shared" si="56"/>
        <v>-115.38333333333333</v>
      </c>
      <c r="BO110" s="12">
        <f t="shared" si="56"/>
        <v>-115.38333333333333</v>
      </c>
      <c r="BP110" s="12">
        <f t="shared" si="56"/>
        <v>-115.38333333333333</v>
      </c>
      <c r="BQ110" s="12">
        <f t="shared" si="56"/>
        <v>-115.38333333333333</v>
      </c>
      <c r="BR110" s="12">
        <f t="shared" si="56"/>
        <v>-115.38333333333333</v>
      </c>
      <c r="BS110" s="12">
        <f t="shared" si="56"/>
        <v>-115.38333333333333</v>
      </c>
      <c r="BT110" s="12">
        <f t="shared" si="56"/>
        <v>-115.38333333333333</v>
      </c>
      <c r="BU110" s="12">
        <f t="shared" ref="BU110:CZ110" si="57">-BU103*$D$61</f>
        <v>-115.38333333333333</v>
      </c>
      <c r="BV110" s="12">
        <f t="shared" si="57"/>
        <v>-115.38333333333333</v>
      </c>
      <c r="BW110" s="12">
        <f t="shared" si="57"/>
        <v>-115.38333333333333</v>
      </c>
      <c r="BX110" s="12">
        <f t="shared" si="57"/>
        <v>0</v>
      </c>
      <c r="BY110" s="12">
        <f t="shared" si="57"/>
        <v>0</v>
      </c>
      <c r="BZ110" s="12">
        <f t="shared" si="57"/>
        <v>0</v>
      </c>
      <c r="CA110" s="12">
        <f t="shared" si="57"/>
        <v>0</v>
      </c>
      <c r="CB110" s="12">
        <f t="shared" si="57"/>
        <v>0</v>
      </c>
      <c r="CC110" s="12">
        <f t="shared" si="57"/>
        <v>0</v>
      </c>
      <c r="CD110" s="12">
        <f t="shared" si="57"/>
        <v>0</v>
      </c>
      <c r="CE110" s="12">
        <f t="shared" si="57"/>
        <v>0</v>
      </c>
      <c r="CF110" s="12">
        <f t="shared" si="57"/>
        <v>0</v>
      </c>
      <c r="CG110" s="12">
        <f t="shared" si="57"/>
        <v>0</v>
      </c>
      <c r="CH110" s="12">
        <f t="shared" si="57"/>
        <v>0</v>
      </c>
      <c r="CI110" s="12">
        <f t="shared" si="57"/>
        <v>0</v>
      </c>
      <c r="CJ110" s="12">
        <f t="shared" si="57"/>
        <v>0</v>
      </c>
      <c r="CK110" s="12">
        <f t="shared" si="57"/>
        <v>0</v>
      </c>
      <c r="CL110" s="12">
        <f t="shared" si="57"/>
        <v>0</v>
      </c>
      <c r="CM110" s="12">
        <f t="shared" si="57"/>
        <v>0</v>
      </c>
      <c r="CN110" s="12">
        <f t="shared" si="57"/>
        <v>0</v>
      </c>
      <c r="CO110" s="12">
        <f t="shared" si="57"/>
        <v>0</v>
      </c>
      <c r="CP110" s="12">
        <f t="shared" si="57"/>
        <v>0</v>
      </c>
      <c r="CQ110" s="12">
        <f t="shared" si="57"/>
        <v>0</v>
      </c>
      <c r="CR110" s="12">
        <f t="shared" si="57"/>
        <v>0</v>
      </c>
      <c r="CS110" s="12">
        <f t="shared" si="57"/>
        <v>0</v>
      </c>
      <c r="CT110" s="12">
        <f t="shared" si="57"/>
        <v>0</v>
      </c>
      <c r="CU110" s="12">
        <f t="shared" si="57"/>
        <v>0</v>
      </c>
      <c r="CV110" s="12">
        <f t="shared" si="57"/>
        <v>0</v>
      </c>
      <c r="CW110" s="12">
        <f t="shared" si="57"/>
        <v>0</v>
      </c>
      <c r="CX110" s="12">
        <f t="shared" si="57"/>
        <v>0</v>
      </c>
      <c r="CY110" s="12">
        <f t="shared" si="57"/>
        <v>0</v>
      </c>
      <c r="CZ110" s="12">
        <f t="shared" si="57"/>
        <v>0</v>
      </c>
      <c r="DA110" s="12">
        <f t="shared" ref="DA110:EF110" si="58">-DA103*$D$61</f>
        <v>0</v>
      </c>
      <c r="DB110" s="12">
        <f t="shared" si="58"/>
        <v>0</v>
      </c>
      <c r="DC110" s="12">
        <f t="shared" si="58"/>
        <v>0</v>
      </c>
      <c r="DD110" s="12">
        <f t="shared" si="58"/>
        <v>0</v>
      </c>
      <c r="DE110" s="12">
        <f t="shared" si="58"/>
        <v>0</v>
      </c>
      <c r="DF110" s="12">
        <f t="shared" si="58"/>
        <v>0</v>
      </c>
      <c r="DG110" s="12">
        <f t="shared" si="58"/>
        <v>0</v>
      </c>
      <c r="DH110" s="12">
        <f t="shared" si="58"/>
        <v>0</v>
      </c>
      <c r="DI110" s="12">
        <f t="shared" si="58"/>
        <v>0</v>
      </c>
      <c r="DJ110" s="12">
        <f t="shared" si="58"/>
        <v>0</v>
      </c>
      <c r="DK110" s="12">
        <f t="shared" si="58"/>
        <v>0</v>
      </c>
      <c r="DL110" s="12">
        <f t="shared" si="58"/>
        <v>0</v>
      </c>
      <c r="DM110" s="12">
        <f t="shared" si="58"/>
        <v>0</v>
      </c>
      <c r="DN110" s="12">
        <f t="shared" si="58"/>
        <v>0</v>
      </c>
      <c r="DO110" s="12">
        <f t="shared" si="58"/>
        <v>0</v>
      </c>
      <c r="DP110" s="12">
        <f t="shared" si="58"/>
        <v>0</v>
      </c>
      <c r="DQ110" s="12">
        <f t="shared" si="58"/>
        <v>0</v>
      </c>
      <c r="DR110" s="12">
        <f t="shared" si="58"/>
        <v>0</v>
      </c>
      <c r="DS110" s="12">
        <f t="shared" si="58"/>
        <v>0</v>
      </c>
      <c r="DT110" s="12">
        <f t="shared" si="58"/>
        <v>0</v>
      </c>
      <c r="DU110" s="12">
        <f t="shared" si="58"/>
        <v>0</v>
      </c>
      <c r="DV110" s="12">
        <f t="shared" si="58"/>
        <v>0</v>
      </c>
      <c r="DW110" s="12">
        <f t="shared" si="58"/>
        <v>0</v>
      </c>
      <c r="DX110" s="12">
        <f t="shared" si="58"/>
        <v>0</v>
      </c>
      <c r="DY110" s="12">
        <f t="shared" si="58"/>
        <v>0</v>
      </c>
      <c r="DZ110" s="12">
        <f t="shared" si="58"/>
        <v>0</v>
      </c>
      <c r="EA110" s="12">
        <f t="shared" si="58"/>
        <v>0</v>
      </c>
      <c r="EB110" s="12">
        <f t="shared" si="58"/>
        <v>0</v>
      </c>
      <c r="EC110" s="12">
        <f t="shared" si="58"/>
        <v>0</v>
      </c>
      <c r="ED110" s="12">
        <f t="shared" si="58"/>
        <v>0</v>
      </c>
      <c r="EE110" s="12">
        <f t="shared" si="58"/>
        <v>0</v>
      </c>
      <c r="EF110" s="12">
        <f t="shared" si="58"/>
        <v>0</v>
      </c>
      <c r="EG110" s="12">
        <f t="shared" ref="EG110:FH110" si="59">-EG103*$D$61</f>
        <v>0</v>
      </c>
      <c r="EH110" s="12">
        <f t="shared" si="59"/>
        <v>0</v>
      </c>
      <c r="EI110" s="12">
        <f t="shared" si="59"/>
        <v>0</v>
      </c>
      <c r="EJ110" s="12">
        <f t="shared" si="59"/>
        <v>0</v>
      </c>
      <c r="EK110" s="12">
        <f t="shared" si="59"/>
        <v>0</v>
      </c>
      <c r="EL110" s="12">
        <f t="shared" si="59"/>
        <v>0</v>
      </c>
      <c r="EM110" s="12">
        <f t="shared" si="59"/>
        <v>0</v>
      </c>
      <c r="EN110" s="12">
        <f t="shared" si="59"/>
        <v>0</v>
      </c>
      <c r="EO110" s="12">
        <f t="shared" si="59"/>
        <v>0</v>
      </c>
      <c r="EP110" s="12">
        <f t="shared" si="59"/>
        <v>0</v>
      </c>
      <c r="EQ110" s="12">
        <f t="shared" si="59"/>
        <v>0</v>
      </c>
      <c r="ER110" s="12">
        <f t="shared" si="59"/>
        <v>0</v>
      </c>
      <c r="ES110" s="12">
        <f t="shared" si="59"/>
        <v>0</v>
      </c>
      <c r="ET110" s="12">
        <f t="shared" si="59"/>
        <v>0</v>
      </c>
      <c r="EU110" s="12">
        <f t="shared" si="59"/>
        <v>0</v>
      </c>
      <c r="EV110" s="12">
        <f t="shared" si="59"/>
        <v>0</v>
      </c>
      <c r="EW110" s="12">
        <f t="shared" si="59"/>
        <v>0</v>
      </c>
      <c r="EX110" s="12">
        <f t="shared" si="59"/>
        <v>0</v>
      </c>
      <c r="EY110" s="12">
        <f t="shared" si="59"/>
        <v>0</v>
      </c>
      <c r="EZ110" s="12">
        <f t="shared" si="59"/>
        <v>0</v>
      </c>
      <c r="FA110" s="12">
        <f t="shared" si="59"/>
        <v>0</v>
      </c>
      <c r="FB110" s="12">
        <f t="shared" si="59"/>
        <v>0</v>
      </c>
      <c r="FC110" s="12">
        <f t="shared" si="59"/>
        <v>0</v>
      </c>
      <c r="FD110" s="12">
        <f t="shared" si="59"/>
        <v>0</v>
      </c>
      <c r="FE110" s="12">
        <f t="shared" si="59"/>
        <v>0</v>
      </c>
      <c r="FF110" s="12">
        <f t="shared" si="59"/>
        <v>0</v>
      </c>
      <c r="FG110" s="12">
        <f t="shared" si="59"/>
        <v>0</v>
      </c>
      <c r="FH110" s="12">
        <f t="shared" si="59"/>
        <v>0</v>
      </c>
    </row>
    <row r="111" spans="1:164" x14ac:dyDescent="0.2">
      <c r="A111" s="10"/>
      <c r="B111" s="10"/>
      <c r="C111" s="10" t="s">
        <v>492</v>
      </c>
      <c r="D111" s="10"/>
      <c r="E111" s="10"/>
      <c r="F111" s="10"/>
      <c r="G111" s="10"/>
      <c r="H111" s="12">
        <f t="shared" si="34"/>
        <v>-10522.960000000001</v>
      </c>
      <c r="I111" s="12">
        <f t="shared" ref="I111:AN111" si="60">-(I109+I110)*$D$62</f>
        <v>0</v>
      </c>
      <c r="J111" s="12">
        <f t="shared" si="60"/>
        <v>0</v>
      </c>
      <c r="K111" s="12">
        <f t="shared" si="60"/>
        <v>0</v>
      </c>
      <c r="L111" s="12">
        <f t="shared" si="60"/>
        <v>0</v>
      </c>
      <c r="M111" s="12">
        <f t="shared" si="60"/>
        <v>0</v>
      </c>
      <c r="N111" s="12">
        <f t="shared" si="60"/>
        <v>0</v>
      </c>
      <c r="O111" s="12">
        <f t="shared" si="60"/>
        <v>0</v>
      </c>
      <c r="P111" s="12">
        <f t="shared" si="60"/>
        <v>0</v>
      </c>
      <c r="Q111" s="12">
        <f t="shared" si="60"/>
        <v>0</v>
      </c>
      <c r="R111" s="12">
        <f t="shared" si="60"/>
        <v>0</v>
      </c>
      <c r="S111" s="12">
        <f t="shared" si="60"/>
        <v>0</v>
      </c>
      <c r="T111" s="12">
        <f t="shared" si="60"/>
        <v>0</v>
      </c>
      <c r="U111" s="12">
        <f t="shared" si="60"/>
        <v>-31.648000000000003</v>
      </c>
      <c r="V111" s="12">
        <f t="shared" si="60"/>
        <v>-35.700487804878051</v>
      </c>
      <c r="W111" s="12">
        <f t="shared" si="60"/>
        <v>-39.854287804878048</v>
      </c>
      <c r="X111" s="12">
        <f t="shared" si="60"/>
        <v>-44.114595497185739</v>
      </c>
      <c r="Y111" s="12">
        <f t="shared" si="60"/>
        <v>-48.487016549817319</v>
      </c>
      <c r="Z111" s="12">
        <f t="shared" si="60"/>
        <v>-52.977611144411917</v>
      </c>
      <c r="AA111" s="12">
        <f t="shared" si="60"/>
        <v>-36.054722255523018</v>
      </c>
      <c r="AB111" s="12">
        <f t="shared" si="60"/>
        <v>-37.637122255523018</v>
      </c>
      <c r="AC111" s="12">
        <f t="shared" si="60"/>
        <v>-39.266063431993615</v>
      </c>
      <c r="AD111" s="12">
        <f t="shared" si="60"/>
        <v>-40.944366462296649</v>
      </c>
      <c r="AE111" s="12">
        <f t="shared" si="60"/>
        <v>-42.675116462296636</v>
      </c>
      <c r="AF111" s="12">
        <f t="shared" si="60"/>
        <v>-44.46169710745793</v>
      </c>
      <c r="AG111" s="12">
        <f t="shared" si="60"/>
        <v>-46.307830440791271</v>
      </c>
      <c r="AH111" s="12">
        <f t="shared" si="60"/>
        <v>-48.217623544239544</v>
      </c>
      <c r="AI111" s="12">
        <f t="shared" si="60"/>
        <v>-50.195623544239545</v>
      </c>
      <c r="AJ111" s="12">
        <f t="shared" si="60"/>
        <v>-52.246882803498806</v>
      </c>
      <c r="AK111" s="12">
        <f t="shared" si="60"/>
        <v>-54.377036649652645</v>
      </c>
      <c r="AL111" s="12">
        <f t="shared" si="60"/>
        <v>-56.592396649652649</v>
      </c>
      <c r="AM111" s="12">
        <f t="shared" si="60"/>
        <v>-58.900063316319311</v>
      </c>
      <c r="AN111" s="12">
        <f t="shared" si="60"/>
        <v>-61.308063316319313</v>
      </c>
      <c r="AO111" s="12">
        <f t="shared" ref="AO111:BT111" si="61">-(AO109+AO110)*$D$62</f>
        <v>-63.825517861773861</v>
      </c>
      <c r="AP111" s="12">
        <f t="shared" si="61"/>
        <v>-66.462851195107191</v>
      </c>
      <c r="AQ111" s="12">
        <f t="shared" si="61"/>
        <v>-69.232051195107204</v>
      </c>
      <c r="AR111" s="12">
        <f t="shared" si="61"/>
        <v>-72.146998563528257</v>
      </c>
      <c r="AS111" s="12">
        <f t="shared" si="61"/>
        <v>-75.223887452417145</v>
      </c>
      <c r="AT111" s="12">
        <f t="shared" si="61"/>
        <v>-78.481769805358326</v>
      </c>
      <c r="AU111" s="12">
        <f t="shared" si="61"/>
        <v>-81.943269805358327</v>
      </c>
      <c r="AV111" s="12">
        <f t="shared" si="61"/>
        <v>-85.635536472024981</v>
      </c>
      <c r="AW111" s="12">
        <f t="shared" si="61"/>
        <v>-89.591536472024998</v>
      </c>
      <c r="AX111" s="12">
        <f t="shared" si="61"/>
        <v>-93.85184416433269</v>
      </c>
      <c r="AY111" s="12">
        <f t="shared" si="61"/>
        <v>-98.467177497666015</v>
      </c>
      <c r="AZ111" s="12">
        <f t="shared" si="61"/>
        <v>-103.50208658857511</v>
      </c>
      <c r="BA111" s="12">
        <f t="shared" si="61"/>
        <v>-109.04048658857512</v>
      </c>
      <c r="BB111" s="12">
        <f t="shared" si="61"/>
        <v>-115.19426436635287</v>
      </c>
      <c r="BC111" s="12">
        <f t="shared" si="61"/>
        <v>-122.11726436635287</v>
      </c>
      <c r="BD111" s="12">
        <f t="shared" si="61"/>
        <v>-130.02926436635286</v>
      </c>
      <c r="BE111" s="12">
        <f t="shared" si="61"/>
        <v>-139.25993103301954</v>
      </c>
      <c r="BF111" s="12">
        <f t="shared" si="61"/>
        <v>-150.33673103301953</v>
      </c>
      <c r="BG111" s="12">
        <f t="shared" si="61"/>
        <v>-164.18273103301956</v>
      </c>
      <c r="BH111" s="12">
        <f t="shared" si="61"/>
        <v>-182.64406436635292</v>
      </c>
      <c r="BI111" s="12">
        <f t="shared" si="61"/>
        <v>-210.33606436635287</v>
      </c>
      <c r="BJ111" s="12">
        <f t="shared" si="61"/>
        <v>-265.72006436635291</v>
      </c>
      <c r="BK111" s="12">
        <f t="shared" si="61"/>
        <v>-996.91200000000072</v>
      </c>
      <c r="BL111" s="12">
        <f t="shared" si="61"/>
        <v>-41.537999999999997</v>
      </c>
      <c r="BM111" s="12">
        <f t="shared" si="61"/>
        <v>-41.537999999999997</v>
      </c>
      <c r="BN111" s="12">
        <f t="shared" si="61"/>
        <v>-41.537999999999997</v>
      </c>
      <c r="BO111" s="12">
        <f t="shared" si="61"/>
        <v>-41.537999999999997</v>
      </c>
      <c r="BP111" s="12">
        <f t="shared" si="61"/>
        <v>-41.537999999999997</v>
      </c>
      <c r="BQ111" s="12">
        <f t="shared" si="61"/>
        <v>-41.537999999999997</v>
      </c>
      <c r="BR111" s="12">
        <f t="shared" si="61"/>
        <v>-41.537999999999997</v>
      </c>
      <c r="BS111" s="12">
        <f t="shared" si="61"/>
        <v>-41.537999999999997</v>
      </c>
      <c r="BT111" s="12">
        <f t="shared" si="61"/>
        <v>-41.537999999999997</v>
      </c>
      <c r="BU111" s="12">
        <f t="shared" ref="BU111:CZ111" si="62">-(BU109+BU110)*$D$62</f>
        <v>-41.537999999999997</v>
      </c>
      <c r="BV111" s="12">
        <f t="shared" si="62"/>
        <v>-41.537999999999997</v>
      </c>
      <c r="BW111" s="12">
        <f t="shared" si="62"/>
        <v>-41.537999999999997</v>
      </c>
      <c r="BX111" s="12">
        <f t="shared" si="62"/>
        <v>-5538.4000000000051</v>
      </c>
      <c r="BY111" s="12">
        <f t="shared" si="62"/>
        <v>0</v>
      </c>
      <c r="BZ111" s="12">
        <f t="shared" si="62"/>
        <v>0</v>
      </c>
      <c r="CA111" s="12">
        <f t="shared" si="62"/>
        <v>0</v>
      </c>
      <c r="CB111" s="12">
        <f t="shared" si="62"/>
        <v>0</v>
      </c>
      <c r="CC111" s="12">
        <f t="shared" si="62"/>
        <v>0</v>
      </c>
      <c r="CD111" s="12">
        <f t="shared" si="62"/>
        <v>0</v>
      </c>
      <c r="CE111" s="12">
        <f t="shared" si="62"/>
        <v>0</v>
      </c>
      <c r="CF111" s="12">
        <f t="shared" si="62"/>
        <v>0</v>
      </c>
      <c r="CG111" s="12">
        <f t="shared" si="62"/>
        <v>0</v>
      </c>
      <c r="CH111" s="12">
        <f t="shared" si="62"/>
        <v>0</v>
      </c>
      <c r="CI111" s="12">
        <f t="shared" si="62"/>
        <v>0</v>
      </c>
      <c r="CJ111" s="12">
        <f t="shared" si="62"/>
        <v>0</v>
      </c>
      <c r="CK111" s="12">
        <f t="shared" si="62"/>
        <v>0</v>
      </c>
      <c r="CL111" s="12">
        <f t="shared" si="62"/>
        <v>0</v>
      </c>
      <c r="CM111" s="12">
        <f t="shared" si="62"/>
        <v>0</v>
      </c>
      <c r="CN111" s="12">
        <f t="shared" si="62"/>
        <v>0</v>
      </c>
      <c r="CO111" s="12">
        <f t="shared" si="62"/>
        <v>0</v>
      </c>
      <c r="CP111" s="12">
        <f t="shared" si="62"/>
        <v>0</v>
      </c>
      <c r="CQ111" s="12">
        <f t="shared" si="62"/>
        <v>0</v>
      </c>
      <c r="CR111" s="12">
        <f t="shared" si="62"/>
        <v>0</v>
      </c>
      <c r="CS111" s="12">
        <f t="shared" si="62"/>
        <v>0</v>
      </c>
      <c r="CT111" s="12">
        <f t="shared" si="62"/>
        <v>0</v>
      </c>
      <c r="CU111" s="12">
        <f t="shared" si="62"/>
        <v>0</v>
      </c>
      <c r="CV111" s="12">
        <f t="shared" si="62"/>
        <v>0</v>
      </c>
      <c r="CW111" s="12">
        <f t="shared" si="62"/>
        <v>0</v>
      </c>
      <c r="CX111" s="12">
        <f t="shared" si="62"/>
        <v>0</v>
      </c>
      <c r="CY111" s="12">
        <f t="shared" si="62"/>
        <v>0</v>
      </c>
      <c r="CZ111" s="12">
        <f t="shared" si="62"/>
        <v>0</v>
      </c>
      <c r="DA111" s="12">
        <f t="shared" ref="DA111:EF111" si="63">-(DA109+DA110)*$D$62</f>
        <v>0</v>
      </c>
      <c r="DB111" s="12">
        <f t="shared" si="63"/>
        <v>0</v>
      </c>
      <c r="DC111" s="12">
        <f t="shared" si="63"/>
        <v>0</v>
      </c>
      <c r="DD111" s="12">
        <f t="shared" si="63"/>
        <v>0</v>
      </c>
      <c r="DE111" s="12">
        <f t="shared" si="63"/>
        <v>0</v>
      </c>
      <c r="DF111" s="12">
        <f t="shared" si="63"/>
        <v>0</v>
      </c>
      <c r="DG111" s="12">
        <f t="shared" si="63"/>
        <v>0</v>
      </c>
      <c r="DH111" s="12">
        <f t="shared" si="63"/>
        <v>0</v>
      </c>
      <c r="DI111" s="12">
        <f t="shared" si="63"/>
        <v>0</v>
      </c>
      <c r="DJ111" s="12">
        <f t="shared" si="63"/>
        <v>0</v>
      </c>
      <c r="DK111" s="12">
        <f t="shared" si="63"/>
        <v>0</v>
      </c>
      <c r="DL111" s="12">
        <f t="shared" si="63"/>
        <v>0</v>
      </c>
      <c r="DM111" s="12">
        <f t="shared" si="63"/>
        <v>0</v>
      </c>
      <c r="DN111" s="12">
        <f t="shared" si="63"/>
        <v>0</v>
      </c>
      <c r="DO111" s="12">
        <f t="shared" si="63"/>
        <v>0</v>
      </c>
      <c r="DP111" s="12">
        <f t="shared" si="63"/>
        <v>0</v>
      </c>
      <c r="DQ111" s="12">
        <f t="shared" si="63"/>
        <v>0</v>
      </c>
      <c r="DR111" s="12">
        <f t="shared" si="63"/>
        <v>0</v>
      </c>
      <c r="DS111" s="12">
        <f t="shared" si="63"/>
        <v>0</v>
      </c>
      <c r="DT111" s="12">
        <f t="shared" si="63"/>
        <v>0</v>
      </c>
      <c r="DU111" s="12">
        <f t="shared" si="63"/>
        <v>0</v>
      </c>
      <c r="DV111" s="12">
        <f t="shared" si="63"/>
        <v>0</v>
      </c>
      <c r="DW111" s="12">
        <f t="shared" si="63"/>
        <v>0</v>
      </c>
      <c r="DX111" s="12">
        <f t="shared" si="63"/>
        <v>0</v>
      </c>
      <c r="DY111" s="12">
        <f t="shared" si="63"/>
        <v>0</v>
      </c>
      <c r="DZ111" s="12">
        <f t="shared" si="63"/>
        <v>0</v>
      </c>
      <c r="EA111" s="12">
        <f t="shared" si="63"/>
        <v>0</v>
      </c>
      <c r="EB111" s="12">
        <f t="shared" si="63"/>
        <v>0</v>
      </c>
      <c r="EC111" s="12">
        <f t="shared" si="63"/>
        <v>0</v>
      </c>
      <c r="ED111" s="12">
        <f t="shared" si="63"/>
        <v>0</v>
      </c>
      <c r="EE111" s="12">
        <f t="shared" si="63"/>
        <v>0</v>
      </c>
      <c r="EF111" s="12">
        <f t="shared" si="63"/>
        <v>0</v>
      </c>
      <c r="EG111" s="12">
        <f t="shared" ref="EG111:FH111" si="64">-(EG109+EG110)*$D$62</f>
        <v>0</v>
      </c>
      <c r="EH111" s="12">
        <f t="shared" si="64"/>
        <v>0</v>
      </c>
      <c r="EI111" s="12">
        <f t="shared" si="64"/>
        <v>0</v>
      </c>
      <c r="EJ111" s="12">
        <f t="shared" si="64"/>
        <v>0</v>
      </c>
      <c r="EK111" s="12">
        <f t="shared" si="64"/>
        <v>0</v>
      </c>
      <c r="EL111" s="12">
        <f t="shared" si="64"/>
        <v>0</v>
      </c>
      <c r="EM111" s="12">
        <f t="shared" si="64"/>
        <v>0</v>
      </c>
      <c r="EN111" s="12">
        <f t="shared" si="64"/>
        <v>0</v>
      </c>
      <c r="EO111" s="12">
        <f t="shared" si="64"/>
        <v>0</v>
      </c>
      <c r="EP111" s="12">
        <f t="shared" si="64"/>
        <v>0</v>
      </c>
      <c r="EQ111" s="12">
        <f t="shared" si="64"/>
        <v>0</v>
      </c>
      <c r="ER111" s="12">
        <f t="shared" si="64"/>
        <v>0</v>
      </c>
      <c r="ES111" s="12">
        <f t="shared" si="64"/>
        <v>0</v>
      </c>
      <c r="ET111" s="12">
        <f t="shared" si="64"/>
        <v>0</v>
      </c>
      <c r="EU111" s="12">
        <f t="shared" si="64"/>
        <v>0</v>
      </c>
      <c r="EV111" s="12">
        <f t="shared" si="64"/>
        <v>0</v>
      </c>
      <c r="EW111" s="12">
        <f t="shared" si="64"/>
        <v>0</v>
      </c>
      <c r="EX111" s="12">
        <f t="shared" si="64"/>
        <v>0</v>
      </c>
      <c r="EY111" s="12">
        <f t="shared" si="64"/>
        <v>0</v>
      </c>
      <c r="EZ111" s="12">
        <f t="shared" si="64"/>
        <v>0</v>
      </c>
      <c r="FA111" s="12">
        <f t="shared" si="64"/>
        <v>0</v>
      </c>
      <c r="FB111" s="12">
        <f t="shared" si="64"/>
        <v>0</v>
      </c>
      <c r="FC111" s="12">
        <f t="shared" si="64"/>
        <v>0</v>
      </c>
      <c r="FD111" s="12">
        <f t="shared" si="64"/>
        <v>0</v>
      </c>
      <c r="FE111" s="12">
        <f t="shared" si="64"/>
        <v>0</v>
      </c>
      <c r="FF111" s="12">
        <f t="shared" si="64"/>
        <v>0</v>
      </c>
      <c r="FG111" s="12">
        <f t="shared" si="64"/>
        <v>0</v>
      </c>
      <c r="FH111" s="12">
        <f t="shared" si="64"/>
        <v>0</v>
      </c>
    </row>
    <row r="112" spans="1:164" x14ac:dyDescent="0.2">
      <c r="A112" s="10"/>
      <c r="B112" s="10"/>
      <c r="C112" s="10" t="s">
        <v>754</v>
      </c>
      <c r="D112" s="10"/>
      <c r="E112" s="10"/>
      <c r="F112" s="10"/>
      <c r="G112" s="10"/>
      <c r="H112" s="12">
        <f t="shared" si="34"/>
        <v>-11076.80000000001</v>
      </c>
      <c r="I112" s="12">
        <f t="shared" ref="I112:AN112" si="65">-I109*$D$63</f>
        <v>0</v>
      </c>
      <c r="J112" s="12">
        <f t="shared" si="65"/>
        <v>0</v>
      </c>
      <c r="K112" s="12">
        <f t="shared" si="65"/>
        <v>0</v>
      </c>
      <c r="L112" s="12">
        <f t="shared" si="65"/>
        <v>0</v>
      </c>
      <c r="M112" s="12">
        <f t="shared" si="65"/>
        <v>0</v>
      </c>
      <c r="N112" s="12">
        <f t="shared" si="65"/>
        <v>0</v>
      </c>
      <c r="O112" s="12">
        <f t="shared" si="65"/>
        <v>0</v>
      </c>
      <c r="P112" s="12">
        <f t="shared" si="65"/>
        <v>0</v>
      </c>
      <c r="Q112" s="12">
        <f t="shared" si="65"/>
        <v>0</v>
      </c>
      <c r="R112" s="12">
        <f t="shared" si="65"/>
        <v>0</v>
      </c>
      <c r="S112" s="12">
        <f t="shared" si="65"/>
        <v>0</v>
      </c>
      <c r="T112" s="12">
        <f t="shared" si="65"/>
        <v>0</v>
      </c>
      <c r="U112" s="12">
        <f t="shared" si="65"/>
        <v>-59.34</v>
      </c>
      <c r="V112" s="12">
        <f t="shared" si="65"/>
        <v>-63.392487804878051</v>
      </c>
      <c r="W112" s="12">
        <f t="shared" si="65"/>
        <v>-67.546287804878048</v>
      </c>
      <c r="X112" s="12">
        <f t="shared" si="65"/>
        <v>-71.806595497185739</v>
      </c>
      <c r="Y112" s="12">
        <f t="shared" si="65"/>
        <v>-76.17901654981732</v>
      </c>
      <c r="Z112" s="12">
        <f t="shared" si="65"/>
        <v>-80.669611144411917</v>
      </c>
      <c r="AA112" s="12">
        <f t="shared" si="65"/>
        <v>-45.285388922189689</v>
      </c>
      <c r="AB112" s="12">
        <f t="shared" si="65"/>
        <v>-46.867788922189682</v>
      </c>
      <c r="AC112" s="12">
        <f t="shared" si="65"/>
        <v>-48.496730098660287</v>
      </c>
      <c r="AD112" s="12">
        <f t="shared" si="65"/>
        <v>-50.175033128963314</v>
      </c>
      <c r="AE112" s="12">
        <f t="shared" si="65"/>
        <v>-51.905783128963307</v>
      </c>
      <c r="AF112" s="12">
        <f t="shared" si="65"/>
        <v>-53.692363774124601</v>
      </c>
      <c r="AG112" s="12">
        <f t="shared" si="65"/>
        <v>-55.538497107457935</v>
      </c>
      <c r="AH112" s="12">
        <f t="shared" si="65"/>
        <v>-57.448290210906208</v>
      </c>
      <c r="AI112" s="12">
        <f t="shared" si="65"/>
        <v>-59.42629021090621</v>
      </c>
      <c r="AJ112" s="12">
        <f t="shared" si="65"/>
        <v>-61.477549470165471</v>
      </c>
      <c r="AK112" s="12">
        <f t="shared" si="65"/>
        <v>-63.607703316319316</v>
      </c>
      <c r="AL112" s="12">
        <f t="shared" si="65"/>
        <v>-65.82306331631932</v>
      </c>
      <c r="AM112" s="12">
        <f t="shared" si="65"/>
        <v>-68.130729982985983</v>
      </c>
      <c r="AN112" s="12">
        <f t="shared" si="65"/>
        <v>-70.538729982985984</v>
      </c>
      <c r="AO112" s="12">
        <f t="shared" ref="AO112:BT112" si="66">-AO109*$D$63</f>
        <v>-73.056184528440525</v>
      </c>
      <c r="AP112" s="12">
        <f t="shared" si="66"/>
        <v>-75.69351786177387</v>
      </c>
      <c r="AQ112" s="12">
        <f t="shared" si="66"/>
        <v>-78.462717861773868</v>
      </c>
      <c r="AR112" s="12">
        <f t="shared" si="66"/>
        <v>-81.377665230194921</v>
      </c>
      <c r="AS112" s="12">
        <f t="shared" si="66"/>
        <v>-84.454554119083809</v>
      </c>
      <c r="AT112" s="12">
        <f t="shared" si="66"/>
        <v>-87.71243647202499</v>
      </c>
      <c r="AU112" s="12">
        <f t="shared" si="66"/>
        <v>-91.173936472024977</v>
      </c>
      <c r="AV112" s="12">
        <f t="shared" si="66"/>
        <v>-94.866203138691631</v>
      </c>
      <c r="AW112" s="12">
        <f t="shared" si="66"/>
        <v>-98.822203138691663</v>
      </c>
      <c r="AX112" s="12">
        <f t="shared" si="66"/>
        <v>-103.08251083099935</v>
      </c>
      <c r="AY112" s="12">
        <f t="shared" si="66"/>
        <v>-107.69784416433268</v>
      </c>
      <c r="AZ112" s="12">
        <f t="shared" si="66"/>
        <v>-112.73275325524178</v>
      </c>
      <c r="BA112" s="12">
        <f t="shared" si="66"/>
        <v>-118.27115325524177</v>
      </c>
      <c r="BB112" s="12">
        <f t="shared" si="66"/>
        <v>-124.42493103301955</v>
      </c>
      <c r="BC112" s="12">
        <f t="shared" si="66"/>
        <v>-131.34793103301953</v>
      </c>
      <c r="BD112" s="12">
        <f t="shared" si="66"/>
        <v>-139.25993103301954</v>
      </c>
      <c r="BE112" s="12">
        <f t="shared" si="66"/>
        <v>-148.49059769968622</v>
      </c>
      <c r="BF112" s="12">
        <f t="shared" si="66"/>
        <v>-159.56739769968621</v>
      </c>
      <c r="BG112" s="12">
        <f t="shared" si="66"/>
        <v>-173.41339769968621</v>
      </c>
      <c r="BH112" s="12">
        <f t="shared" si="66"/>
        <v>-191.87473103301957</v>
      </c>
      <c r="BI112" s="12">
        <f t="shared" si="66"/>
        <v>-219.56673103301955</v>
      </c>
      <c r="BJ112" s="12">
        <f t="shared" si="66"/>
        <v>-274.95073103301957</v>
      </c>
      <c r="BK112" s="12">
        <f t="shared" si="66"/>
        <v>-996.91200000000072</v>
      </c>
      <c r="BL112" s="12">
        <f t="shared" si="66"/>
        <v>-46.153333333333329</v>
      </c>
      <c r="BM112" s="12">
        <f t="shared" si="66"/>
        <v>-46.153333333333329</v>
      </c>
      <c r="BN112" s="12">
        <f t="shared" si="66"/>
        <v>-46.153333333333329</v>
      </c>
      <c r="BO112" s="12">
        <f t="shared" si="66"/>
        <v>-46.153333333333329</v>
      </c>
      <c r="BP112" s="12">
        <f t="shared" si="66"/>
        <v>-46.153333333333329</v>
      </c>
      <c r="BQ112" s="12">
        <f t="shared" si="66"/>
        <v>-46.153333333333329</v>
      </c>
      <c r="BR112" s="12">
        <f t="shared" si="66"/>
        <v>-46.153333333333329</v>
      </c>
      <c r="BS112" s="12">
        <f t="shared" si="66"/>
        <v>-46.153333333333329</v>
      </c>
      <c r="BT112" s="12">
        <f t="shared" si="66"/>
        <v>-46.153333333333329</v>
      </c>
      <c r="BU112" s="12">
        <f t="shared" ref="BU112:CZ112" si="67">-BU109*$D$63</f>
        <v>-46.153333333333329</v>
      </c>
      <c r="BV112" s="12">
        <f t="shared" si="67"/>
        <v>-46.153333333333329</v>
      </c>
      <c r="BW112" s="12">
        <f t="shared" si="67"/>
        <v>-46.153333333333329</v>
      </c>
      <c r="BX112" s="12">
        <f t="shared" si="67"/>
        <v>-5538.4000000000051</v>
      </c>
      <c r="BY112" s="12">
        <f t="shared" si="67"/>
        <v>0</v>
      </c>
      <c r="BZ112" s="12">
        <f t="shared" si="67"/>
        <v>0</v>
      </c>
      <c r="CA112" s="12">
        <f t="shared" si="67"/>
        <v>0</v>
      </c>
      <c r="CB112" s="12">
        <f t="shared" si="67"/>
        <v>0</v>
      </c>
      <c r="CC112" s="12">
        <f t="shared" si="67"/>
        <v>0</v>
      </c>
      <c r="CD112" s="12">
        <f t="shared" si="67"/>
        <v>0</v>
      </c>
      <c r="CE112" s="12">
        <f t="shared" si="67"/>
        <v>0</v>
      </c>
      <c r="CF112" s="12">
        <f t="shared" si="67"/>
        <v>0</v>
      </c>
      <c r="CG112" s="12">
        <f t="shared" si="67"/>
        <v>0</v>
      </c>
      <c r="CH112" s="12">
        <f t="shared" si="67"/>
        <v>0</v>
      </c>
      <c r="CI112" s="12">
        <f t="shared" si="67"/>
        <v>0</v>
      </c>
      <c r="CJ112" s="12">
        <f t="shared" si="67"/>
        <v>0</v>
      </c>
      <c r="CK112" s="12">
        <f t="shared" si="67"/>
        <v>0</v>
      </c>
      <c r="CL112" s="12">
        <f t="shared" si="67"/>
        <v>0</v>
      </c>
      <c r="CM112" s="12">
        <f t="shared" si="67"/>
        <v>0</v>
      </c>
      <c r="CN112" s="12">
        <f t="shared" si="67"/>
        <v>0</v>
      </c>
      <c r="CO112" s="12">
        <f t="shared" si="67"/>
        <v>0</v>
      </c>
      <c r="CP112" s="12">
        <f t="shared" si="67"/>
        <v>0</v>
      </c>
      <c r="CQ112" s="12">
        <f t="shared" si="67"/>
        <v>0</v>
      </c>
      <c r="CR112" s="12">
        <f t="shared" si="67"/>
        <v>0</v>
      </c>
      <c r="CS112" s="12">
        <f t="shared" si="67"/>
        <v>0</v>
      </c>
      <c r="CT112" s="12">
        <f t="shared" si="67"/>
        <v>0</v>
      </c>
      <c r="CU112" s="12">
        <f t="shared" si="67"/>
        <v>0</v>
      </c>
      <c r="CV112" s="12">
        <f t="shared" si="67"/>
        <v>0</v>
      </c>
      <c r="CW112" s="12">
        <f t="shared" si="67"/>
        <v>0</v>
      </c>
      <c r="CX112" s="12">
        <f t="shared" si="67"/>
        <v>0</v>
      </c>
      <c r="CY112" s="12">
        <f t="shared" si="67"/>
        <v>0</v>
      </c>
      <c r="CZ112" s="12">
        <f t="shared" si="67"/>
        <v>0</v>
      </c>
      <c r="DA112" s="12">
        <f t="shared" ref="DA112:EF112" si="68">-DA109*$D$63</f>
        <v>0</v>
      </c>
      <c r="DB112" s="12">
        <f t="shared" si="68"/>
        <v>0</v>
      </c>
      <c r="DC112" s="12">
        <f t="shared" si="68"/>
        <v>0</v>
      </c>
      <c r="DD112" s="12">
        <f t="shared" si="68"/>
        <v>0</v>
      </c>
      <c r="DE112" s="12">
        <f t="shared" si="68"/>
        <v>0</v>
      </c>
      <c r="DF112" s="12">
        <f t="shared" si="68"/>
        <v>0</v>
      </c>
      <c r="DG112" s="12">
        <f t="shared" si="68"/>
        <v>0</v>
      </c>
      <c r="DH112" s="12">
        <f t="shared" si="68"/>
        <v>0</v>
      </c>
      <c r="DI112" s="12">
        <f t="shared" si="68"/>
        <v>0</v>
      </c>
      <c r="DJ112" s="12">
        <f t="shared" si="68"/>
        <v>0</v>
      </c>
      <c r="DK112" s="12">
        <f t="shared" si="68"/>
        <v>0</v>
      </c>
      <c r="DL112" s="12">
        <f t="shared" si="68"/>
        <v>0</v>
      </c>
      <c r="DM112" s="12">
        <f t="shared" si="68"/>
        <v>0</v>
      </c>
      <c r="DN112" s="12">
        <f t="shared" si="68"/>
        <v>0</v>
      </c>
      <c r="DO112" s="12">
        <f t="shared" si="68"/>
        <v>0</v>
      </c>
      <c r="DP112" s="12">
        <f t="shared" si="68"/>
        <v>0</v>
      </c>
      <c r="DQ112" s="12">
        <f t="shared" si="68"/>
        <v>0</v>
      </c>
      <c r="DR112" s="12">
        <f t="shared" si="68"/>
        <v>0</v>
      </c>
      <c r="DS112" s="12">
        <f t="shared" si="68"/>
        <v>0</v>
      </c>
      <c r="DT112" s="12">
        <f t="shared" si="68"/>
        <v>0</v>
      </c>
      <c r="DU112" s="12">
        <f t="shared" si="68"/>
        <v>0</v>
      </c>
      <c r="DV112" s="12">
        <f t="shared" si="68"/>
        <v>0</v>
      </c>
      <c r="DW112" s="12">
        <f t="shared" si="68"/>
        <v>0</v>
      </c>
      <c r="DX112" s="12">
        <f t="shared" si="68"/>
        <v>0</v>
      </c>
      <c r="DY112" s="12">
        <f t="shared" si="68"/>
        <v>0</v>
      </c>
      <c r="DZ112" s="12">
        <f t="shared" si="68"/>
        <v>0</v>
      </c>
      <c r="EA112" s="12">
        <f t="shared" si="68"/>
        <v>0</v>
      </c>
      <c r="EB112" s="12">
        <f t="shared" si="68"/>
        <v>0</v>
      </c>
      <c r="EC112" s="12">
        <f t="shared" si="68"/>
        <v>0</v>
      </c>
      <c r="ED112" s="12">
        <f t="shared" si="68"/>
        <v>0</v>
      </c>
      <c r="EE112" s="12">
        <f t="shared" si="68"/>
        <v>0</v>
      </c>
      <c r="EF112" s="12">
        <f t="shared" si="68"/>
        <v>0</v>
      </c>
      <c r="EG112" s="12">
        <f t="shared" ref="EG112:FH112" si="69">-EG109*$D$63</f>
        <v>0</v>
      </c>
      <c r="EH112" s="12">
        <f t="shared" si="69"/>
        <v>0</v>
      </c>
      <c r="EI112" s="12">
        <f t="shared" si="69"/>
        <v>0</v>
      </c>
      <c r="EJ112" s="12">
        <f t="shared" si="69"/>
        <v>0</v>
      </c>
      <c r="EK112" s="12">
        <f t="shared" si="69"/>
        <v>0</v>
      </c>
      <c r="EL112" s="12">
        <f t="shared" si="69"/>
        <v>0</v>
      </c>
      <c r="EM112" s="12">
        <f t="shared" si="69"/>
        <v>0</v>
      </c>
      <c r="EN112" s="12">
        <f t="shared" si="69"/>
        <v>0</v>
      </c>
      <c r="EO112" s="12">
        <f t="shared" si="69"/>
        <v>0</v>
      </c>
      <c r="EP112" s="12">
        <f t="shared" si="69"/>
        <v>0</v>
      </c>
      <c r="EQ112" s="12">
        <f t="shared" si="69"/>
        <v>0</v>
      </c>
      <c r="ER112" s="12">
        <f t="shared" si="69"/>
        <v>0</v>
      </c>
      <c r="ES112" s="12">
        <f t="shared" si="69"/>
        <v>0</v>
      </c>
      <c r="ET112" s="12">
        <f t="shared" si="69"/>
        <v>0</v>
      </c>
      <c r="EU112" s="12">
        <f t="shared" si="69"/>
        <v>0</v>
      </c>
      <c r="EV112" s="12">
        <f t="shared" si="69"/>
        <v>0</v>
      </c>
      <c r="EW112" s="12">
        <f t="shared" si="69"/>
        <v>0</v>
      </c>
      <c r="EX112" s="12">
        <f t="shared" si="69"/>
        <v>0</v>
      </c>
      <c r="EY112" s="12">
        <f t="shared" si="69"/>
        <v>0</v>
      </c>
      <c r="EZ112" s="12">
        <f t="shared" si="69"/>
        <v>0</v>
      </c>
      <c r="FA112" s="12">
        <f t="shared" si="69"/>
        <v>0</v>
      </c>
      <c r="FB112" s="12">
        <f t="shared" si="69"/>
        <v>0</v>
      </c>
      <c r="FC112" s="12">
        <f t="shared" si="69"/>
        <v>0</v>
      </c>
      <c r="FD112" s="12">
        <f t="shared" si="69"/>
        <v>0</v>
      </c>
      <c r="FE112" s="12">
        <f t="shared" si="69"/>
        <v>0</v>
      </c>
      <c r="FF112" s="12">
        <f t="shared" si="69"/>
        <v>0</v>
      </c>
      <c r="FG112" s="12">
        <f t="shared" si="69"/>
        <v>0</v>
      </c>
      <c r="FH112" s="12">
        <f t="shared" si="69"/>
        <v>0</v>
      </c>
    </row>
    <row r="113" spans="1:164" x14ac:dyDescent="0.2">
      <c r="A113" s="10"/>
      <c r="B113" s="10"/>
      <c r="C113" s="238" t="s">
        <v>7</v>
      </c>
      <c r="D113" s="238"/>
      <c r="E113" s="238"/>
      <c r="F113" s="238"/>
      <c r="G113" s="238"/>
      <c r="H113" s="239">
        <f t="shared" si="34"/>
        <v>241474.24000000011</v>
      </c>
      <c r="I113" s="239">
        <f t="shared" ref="I113:AN113" si="70">SUM(I109:I112)</f>
        <v>0</v>
      </c>
      <c r="J113" s="239">
        <f t="shared" si="70"/>
        <v>0</v>
      </c>
      <c r="K113" s="239">
        <f t="shared" si="70"/>
        <v>0</v>
      </c>
      <c r="L113" s="239">
        <f t="shared" si="70"/>
        <v>0</v>
      </c>
      <c r="M113" s="239">
        <f t="shared" si="70"/>
        <v>0</v>
      </c>
      <c r="N113" s="239">
        <f t="shared" si="70"/>
        <v>0</v>
      </c>
      <c r="O113" s="239">
        <f t="shared" si="70"/>
        <v>0</v>
      </c>
      <c r="P113" s="239">
        <f t="shared" si="70"/>
        <v>0</v>
      </c>
      <c r="Q113" s="239">
        <f t="shared" si="70"/>
        <v>0</v>
      </c>
      <c r="R113" s="239">
        <f t="shared" si="70"/>
        <v>0</v>
      </c>
      <c r="S113" s="239">
        <f t="shared" si="70"/>
        <v>0</v>
      </c>
      <c r="T113" s="239">
        <f t="shared" si="70"/>
        <v>0</v>
      </c>
      <c r="U113" s="239">
        <f t="shared" si="70"/>
        <v>700.21199999999999</v>
      </c>
      <c r="V113" s="239">
        <f t="shared" si="70"/>
        <v>793.41921951219501</v>
      </c>
      <c r="W113" s="239">
        <f t="shared" si="70"/>
        <v>888.95661951219518</v>
      </c>
      <c r="X113" s="239">
        <f t="shared" si="70"/>
        <v>986.94369643527193</v>
      </c>
      <c r="Y113" s="239">
        <f t="shared" si="70"/>
        <v>1087.5093806457983</v>
      </c>
      <c r="Z113" s="239">
        <f t="shared" si="70"/>
        <v>1190.7930563214741</v>
      </c>
      <c r="AA113" s="239">
        <f t="shared" si="70"/>
        <v>820.02794521036276</v>
      </c>
      <c r="AB113" s="239">
        <f t="shared" si="70"/>
        <v>856.4231452103628</v>
      </c>
      <c r="AC113" s="239">
        <f t="shared" si="70"/>
        <v>893.88879226918652</v>
      </c>
      <c r="AD113" s="239">
        <f t="shared" si="70"/>
        <v>932.48976196615627</v>
      </c>
      <c r="AE113" s="239">
        <f t="shared" si="70"/>
        <v>972.29701196615588</v>
      </c>
      <c r="AF113" s="239">
        <f t="shared" si="70"/>
        <v>1013.3883668048658</v>
      </c>
      <c r="AG113" s="239">
        <f t="shared" si="70"/>
        <v>1055.8494334715324</v>
      </c>
      <c r="AH113" s="239">
        <f t="shared" si="70"/>
        <v>1099.7746748508428</v>
      </c>
      <c r="AI113" s="239">
        <f t="shared" si="70"/>
        <v>1145.2686748508427</v>
      </c>
      <c r="AJ113" s="239">
        <f t="shared" si="70"/>
        <v>1192.4476378138058</v>
      </c>
      <c r="AK113" s="239">
        <f t="shared" si="70"/>
        <v>1241.4411762753443</v>
      </c>
      <c r="AL113" s="239">
        <f t="shared" si="70"/>
        <v>1292.3944562753441</v>
      </c>
      <c r="AM113" s="239">
        <f t="shared" si="70"/>
        <v>1345.4707896086775</v>
      </c>
      <c r="AN113" s="239">
        <f t="shared" si="70"/>
        <v>1400.8547896086775</v>
      </c>
      <c r="AO113" s="239">
        <f t="shared" ref="AO113:BT113" si="71">SUM(AO109:AO112)</f>
        <v>1458.756244154132</v>
      </c>
      <c r="AP113" s="239">
        <f t="shared" si="71"/>
        <v>1519.4149108207987</v>
      </c>
      <c r="AQ113" s="239">
        <f t="shared" si="71"/>
        <v>1583.1065108207988</v>
      </c>
      <c r="AR113" s="239">
        <f t="shared" si="71"/>
        <v>1650.150300294483</v>
      </c>
      <c r="AS113" s="239">
        <f t="shared" si="71"/>
        <v>1720.9187447389277</v>
      </c>
      <c r="AT113" s="239">
        <f t="shared" si="71"/>
        <v>1795.8500388565747</v>
      </c>
      <c r="AU113" s="239">
        <f t="shared" si="71"/>
        <v>1875.4645388565748</v>
      </c>
      <c r="AV113" s="239">
        <f t="shared" si="71"/>
        <v>1960.386672189908</v>
      </c>
      <c r="AW113" s="239">
        <f t="shared" si="71"/>
        <v>2051.3746721899083</v>
      </c>
      <c r="AX113" s="239">
        <f t="shared" si="71"/>
        <v>2149.3617491129853</v>
      </c>
      <c r="AY113" s="239">
        <f t="shared" si="71"/>
        <v>2255.5144157796517</v>
      </c>
      <c r="AZ113" s="239">
        <f t="shared" si="71"/>
        <v>2371.3173248705612</v>
      </c>
      <c r="BA113" s="239">
        <f t="shared" si="71"/>
        <v>2498.7005248705609</v>
      </c>
      <c r="BB113" s="239">
        <f t="shared" si="71"/>
        <v>2640.2374137594493</v>
      </c>
      <c r="BC113" s="239">
        <f t="shared" si="71"/>
        <v>2799.4664137594491</v>
      </c>
      <c r="BD113" s="239">
        <f t="shared" si="71"/>
        <v>2981.4424137594492</v>
      </c>
      <c r="BE113" s="239">
        <f t="shared" si="71"/>
        <v>3193.7477470927824</v>
      </c>
      <c r="BF113" s="239">
        <f t="shared" si="71"/>
        <v>3448.5141470927824</v>
      </c>
      <c r="BG113" s="239">
        <f t="shared" si="71"/>
        <v>3766.972147092783</v>
      </c>
      <c r="BH113" s="239">
        <f t="shared" si="71"/>
        <v>4191.5828137594499</v>
      </c>
      <c r="BI113" s="239">
        <f t="shared" si="71"/>
        <v>4828.4988137594501</v>
      </c>
      <c r="BJ113" s="239">
        <f t="shared" si="71"/>
        <v>6102.3308137594504</v>
      </c>
      <c r="BK113" s="239">
        <f t="shared" si="71"/>
        <v>22928.976000000017</v>
      </c>
      <c r="BL113" s="239">
        <f t="shared" si="71"/>
        <v>950.7586666666665</v>
      </c>
      <c r="BM113" s="239">
        <f t="shared" si="71"/>
        <v>950.7586666666665</v>
      </c>
      <c r="BN113" s="239">
        <f t="shared" si="71"/>
        <v>950.7586666666665</v>
      </c>
      <c r="BO113" s="239">
        <f t="shared" si="71"/>
        <v>950.7586666666665</v>
      </c>
      <c r="BP113" s="239">
        <f t="shared" si="71"/>
        <v>950.7586666666665</v>
      </c>
      <c r="BQ113" s="239">
        <f t="shared" si="71"/>
        <v>950.7586666666665</v>
      </c>
      <c r="BR113" s="239">
        <f t="shared" si="71"/>
        <v>950.7586666666665</v>
      </c>
      <c r="BS113" s="239">
        <f t="shared" si="71"/>
        <v>950.7586666666665</v>
      </c>
      <c r="BT113" s="239">
        <f t="shared" si="71"/>
        <v>950.7586666666665</v>
      </c>
      <c r="BU113" s="239">
        <f t="shared" ref="BU113:CZ113" si="72">SUM(BU109:BU112)</f>
        <v>950.7586666666665</v>
      </c>
      <c r="BV113" s="239">
        <f t="shared" si="72"/>
        <v>950.7586666666665</v>
      </c>
      <c r="BW113" s="239">
        <f t="shared" si="72"/>
        <v>950.7586666666665</v>
      </c>
      <c r="BX113" s="239">
        <f t="shared" si="72"/>
        <v>127383.20000000011</v>
      </c>
      <c r="BY113" s="239">
        <f t="shared" si="72"/>
        <v>0</v>
      </c>
      <c r="BZ113" s="239">
        <f t="shared" si="72"/>
        <v>0</v>
      </c>
      <c r="CA113" s="239">
        <f t="shared" si="72"/>
        <v>0</v>
      </c>
      <c r="CB113" s="239">
        <f t="shared" si="72"/>
        <v>0</v>
      </c>
      <c r="CC113" s="239">
        <f t="shared" si="72"/>
        <v>0</v>
      </c>
      <c r="CD113" s="239">
        <f t="shared" si="72"/>
        <v>0</v>
      </c>
      <c r="CE113" s="239">
        <f t="shared" si="72"/>
        <v>0</v>
      </c>
      <c r="CF113" s="239">
        <f t="shared" si="72"/>
        <v>0</v>
      </c>
      <c r="CG113" s="239">
        <f t="shared" si="72"/>
        <v>0</v>
      </c>
      <c r="CH113" s="239">
        <f t="shared" si="72"/>
        <v>0</v>
      </c>
      <c r="CI113" s="239">
        <f t="shared" si="72"/>
        <v>0</v>
      </c>
      <c r="CJ113" s="239">
        <f t="shared" si="72"/>
        <v>0</v>
      </c>
      <c r="CK113" s="239">
        <f t="shared" si="72"/>
        <v>0</v>
      </c>
      <c r="CL113" s="239">
        <f t="shared" si="72"/>
        <v>0</v>
      </c>
      <c r="CM113" s="239">
        <f t="shared" si="72"/>
        <v>0</v>
      </c>
      <c r="CN113" s="239">
        <f t="shared" si="72"/>
        <v>0</v>
      </c>
      <c r="CO113" s="239">
        <f t="shared" si="72"/>
        <v>0</v>
      </c>
      <c r="CP113" s="239">
        <f t="shared" si="72"/>
        <v>0</v>
      </c>
      <c r="CQ113" s="239">
        <f t="shared" si="72"/>
        <v>0</v>
      </c>
      <c r="CR113" s="239">
        <f t="shared" si="72"/>
        <v>0</v>
      </c>
      <c r="CS113" s="239">
        <f t="shared" si="72"/>
        <v>0</v>
      </c>
      <c r="CT113" s="239">
        <f t="shared" si="72"/>
        <v>0</v>
      </c>
      <c r="CU113" s="239">
        <f t="shared" si="72"/>
        <v>0</v>
      </c>
      <c r="CV113" s="239">
        <f t="shared" si="72"/>
        <v>0</v>
      </c>
      <c r="CW113" s="239">
        <f t="shared" si="72"/>
        <v>0</v>
      </c>
      <c r="CX113" s="239">
        <f t="shared" si="72"/>
        <v>0</v>
      </c>
      <c r="CY113" s="239">
        <f t="shared" si="72"/>
        <v>0</v>
      </c>
      <c r="CZ113" s="239">
        <f t="shared" si="72"/>
        <v>0</v>
      </c>
      <c r="DA113" s="239">
        <f t="shared" ref="DA113:EF113" si="73">SUM(DA109:DA112)</f>
        <v>0</v>
      </c>
      <c r="DB113" s="239">
        <f t="shared" si="73"/>
        <v>0</v>
      </c>
      <c r="DC113" s="239">
        <f t="shared" si="73"/>
        <v>0</v>
      </c>
      <c r="DD113" s="239">
        <f t="shared" si="73"/>
        <v>0</v>
      </c>
      <c r="DE113" s="239">
        <f t="shared" si="73"/>
        <v>0</v>
      </c>
      <c r="DF113" s="239">
        <f t="shared" si="73"/>
        <v>0</v>
      </c>
      <c r="DG113" s="239">
        <f t="shared" si="73"/>
        <v>0</v>
      </c>
      <c r="DH113" s="239">
        <f t="shared" si="73"/>
        <v>0</v>
      </c>
      <c r="DI113" s="239">
        <f t="shared" si="73"/>
        <v>0</v>
      </c>
      <c r="DJ113" s="239">
        <f t="shared" si="73"/>
        <v>0</v>
      </c>
      <c r="DK113" s="239">
        <f t="shared" si="73"/>
        <v>0</v>
      </c>
      <c r="DL113" s="239">
        <f t="shared" si="73"/>
        <v>0</v>
      </c>
      <c r="DM113" s="239">
        <f t="shared" si="73"/>
        <v>0</v>
      </c>
      <c r="DN113" s="239">
        <f t="shared" si="73"/>
        <v>0</v>
      </c>
      <c r="DO113" s="239">
        <f t="shared" si="73"/>
        <v>0</v>
      </c>
      <c r="DP113" s="239">
        <f t="shared" si="73"/>
        <v>0</v>
      </c>
      <c r="DQ113" s="239">
        <f t="shared" si="73"/>
        <v>0</v>
      </c>
      <c r="DR113" s="239">
        <f t="shared" si="73"/>
        <v>0</v>
      </c>
      <c r="DS113" s="239">
        <f t="shared" si="73"/>
        <v>0</v>
      </c>
      <c r="DT113" s="239">
        <f t="shared" si="73"/>
        <v>0</v>
      </c>
      <c r="DU113" s="239">
        <f t="shared" si="73"/>
        <v>0</v>
      </c>
      <c r="DV113" s="239">
        <f t="shared" si="73"/>
        <v>0</v>
      </c>
      <c r="DW113" s="239">
        <f t="shared" si="73"/>
        <v>0</v>
      </c>
      <c r="DX113" s="239">
        <f t="shared" si="73"/>
        <v>0</v>
      </c>
      <c r="DY113" s="239">
        <f t="shared" si="73"/>
        <v>0</v>
      </c>
      <c r="DZ113" s="239">
        <f t="shared" si="73"/>
        <v>0</v>
      </c>
      <c r="EA113" s="239">
        <f t="shared" si="73"/>
        <v>0</v>
      </c>
      <c r="EB113" s="239">
        <f t="shared" si="73"/>
        <v>0</v>
      </c>
      <c r="EC113" s="239">
        <f t="shared" si="73"/>
        <v>0</v>
      </c>
      <c r="ED113" s="239">
        <f t="shared" si="73"/>
        <v>0</v>
      </c>
      <c r="EE113" s="239">
        <f t="shared" si="73"/>
        <v>0</v>
      </c>
      <c r="EF113" s="239">
        <f t="shared" si="73"/>
        <v>0</v>
      </c>
      <c r="EG113" s="239">
        <f t="shared" ref="EG113:FH113" si="74">SUM(EG109:EG112)</f>
        <v>0</v>
      </c>
      <c r="EH113" s="239">
        <f t="shared" si="74"/>
        <v>0</v>
      </c>
      <c r="EI113" s="239">
        <f t="shared" si="74"/>
        <v>0</v>
      </c>
      <c r="EJ113" s="239">
        <f t="shared" si="74"/>
        <v>0</v>
      </c>
      <c r="EK113" s="239">
        <f t="shared" si="74"/>
        <v>0</v>
      </c>
      <c r="EL113" s="239">
        <f t="shared" si="74"/>
        <v>0</v>
      </c>
      <c r="EM113" s="239">
        <f t="shared" si="74"/>
        <v>0</v>
      </c>
      <c r="EN113" s="239">
        <f t="shared" si="74"/>
        <v>0</v>
      </c>
      <c r="EO113" s="239">
        <f t="shared" si="74"/>
        <v>0</v>
      </c>
      <c r="EP113" s="239">
        <f t="shared" si="74"/>
        <v>0</v>
      </c>
      <c r="EQ113" s="239">
        <f t="shared" si="74"/>
        <v>0</v>
      </c>
      <c r="ER113" s="239">
        <f t="shared" si="74"/>
        <v>0</v>
      </c>
      <c r="ES113" s="239">
        <f t="shared" si="74"/>
        <v>0</v>
      </c>
      <c r="ET113" s="239">
        <f t="shared" si="74"/>
        <v>0</v>
      </c>
      <c r="EU113" s="239">
        <f t="shared" si="74"/>
        <v>0</v>
      </c>
      <c r="EV113" s="239">
        <f t="shared" si="74"/>
        <v>0</v>
      </c>
      <c r="EW113" s="239">
        <f t="shared" si="74"/>
        <v>0</v>
      </c>
      <c r="EX113" s="239">
        <f t="shared" si="74"/>
        <v>0</v>
      </c>
      <c r="EY113" s="239">
        <f t="shared" si="74"/>
        <v>0</v>
      </c>
      <c r="EZ113" s="239">
        <f t="shared" si="74"/>
        <v>0</v>
      </c>
      <c r="FA113" s="239">
        <f t="shared" si="74"/>
        <v>0</v>
      </c>
      <c r="FB113" s="239">
        <f t="shared" si="74"/>
        <v>0</v>
      </c>
      <c r="FC113" s="239">
        <f t="shared" si="74"/>
        <v>0</v>
      </c>
      <c r="FD113" s="239">
        <f t="shared" si="74"/>
        <v>0</v>
      </c>
      <c r="FE113" s="239">
        <f t="shared" si="74"/>
        <v>0</v>
      </c>
      <c r="FF113" s="239">
        <f t="shared" si="74"/>
        <v>0</v>
      </c>
      <c r="FG113" s="239">
        <f t="shared" si="74"/>
        <v>0</v>
      </c>
      <c r="FH113" s="239">
        <f t="shared" si="74"/>
        <v>0</v>
      </c>
    </row>
    <row r="114" spans="1:164" x14ac:dyDescent="0.2">
      <c r="A114" s="10"/>
      <c r="B114" s="10"/>
      <c r="C114" s="201" t="s">
        <v>756</v>
      </c>
      <c r="D114" s="194"/>
      <c r="E114" s="194"/>
      <c r="F114" s="194"/>
      <c r="G114" s="194"/>
      <c r="H114" s="216"/>
      <c r="I114" s="217">
        <f t="shared" ref="I114:AN114" si="75">((YEAR(I$6)-YEAR($D$34))*12+MONTH(I$6)-MONTH($D$34)+1)</f>
        <v>-17</v>
      </c>
      <c r="J114" s="217">
        <f t="shared" si="75"/>
        <v>-16</v>
      </c>
      <c r="K114" s="217">
        <f t="shared" si="75"/>
        <v>-15</v>
      </c>
      <c r="L114" s="217">
        <f t="shared" si="75"/>
        <v>-14</v>
      </c>
      <c r="M114" s="217">
        <f t="shared" si="75"/>
        <v>-13</v>
      </c>
      <c r="N114" s="217">
        <f t="shared" si="75"/>
        <v>-12</v>
      </c>
      <c r="O114" s="217">
        <f t="shared" si="75"/>
        <v>-11</v>
      </c>
      <c r="P114" s="217">
        <f t="shared" si="75"/>
        <v>-10</v>
      </c>
      <c r="Q114" s="217">
        <f t="shared" si="75"/>
        <v>-9</v>
      </c>
      <c r="R114" s="217">
        <f t="shared" si="75"/>
        <v>-8</v>
      </c>
      <c r="S114" s="217">
        <f t="shared" si="75"/>
        <v>-7</v>
      </c>
      <c r="T114" s="217">
        <f t="shared" si="75"/>
        <v>-6</v>
      </c>
      <c r="U114" s="217">
        <f t="shared" si="75"/>
        <v>-5</v>
      </c>
      <c r="V114" s="217">
        <f t="shared" si="75"/>
        <v>-4</v>
      </c>
      <c r="W114" s="217">
        <f t="shared" si="75"/>
        <v>-3</v>
      </c>
      <c r="X114" s="217">
        <f t="shared" si="75"/>
        <v>-2</v>
      </c>
      <c r="Y114" s="217">
        <f t="shared" si="75"/>
        <v>-1</v>
      </c>
      <c r="Z114" s="217">
        <f t="shared" si="75"/>
        <v>0</v>
      </c>
      <c r="AA114" s="217">
        <f t="shared" si="75"/>
        <v>1</v>
      </c>
      <c r="AB114" s="217">
        <f t="shared" si="75"/>
        <v>2</v>
      </c>
      <c r="AC114" s="217">
        <f t="shared" si="75"/>
        <v>3</v>
      </c>
      <c r="AD114" s="217">
        <f t="shared" si="75"/>
        <v>4</v>
      </c>
      <c r="AE114" s="217">
        <f t="shared" si="75"/>
        <v>5</v>
      </c>
      <c r="AF114" s="217">
        <f t="shared" si="75"/>
        <v>6</v>
      </c>
      <c r="AG114" s="217">
        <f t="shared" si="75"/>
        <v>7</v>
      </c>
      <c r="AH114" s="217">
        <f t="shared" si="75"/>
        <v>8</v>
      </c>
      <c r="AI114" s="217">
        <f t="shared" si="75"/>
        <v>9</v>
      </c>
      <c r="AJ114" s="217">
        <f t="shared" si="75"/>
        <v>10</v>
      </c>
      <c r="AK114" s="217">
        <f t="shared" si="75"/>
        <v>11</v>
      </c>
      <c r="AL114" s="217">
        <f t="shared" si="75"/>
        <v>12</v>
      </c>
      <c r="AM114" s="217">
        <f t="shared" si="75"/>
        <v>13</v>
      </c>
      <c r="AN114" s="217">
        <f t="shared" si="75"/>
        <v>14</v>
      </c>
      <c r="AO114" s="217">
        <f t="shared" ref="AO114:BT114" si="76">((YEAR(AO$6)-YEAR($D$34))*12+MONTH(AO$6)-MONTH($D$34)+1)</f>
        <v>15</v>
      </c>
      <c r="AP114" s="217">
        <f t="shared" si="76"/>
        <v>16</v>
      </c>
      <c r="AQ114" s="217">
        <f t="shared" si="76"/>
        <v>17</v>
      </c>
      <c r="AR114" s="217">
        <f t="shared" si="76"/>
        <v>18</v>
      </c>
      <c r="AS114" s="217">
        <f t="shared" si="76"/>
        <v>19</v>
      </c>
      <c r="AT114" s="217">
        <f t="shared" si="76"/>
        <v>20</v>
      </c>
      <c r="AU114" s="217">
        <f t="shared" si="76"/>
        <v>21</v>
      </c>
      <c r="AV114" s="217">
        <f t="shared" si="76"/>
        <v>22</v>
      </c>
      <c r="AW114" s="217">
        <f t="shared" si="76"/>
        <v>23</v>
      </c>
      <c r="AX114" s="217">
        <f t="shared" si="76"/>
        <v>24</v>
      </c>
      <c r="AY114" s="217">
        <f t="shared" si="76"/>
        <v>25</v>
      </c>
      <c r="AZ114" s="217">
        <f t="shared" si="76"/>
        <v>26</v>
      </c>
      <c r="BA114" s="217">
        <f t="shared" si="76"/>
        <v>27</v>
      </c>
      <c r="BB114" s="217">
        <f t="shared" si="76"/>
        <v>28</v>
      </c>
      <c r="BC114" s="217">
        <f t="shared" si="76"/>
        <v>29</v>
      </c>
      <c r="BD114" s="217">
        <f t="shared" si="76"/>
        <v>30</v>
      </c>
      <c r="BE114" s="217">
        <f t="shared" si="76"/>
        <v>31</v>
      </c>
      <c r="BF114" s="217">
        <f t="shared" si="76"/>
        <v>32</v>
      </c>
      <c r="BG114" s="217">
        <f t="shared" si="76"/>
        <v>33</v>
      </c>
      <c r="BH114" s="217">
        <f t="shared" si="76"/>
        <v>34</v>
      </c>
      <c r="BI114" s="217">
        <f t="shared" si="76"/>
        <v>35</v>
      </c>
      <c r="BJ114" s="217">
        <f t="shared" si="76"/>
        <v>36</v>
      </c>
      <c r="BK114" s="217">
        <f t="shared" si="76"/>
        <v>37</v>
      </c>
      <c r="BL114" s="217">
        <f t="shared" si="76"/>
        <v>38</v>
      </c>
      <c r="BM114" s="217">
        <f t="shared" si="76"/>
        <v>39</v>
      </c>
      <c r="BN114" s="217">
        <f t="shared" si="76"/>
        <v>40</v>
      </c>
      <c r="BO114" s="217">
        <f t="shared" si="76"/>
        <v>41</v>
      </c>
      <c r="BP114" s="217">
        <f t="shared" si="76"/>
        <v>42</v>
      </c>
      <c r="BQ114" s="217">
        <f t="shared" si="76"/>
        <v>43</v>
      </c>
      <c r="BR114" s="217">
        <f t="shared" si="76"/>
        <v>44</v>
      </c>
      <c r="BS114" s="217">
        <f t="shared" si="76"/>
        <v>45</v>
      </c>
      <c r="BT114" s="217">
        <f t="shared" si="76"/>
        <v>46</v>
      </c>
      <c r="BU114" s="217">
        <f t="shared" ref="BU114:CZ114" si="77">((YEAR(BU$6)-YEAR($D$34))*12+MONTH(BU$6)-MONTH($D$34)+1)</f>
        <v>47</v>
      </c>
      <c r="BV114" s="217">
        <f t="shared" si="77"/>
        <v>48</v>
      </c>
      <c r="BW114" s="217">
        <f t="shared" si="77"/>
        <v>49</v>
      </c>
      <c r="BX114" s="217">
        <f t="shared" si="77"/>
        <v>50</v>
      </c>
      <c r="BY114" s="217">
        <f t="shared" si="77"/>
        <v>51</v>
      </c>
      <c r="BZ114" s="217">
        <f t="shared" si="77"/>
        <v>52</v>
      </c>
      <c r="CA114" s="217">
        <f t="shared" si="77"/>
        <v>53</v>
      </c>
      <c r="CB114" s="217">
        <f t="shared" si="77"/>
        <v>54</v>
      </c>
      <c r="CC114" s="217">
        <f t="shared" si="77"/>
        <v>55</v>
      </c>
      <c r="CD114" s="217">
        <f t="shared" si="77"/>
        <v>56</v>
      </c>
      <c r="CE114" s="217">
        <f t="shared" si="77"/>
        <v>57</v>
      </c>
      <c r="CF114" s="217">
        <f t="shared" si="77"/>
        <v>58</v>
      </c>
      <c r="CG114" s="217">
        <f t="shared" si="77"/>
        <v>59</v>
      </c>
      <c r="CH114" s="217">
        <f t="shared" si="77"/>
        <v>60</v>
      </c>
      <c r="CI114" s="217">
        <f t="shared" si="77"/>
        <v>61</v>
      </c>
      <c r="CJ114" s="217">
        <f t="shared" si="77"/>
        <v>62</v>
      </c>
      <c r="CK114" s="217">
        <f t="shared" si="77"/>
        <v>63</v>
      </c>
      <c r="CL114" s="217">
        <f t="shared" si="77"/>
        <v>64</v>
      </c>
      <c r="CM114" s="217">
        <f t="shared" si="77"/>
        <v>65</v>
      </c>
      <c r="CN114" s="217">
        <f t="shared" si="77"/>
        <v>66</v>
      </c>
      <c r="CO114" s="217">
        <f t="shared" si="77"/>
        <v>67</v>
      </c>
      <c r="CP114" s="217">
        <f t="shared" si="77"/>
        <v>68</v>
      </c>
      <c r="CQ114" s="217">
        <f t="shared" si="77"/>
        <v>69</v>
      </c>
      <c r="CR114" s="217">
        <f t="shared" si="77"/>
        <v>70</v>
      </c>
      <c r="CS114" s="217">
        <f t="shared" si="77"/>
        <v>71</v>
      </c>
      <c r="CT114" s="217">
        <f t="shared" si="77"/>
        <v>72</v>
      </c>
      <c r="CU114" s="217">
        <f t="shared" si="77"/>
        <v>73</v>
      </c>
      <c r="CV114" s="217">
        <f t="shared" si="77"/>
        <v>74</v>
      </c>
      <c r="CW114" s="217">
        <f t="shared" si="77"/>
        <v>75</v>
      </c>
      <c r="CX114" s="217">
        <f t="shared" si="77"/>
        <v>76</v>
      </c>
      <c r="CY114" s="217">
        <f t="shared" si="77"/>
        <v>77</v>
      </c>
      <c r="CZ114" s="217">
        <f t="shared" si="77"/>
        <v>78</v>
      </c>
      <c r="DA114" s="217">
        <f t="shared" ref="DA114:EF114" si="78">((YEAR(DA$6)-YEAR($D$34))*12+MONTH(DA$6)-MONTH($D$34)+1)</f>
        <v>79</v>
      </c>
      <c r="DB114" s="217">
        <f t="shared" si="78"/>
        <v>80</v>
      </c>
      <c r="DC114" s="217">
        <f t="shared" si="78"/>
        <v>81</v>
      </c>
      <c r="DD114" s="217">
        <f t="shared" si="78"/>
        <v>82</v>
      </c>
      <c r="DE114" s="217">
        <f t="shared" si="78"/>
        <v>83</v>
      </c>
      <c r="DF114" s="217">
        <f t="shared" si="78"/>
        <v>84</v>
      </c>
      <c r="DG114" s="217">
        <f t="shared" si="78"/>
        <v>85</v>
      </c>
      <c r="DH114" s="217">
        <f t="shared" si="78"/>
        <v>86</v>
      </c>
      <c r="DI114" s="217">
        <f t="shared" si="78"/>
        <v>87</v>
      </c>
      <c r="DJ114" s="217">
        <f t="shared" si="78"/>
        <v>88</v>
      </c>
      <c r="DK114" s="217">
        <f t="shared" si="78"/>
        <v>89</v>
      </c>
      <c r="DL114" s="217">
        <f t="shared" si="78"/>
        <v>90</v>
      </c>
      <c r="DM114" s="217">
        <f t="shared" si="78"/>
        <v>91</v>
      </c>
      <c r="DN114" s="217">
        <f t="shared" si="78"/>
        <v>92</v>
      </c>
      <c r="DO114" s="217">
        <f t="shared" si="78"/>
        <v>93</v>
      </c>
      <c r="DP114" s="217">
        <f t="shared" si="78"/>
        <v>94</v>
      </c>
      <c r="DQ114" s="217">
        <f t="shared" si="78"/>
        <v>95</v>
      </c>
      <c r="DR114" s="217">
        <f t="shared" si="78"/>
        <v>96</v>
      </c>
      <c r="DS114" s="217">
        <f t="shared" si="78"/>
        <v>97</v>
      </c>
      <c r="DT114" s="217">
        <f t="shared" si="78"/>
        <v>98</v>
      </c>
      <c r="DU114" s="217">
        <f t="shared" si="78"/>
        <v>99</v>
      </c>
      <c r="DV114" s="217">
        <f t="shared" si="78"/>
        <v>100</v>
      </c>
      <c r="DW114" s="217">
        <f t="shared" si="78"/>
        <v>101</v>
      </c>
      <c r="DX114" s="217">
        <f t="shared" si="78"/>
        <v>102</v>
      </c>
      <c r="DY114" s="217">
        <f t="shared" si="78"/>
        <v>103</v>
      </c>
      <c r="DZ114" s="217">
        <f t="shared" si="78"/>
        <v>104</v>
      </c>
      <c r="EA114" s="217">
        <f t="shared" si="78"/>
        <v>105</v>
      </c>
      <c r="EB114" s="217">
        <f t="shared" si="78"/>
        <v>106</v>
      </c>
      <c r="EC114" s="217">
        <f t="shared" si="78"/>
        <v>107</v>
      </c>
      <c r="ED114" s="217">
        <f t="shared" si="78"/>
        <v>108</v>
      </c>
      <c r="EE114" s="217">
        <f t="shared" si="78"/>
        <v>109</v>
      </c>
      <c r="EF114" s="217">
        <f t="shared" si="78"/>
        <v>110</v>
      </c>
      <c r="EG114" s="217">
        <f t="shared" ref="EG114:FH114" si="79">((YEAR(EG$6)-YEAR($D$34))*12+MONTH(EG$6)-MONTH($D$34)+1)</f>
        <v>111</v>
      </c>
      <c r="EH114" s="217">
        <f t="shared" si="79"/>
        <v>112</v>
      </c>
      <c r="EI114" s="217">
        <f t="shared" si="79"/>
        <v>113</v>
      </c>
      <c r="EJ114" s="217">
        <f t="shared" si="79"/>
        <v>114</v>
      </c>
      <c r="EK114" s="217">
        <f t="shared" si="79"/>
        <v>115</v>
      </c>
      <c r="EL114" s="217">
        <f t="shared" si="79"/>
        <v>116</v>
      </c>
      <c r="EM114" s="217">
        <f t="shared" si="79"/>
        <v>117</v>
      </c>
      <c r="EN114" s="217">
        <f t="shared" si="79"/>
        <v>118</v>
      </c>
      <c r="EO114" s="217">
        <f t="shared" si="79"/>
        <v>119</v>
      </c>
      <c r="EP114" s="217">
        <f t="shared" si="79"/>
        <v>120</v>
      </c>
      <c r="EQ114" s="217">
        <f t="shared" si="79"/>
        <v>121</v>
      </c>
      <c r="ER114" s="217">
        <f t="shared" si="79"/>
        <v>122</v>
      </c>
      <c r="ES114" s="217">
        <f t="shared" si="79"/>
        <v>123</v>
      </c>
      <c r="ET114" s="217">
        <f t="shared" si="79"/>
        <v>124</v>
      </c>
      <c r="EU114" s="217">
        <f t="shared" si="79"/>
        <v>125</v>
      </c>
      <c r="EV114" s="217">
        <f t="shared" si="79"/>
        <v>126</v>
      </c>
      <c r="EW114" s="217">
        <f t="shared" si="79"/>
        <v>127</v>
      </c>
      <c r="EX114" s="217">
        <f t="shared" si="79"/>
        <v>128</v>
      </c>
      <c r="EY114" s="217">
        <f t="shared" si="79"/>
        <v>129</v>
      </c>
      <c r="EZ114" s="217">
        <f t="shared" si="79"/>
        <v>130</v>
      </c>
      <c r="FA114" s="217">
        <f t="shared" si="79"/>
        <v>131</v>
      </c>
      <c r="FB114" s="217">
        <f t="shared" si="79"/>
        <v>132</v>
      </c>
      <c r="FC114" s="217">
        <f t="shared" si="79"/>
        <v>133</v>
      </c>
      <c r="FD114" s="217">
        <f t="shared" si="79"/>
        <v>134</v>
      </c>
      <c r="FE114" s="217">
        <f t="shared" si="79"/>
        <v>135</v>
      </c>
      <c r="FF114" s="217">
        <f t="shared" si="79"/>
        <v>136</v>
      </c>
      <c r="FG114" s="217">
        <f t="shared" si="79"/>
        <v>137</v>
      </c>
      <c r="FH114" s="217">
        <f t="shared" si="79"/>
        <v>138</v>
      </c>
    </row>
    <row r="115" spans="1:164" x14ac:dyDescent="0.2">
      <c r="A115" s="10"/>
      <c r="B115" s="10"/>
      <c r="C115" s="10" t="s">
        <v>757</v>
      </c>
      <c r="D115" s="10"/>
      <c r="E115" s="10"/>
      <c r="F115" s="10"/>
      <c r="G115" s="10"/>
      <c r="H115" s="18">
        <f t="shared" ref="H115:H124" si="80">SUM(I115:FH115)</f>
        <v>0.99999999999999978</v>
      </c>
      <c r="I115" s="51">
        <f t="shared" ref="I115:AN115" si="81">IF(AND(I114&gt;=1,I114&lt;=$D$31),SIN(PI()*(I114-0.5)/$D$31)*SIN(PI()/(2*$D$31)),0)</f>
        <v>0</v>
      </c>
      <c r="J115" s="51">
        <f t="shared" si="81"/>
        <v>0</v>
      </c>
      <c r="K115" s="51">
        <f t="shared" si="81"/>
        <v>0</v>
      </c>
      <c r="L115" s="51">
        <f t="shared" si="81"/>
        <v>0</v>
      </c>
      <c r="M115" s="51">
        <f t="shared" si="81"/>
        <v>0</v>
      </c>
      <c r="N115" s="51">
        <f t="shared" si="81"/>
        <v>0</v>
      </c>
      <c r="O115" s="51">
        <f t="shared" si="81"/>
        <v>0</v>
      </c>
      <c r="P115" s="51">
        <f t="shared" si="81"/>
        <v>0</v>
      </c>
      <c r="Q115" s="51">
        <f t="shared" si="81"/>
        <v>0</v>
      </c>
      <c r="R115" s="51">
        <f t="shared" si="81"/>
        <v>0</v>
      </c>
      <c r="S115" s="51">
        <f t="shared" si="81"/>
        <v>0</v>
      </c>
      <c r="T115" s="51">
        <f t="shared" si="81"/>
        <v>0</v>
      </c>
      <c r="U115" s="51">
        <f t="shared" si="81"/>
        <v>0</v>
      </c>
      <c r="V115" s="51">
        <f t="shared" si="81"/>
        <v>0</v>
      </c>
      <c r="W115" s="51">
        <f t="shared" si="81"/>
        <v>0</v>
      </c>
      <c r="X115" s="51">
        <f t="shared" si="81"/>
        <v>0</v>
      </c>
      <c r="Y115" s="51">
        <f t="shared" si="81"/>
        <v>0</v>
      </c>
      <c r="Z115" s="51">
        <f t="shared" si="81"/>
        <v>0</v>
      </c>
      <c r="AA115" s="51">
        <f t="shared" si="81"/>
        <v>1.9026509541272339E-3</v>
      </c>
      <c r="AB115" s="51">
        <f t="shared" si="81"/>
        <v>5.6934725397687356E-3</v>
      </c>
      <c r="AC115" s="51">
        <f t="shared" si="81"/>
        <v>9.440963361569887E-3</v>
      </c>
      <c r="AD115" s="51">
        <f t="shared" si="81"/>
        <v>1.3116602751579951E-2</v>
      </c>
      <c r="AE115" s="51">
        <f t="shared" si="81"/>
        <v>1.6692416874629211E-2</v>
      </c>
      <c r="AF115" s="51">
        <f t="shared" si="81"/>
        <v>2.0141191626105656E-2</v>
      </c>
      <c r="AG115" s="51">
        <f t="shared" si="81"/>
        <v>2.343667974772343E-2</v>
      </c>
      <c r="AH115" s="51">
        <f t="shared" si="81"/>
        <v>2.6553800585006872E-2</v>
      </c>
      <c r="AI115" s="51">
        <f t="shared" si="81"/>
        <v>2.9468830966215255E-2</v>
      </c>
      <c r="AJ115" s="51">
        <f t="shared" si="81"/>
        <v>3.2159585750004098E-2</v>
      </c>
      <c r="AK115" s="51">
        <f t="shared" si="81"/>
        <v>3.4605586667746616E-2</v>
      </c>
      <c r="AL115" s="51">
        <f t="shared" si="81"/>
        <v>3.6788218175523045E-2</v>
      </c>
      <c r="AM115" s="51">
        <f t="shared" si="81"/>
        <v>3.8690869129650279E-2</v>
      </c>
      <c r="AN115" s="51">
        <f t="shared" si="81"/>
        <v>4.029905920751535E-2</v>
      </c>
      <c r="AO115" s="51">
        <f t="shared" ref="AO115:BT115" si="82">IF(AND(AO114&gt;=1,AO114&lt;=$D$31),SIN(PI()*(AO114-0.5)/$D$31)*SIN(PI()/(2*$D$31)),0)</f>
        <v>4.1600549111573987E-2</v>
      </c>
      <c r="AP115" s="51">
        <f t="shared" si="82"/>
        <v>4.2585433717795204E-2</v>
      </c>
      <c r="AQ115" s="51">
        <f t="shared" si="82"/>
        <v>4.324621745963609E-2</v>
      </c>
      <c r="AR115" s="51">
        <f t="shared" si="82"/>
        <v>4.357787137382909E-2</v>
      </c>
      <c r="AS115" s="51">
        <f t="shared" si="82"/>
        <v>4.357787137382909E-2</v>
      </c>
      <c r="AT115" s="51">
        <f t="shared" si="82"/>
        <v>4.324621745963609E-2</v>
      </c>
      <c r="AU115" s="51">
        <f t="shared" si="82"/>
        <v>4.2585433717795211E-2</v>
      </c>
      <c r="AV115" s="51">
        <f t="shared" si="82"/>
        <v>4.1600549111573987E-2</v>
      </c>
      <c r="AW115" s="51">
        <f t="shared" si="82"/>
        <v>4.029905920751535E-2</v>
      </c>
      <c r="AX115" s="51">
        <f t="shared" si="82"/>
        <v>3.8690869129650279E-2</v>
      </c>
      <c r="AY115" s="51">
        <f t="shared" si="82"/>
        <v>3.6788218175523052E-2</v>
      </c>
      <c r="AZ115" s="51">
        <f t="shared" si="82"/>
        <v>3.4605586667746616E-2</v>
      </c>
      <c r="BA115" s="51">
        <f t="shared" si="82"/>
        <v>3.2159585750004098E-2</v>
      </c>
      <c r="BB115" s="51">
        <f t="shared" si="82"/>
        <v>2.9468830966215262E-2</v>
      </c>
      <c r="BC115" s="51">
        <f t="shared" si="82"/>
        <v>2.6553800585006889E-2</v>
      </c>
      <c r="BD115" s="51">
        <f t="shared" si="82"/>
        <v>2.3436679747723441E-2</v>
      </c>
      <c r="BE115" s="51">
        <f t="shared" si="82"/>
        <v>2.0141191626105656E-2</v>
      </c>
      <c r="BF115" s="51">
        <f t="shared" si="82"/>
        <v>1.6692416874629214E-2</v>
      </c>
      <c r="BG115" s="51">
        <f t="shared" si="82"/>
        <v>1.3116602751579961E-2</v>
      </c>
      <c r="BH115" s="51">
        <f t="shared" si="82"/>
        <v>9.4409633615698992E-3</v>
      </c>
      <c r="BI115" s="51">
        <f t="shared" si="82"/>
        <v>5.6934725397687356E-3</v>
      </c>
      <c r="BJ115" s="51">
        <f t="shared" si="82"/>
        <v>1.9026509541272369E-3</v>
      </c>
      <c r="BK115" s="51">
        <f t="shared" si="82"/>
        <v>0</v>
      </c>
      <c r="BL115" s="51">
        <f t="shared" si="82"/>
        <v>0</v>
      </c>
      <c r="BM115" s="51">
        <f t="shared" si="82"/>
        <v>0</v>
      </c>
      <c r="BN115" s="51">
        <f t="shared" si="82"/>
        <v>0</v>
      </c>
      <c r="BO115" s="51">
        <f t="shared" si="82"/>
        <v>0</v>
      </c>
      <c r="BP115" s="51">
        <f t="shared" si="82"/>
        <v>0</v>
      </c>
      <c r="BQ115" s="51">
        <f t="shared" si="82"/>
        <v>0</v>
      </c>
      <c r="BR115" s="51">
        <f t="shared" si="82"/>
        <v>0</v>
      </c>
      <c r="BS115" s="51">
        <f t="shared" si="82"/>
        <v>0</v>
      </c>
      <c r="BT115" s="51">
        <f t="shared" si="82"/>
        <v>0</v>
      </c>
      <c r="BU115" s="51">
        <f t="shared" ref="BU115:CZ115" si="83">IF(AND(BU114&gt;=1,BU114&lt;=$D$31),SIN(PI()*(BU114-0.5)/$D$31)*SIN(PI()/(2*$D$31)),0)</f>
        <v>0</v>
      </c>
      <c r="BV115" s="51">
        <f t="shared" si="83"/>
        <v>0</v>
      </c>
      <c r="BW115" s="51">
        <f t="shared" si="83"/>
        <v>0</v>
      </c>
      <c r="BX115" s="51">
        <f t="shared" si="83"/>
        <v>0</v>
      </c>
      <c r="BY115" s="51">
        <f t="shared" si="83"/>
        <v>0</v>
      </c>
      <c r="BZ115" s="51">
        <f t="shared" si="83"/>
        <v>0</v>
      </c>
      <c r="CA115" s="51">
        <f t="shared" si="83"/>
        <v>0</v>
      </c>
      <c r="CB115" s="51">
        <f t="shared" si="83"/>
        <v>0</v>
      </c>
      <c r="CC115" s="51">
        <f t="shared" si="83"/>
        <v>0</v>
      </c>
      <c r="CD115" s="51">
        <f t="shared" si="83"/>
        <v>0</v>
      </c>
      <c r="CE115" s="51">
        <f t="shared" si="83"/>
        <v>0</v>
      </c>
      <c r="CF115" s="51">
        <f t="shared" si="83"/>
        <v>0</v>
      </c>
      <c r="CG115" s="51">
        <f t="shared" si="83"/>
        <v>0</v>
      </c>
      <c r="CH115" s="51">
        <f t="shared" si="83"/>
        <v>0</v>
      </c>
      <c r="CI115" s="51">
        <f t="shared" si="83"/>
        <v>0</v>
      </c>
      <c r="CJ115" s="51">
        <f t="shared" si="83"/>
        <v>0</v>
      </c>
      <c r="CK115" s="51">
        <f t="shared" si="83"/>
        <v>0</v>
      </c>
      <c r="CL115" s="51">
        <f t="shared" si="83"/>
        <v>0</v>
      </c>
      <c r="CM115" s="51">
        <f t="shared" si="83"/>
        <v>0</v>
      </c>
      <c r="CN115" s="51">
        <f t="shared" si="83"/>
        <v>0</v>
      </c>
      <c r="CO115" s="51">
        <f t="shared" si="83"/>
        <v>0</v>
      </c>
      <c r="CP115" s="51">
        <f t="shared" si="83"/>
        <v>0</v>
      </c>
      <c r="CQ115" s="51">
        <f t="shared" si="83"/>
        <v>0</v>
      </c>
      <c r="CR115" s="51">
        <f t="shared" si="83"/>
        <v>0</v>
      </c>
      <c r="CS115" s="51">
        <f t="shared" si="83"/>
        <v>0</v>
      </c>
      <c r="CT115" s="51">
        <f t="shared" si="83"/>
        <v>0</v>
      </c>
      <c r="CU115" s="51">
        <f t="shared" si="83"/>
        <v>0</v>
      </c>
      <c r="CV115" s="51">
        <f t="shared" si="83"/>
        <v>0</v>
      </c>
      <c r="CW115" s="51">
        <f t="shared" si="83"/>
        <v>0</v>
      </c>
      <c r="CX115" s="51">
        <f t="shared" si="83"/>
        <v>0</v>
      </c>
      <c r="CY115" s="51">
        <f t="shared" si="83"/>
        <v>0</v>
      </c>
      <c r="CZ115" s="51">
        <f t="shared" si="83"/>
        <v>0</v>
      </c>
      <c r="DA115" s="51">
        <f t="shared" ref="DA115:EF115" si="84">IF(AND(DA114&gt;=1,DA114&lt;=$D$31),SIN(PI()*(DA114-0.5)/$D$31)*SIN(PI()/(2*$D$31)),0)</f>
        <v>0</v>
      </c>
      <c r="DB115" s="51">
        <f t="shared" si="84"/>
        <v>0</v>
      </c>
      <c r="DC115" s="51">
        <f t="shared" si="84"/>
        <v>0</v>
      </c>
      <c r="DD115" s="51">
        <f t="shared" si="84"/>
        <v>0</v>
      </c>
      <c r="DE115" s="51">
        <f t="shared" si="84"/>
        <v>0</v>
      </c>
      <c r="DF115" s="51">
        <f t="shared" si="84"/>
        <v>0</v>
      </c>
      <c r="DG115" s="51">
        <f t="shared" si="84"/>
        <v>0</v>
      </c>
      <c r="DH115" s="51">
        <f t="shared" si="84"/>
        <v>0</v>
      </c>
      <c r="DI115" s="51">
        <f t="shared" si="84"/>
        <v>0</v>
      </c>
      <c r="DJ115" s="51">
        <f t="shared" si="84"/>
        <v>0</v>
      </c>
      <c r="DK115" s="51">
        <f t="shared" si="84"/>
        <v>0</v>
      </c>
      <c r="DL115" s="51">
        <f t="shared" si="84"/>
        <v>0</v>
      </c>
      <c r="DM115" s="51">
        <f t="shared" si="84"/>
        <v>0</v>
      </c>
      <c r="DN115" s="51">
        <f t="shared" si="84"/>
        <v>0</v>
      </c>
      <c r="DO115" s="51">
        <f t="shared" si="84"/>
        <v>0</v>
      </c>
      <c r="DP115" s="51">
        <f t="shared" si="84"/>
        <v>0</v>
      </c>
      <c r="DQ115" s="51">
        <f t="shared" si="84"/>
        <v>0</v>
      </c>
      <c r="DR115" s="51">
        <f t="shared" si="84"/>
        <v>0</v>
      </c>
      <c r="DS115" s="51">
        <f t="shared" si="84"/>
        <v>0</v>
      </c>
      <c r="DT115" s="51">
        <f t="shared" si="84"/>
        <v>0</v>
      </c>
      <c r="DU115" s="51">
        <f t="shared" si="84"/>
        <v>0</v>
      </c>
      <c r="DV115" s="51">
        <f t="shared" si="84"/>
        <v>0</v>
      </c>
      <c r="DW115" s="51">
        <f t="shared" si="84"/>
        <v>0</v>
      </c>
      <c r="DX115" s="51">
        <f t="shared" si="84"/>
        <v>0</v>
      </c>
      <c r="DY115" s="51">
        <f t="shared" si="84"/>
        <v>0</v>
      </c>
      <c r="DZ115" s="51">
        <f t="shared" si="84"/>
        <v>0</v>
      </c>
      <c r="EA115" s="51">
        <f t="shared" si="84"/>
        <v>0</v>
      </c>
      <c r="EB115" s="51">
        <f t="shared" si="84"/>
        <v>0</v>
      </c>
      <c r="EC115" s="51">
        <f t="shared" si="84"/>
        <v>0</v>
      </c>
      <c r="ED115" s="51">
        <f t="shared" si="84"/>
        <v>0</v>
      </c>
      <c r="EE115" s="51">
        <f t="shared" si="84"/>
        <v>0</v>
      </c>
      <c r="EF115" s="51">
        <f t="shared" si="84"/>
        <v>0</v>
      </c>
      <c r="EG115" s="51">
        <f t="shared" ref="EG115:FH115" si="85">IF(AND(EG114&gt;=1,EG114&lt;=$D$31),SIN(PI()*(EG114-0.5)/$D$31)*SIN(PI()/(2*$D$31)),0)</f>
        <v>0</v>
      </c>
      <c r="EH115" s="51">
        <f t="shared" si="85"/>
        <v>0</v>
      </c>
      <c r="EI115" s="51">
        <f t="shared" si="85"/>
        <v>0</v>
      </c>
      <c r="EJ115" s="51">
        <f t="shared" si="85"/>
        <v>0</v>
      </c>
      <c r="EK115" s="51">
        <f t="shared" si="85"/>
        <v>0</v>
      </c>
      <c r="EL115" s="51">
        <f t="shared" si="85"/>
        <v>0</v>
      </c>
      <c r="EM115" s="51">
        <f t="shared" si="85"/>
        <v>0</v>
      </c>
      <c r="EN115" s="51">
        <f t="shared" si="85"/>
        <v>0</v>
      </c>
      <c r="EO115" s="51">
        <f t="shared" si="85"/>
        <v>0</v>
      </c>
      <c r="EP115" s="51">
        <f t="shared" si="85"/>
        <v>0</v>
      </c>
      <c r="EQ115" s="51">
        <f t="shared" si="85"/>
        <v>0</v>
      </c>
      <c r="ER115" s="51">
        <f t="shared" si="85"/>
        <v>0</v>
      </c>
      <c r="ES115" s="51">
        <f t="shared" si="85"/>
        <v>0</v>
      </c>
      <c r="ET115" s="51">
        <f t="shared" si="85"/>
        <v>0</v>
      </c>
      <c r="EU115" s="51">
        <f t="shared" si="85"/>
        <v>0</v>
      </c>
      <c r="EV115" s="51">
        <f t="shared" si="85"/>
        <v>0</v>
      </c>
      <c r="EW115" s="51">
        <f t="shared" si="85"/>
        <v>0</v>
      </c>
      <c r="EX115" s="51">
        <f t="shared" si="85"/>
        <v>0</v>
      </c>
      <c r="EY115" s="51">
        <f t="shared" si="85"/>
        <v>0</v>
      </c>
      <c r="EZ115" s="51">
        <f t="shared" si="85"/>
        <v>0</v>
      </c>
      <c r="FA115" s="51">
        <f t="shared" si="85"/>
        <v>0</v>
      </c>
      <c r="FB115" s="51">
        <f t="shared" si="85"/>
        <v>0</v>
      </c>
      <c r="FC115" s="51">
        <f t="shared" si="85"/>
        <v>0</v>
      </c>
      <c r="FD115" s="51">
        <f t="shared" si="85"/>
        <v>0</v>
      </c>
      <c r="FE115" s="51">
        <f t="shared" si="85"/>
        <v>0</v>
      </c>
      <c r="FF115" s="51">
        <f t="shared" si="85"/>
        <v>0</v>
      </c>
      <c r="FG115" s="51">
        <f t="shared" si="85"/>
        <v>0</v>
      </c>
      <c r="FH115" s="51">
        <f t="shared" si="85"/>
        <v>0</v>
      </c>
    </row>
    <row r="116" spans="1:164" x14ac:dyDescent="0.2">
      <c r="A116" s="10"/>
      <c r="B116" s="10"/>
      <c r="C116" s="10" t="s">
        <v>910</v>
      </c>
      <c r="D116" s="10"/>
      <c r="E116" s="10"/>
      <c r="F116" s="10"/>
      <c r="G116" s="10"/>
      <c r="H116" s="12">
        <f t="shared" si="80"/>
        <v>-144664</v>
      </c>
      <c r="I116" s="12">
        <f t="shared" ref="I116:AN116" si="86">-I115*($D$29+$D$30)</f>
        <v>0</v>
      </c>
      <c r="J116" s="12">
        <f t="shared" si="86"/>
        <v>0</v>
      </c>
      <c r="K116" s="12">
        <f t="shared" si="86"/>
        <v>0</v>
      </c>
      <c r="L116" s="12">
        <f t="shared" si="86"/>
        <v>0</v>
      </c>
      <c r="M116" s="12">
        <f t="shared" si="86"/>
        <v>0</v>
      </c>
      <c r="N116" s="12">
        <f t="shared" si="86"/>
        <v>0</v>
      </c>
      <c r="O116" s="12">
        <f t="shared" si="86"/>
        <v>0</v>
      </c>
      <c r="P116" s="12">
        <f t="shared" si="86"/>
        <v>0</v>
      </c>
      <c r="Q116" s="12">
        <f t="shared" si="86"/>
        <v>0</v>
      </c>
      <c r="R116" s="12">
        <f t="shared" si="86"/>
        <v>0</v>
      </c>
      <c r="S116" s="12">
        <f t="shared" si="86"/>
        <v>0</v>
      </c>
      <c r="T116" s="12">
        <f t="shared" si="86"/>
        <v>0</v>
      </c>
      <c r="U116" s="12">
        <f t="shared" si="86"/>
        <v>0</v>
      </c>
      <c r="V116" s="12">
        <f t="shared" si="86"/>
        <v>0</v>
      </c>
      <c r="W116" s="12">
        <f t="shared" si="86"/>
        <v>0</v>
      </c>
      <c r="X116" s="12">
        <f t="shared" si="86"/>
        <v>0</v>
      </c>
      <c r="Y116" s="12">
        <f t="shared" si="86"/>
        <v>0</v>
      </c>
      <c r="Z116" s="12">
        <f t="shared" si="86"/>
        <v>0</v>
      </c>
      <c r="AA116" s="12">
        <f t="shared" si="86"/>
        <v>-275.24509762786215</v>
      </c>
      <c r="AB116" s="12">
        <f t="shared" si="86"/>
        <v>-823.64051149310433</v>
      </c>
      <c r="AC116" s="12">
        <f t="shared" si="86"/>
        <v>-1365.7675237381461</v>
      </c>
      <c r="AD116" s="12">
        <f t="shared" si="86"/>
        <v>-1897.5002204545619</v>
      </c>
      <c r="AE116" s="12">
        <f t="shared" si="86"/>
        <v>-2414.7917947513602</v>
      </c>
      <c r="AF116" s="12">
        <f t="shared" si="86"/>
        <v>-2913.7053453989488</v>
      </c>
      <c r="AG116" s="12">
        <f t="shared" si="86"/>
        <v>-3390.4438390246623</v>
      </c>
      <c r="AH116" s="12">
        <f t="shared" si="86"/>
        <v>-3841.3790078294342</v>
      </c>
      <c r="AI116" s="12">
        <f t="shared" si="86"/>
        <v>-4263.078962896564</v>
      </c>
      <c r="AJ116" s="12">
        <f t="shared" si="86"/>
        <v>-4652.334312938593</v>
      </c>
      <c r="AK116" s="12">
        <f t="shared" si="86"/>
        <v>-5006.1825897028966</v>
      </c>
      <c r="AL116" s="12">
        <f t="shared" si="86"/>
        <v>-5321.9307941438656</v>
      </c>
      <c r="AM116" s="12">
        <f t="shared" si="86"/>
        <v>-5597.1758917717279</v>
      </c>
      <c r="AN116" s="12">
        <f t="shared" si="86"/>
        <v>-5829.8231011960006</v>
      </c>
      <c r="AO116" s="12">
        <f t="shared" ref="AO116:BT116" si="87">-AO115*($D$29+$D$30)</f>
        <v>-6018.1018366767394</v>
      </c>
      <c r="AP116" s="12">
        <f t="shared" si="87"/>
        <v>-6160.5791833511257</v>
      </c>
      <c r="AQ116" s="12">
        <f t="shared" si="87"/>
        <v>-6256.1708025807957</v>
      </c>
      <c r="AR116" s="12">
        <f t="shared" si="87"/>
        <v>-6304.1491844236116</v>
      </c>
      <c r="AS116" s="12">
        <f t="shared" si="87"/>
        <v>-6304.1491844236116</v>
      </c>
      <c r="AT116" s="12">
        <f t="shared" si="87"/>
        <v>-6256.1708025807957</v>
      </c>
      <c r="AU116" s="12">
        <f t="shared" si="87"/>
        <v>-6160.5791833511266</v>
      </c>
      <c r="AV116" s="12">
        <f t="shared" si="87"/>
        <v>-6018.1018366767394</v>
      </c>
      <c r="AW116" s="12">
        <f t="shared" si="87"/>
        <v>-5829.8231011960006</v>
      </c>
      <c r="AX116" s="12">
        <f t="shared" si="87"/>
        <v>-5597.1758917717279</v>
      </c>
      <c r="AY116" s="12">
        <f t="shared" si="87"/>
        <v>-5321.9307941438665</v>
      </c>
      <c r="AZ116" s="12">
        <f t="shared" si="87"/>
        <v>-5006.1825897028966</v>
      </c>
      <c r="BA116" s="12">
        <f t="shared" si="87"/>
        <v>-4652.334312938593</v>
      </c>
      <c r="BB116" s="12">
        <f t="shared" si="87"/>
        <v>-4263.0789628965649</v>
      </c>
      <c r="BC116" s="12">
        <f t="shared" si="87"/>
        <v>-3841.3790078294364</v>
      </c>
      <c r="BD116" s="12">
        <f t="shared" si="87"/>
        <v>-3390.4438390246637</v>
      </c>
      <c r="BE116" s="12">
        <f t="shared" si="87"/>
        <v>-2913.7053453989488</v>
      </c>
      <c r="BF116" s="12">
        <f t="shared" si="87"/>
        <v>-2414.7917947513606</v>
      </c>
      <c r="BG116" s="12">
        <f t="shared" si="87"/>
        <v>-1897.5002204545635</v>
      </c>
      <c r="BH116" s="12">
        <f t="shared" si="87"/>
        <v>-1365.7675237381479</v>
      </c>
      <c r="BI116" s="12">
        <f t="shared" si="87"/>
        <v>-823.64051149310433</v>
      </c>
      <c r="BJ116" s="12">
        <f t="shared" si="87"/>
        <v>-275.24509762786261</v>
      </c>
      <c r="BK116" s="12">
        <f t="shared" si="87"/>
        <v>0</v>
      </c>
      <c r="BL116" s="12">
        <f t="shared" si="87"/>
        <v>0</v>
      </c>
      <c r="BM116" s="12">
        <f t="shared" si="87"/>
        <v>0</v>
      </c>
      <c r="BN116" s="12">
        <f t="shared" si="87"/>
        <v>0</v>
      </c>
      <c r="BO116" s="12">
        <f t="shared" si="87"/>
        <v>0</v>
      </c>
      <c r="BP116" s="12">
        <f t="shared" si="87"/>
        <v>0</v>
      </c>
      <c r="BQ116" s="12">
        <f t="shared" si="87"/>
        <v>0</v>
      </c>
      <c r="BR116" s="12">
        <f t="shared" si="87"/>
        <v>0</v>
      </c>
      <c r="BS116" s="12">
        <f t="shared" si="87"/>
        <v>0</v>
      </c>
      <c r="BT116" s="12">
        <f t="shared" si="87"/>
        <v>0</v>
      </c>
      <c r="BU116" s="12">
        <f t="shared" ref="BU116:CZ116" si="88">-BU115*($D$29+$D$30)</f>
        <v>0</v>
      </c>
      <c r="BV116" s="12">
        <f t="shared" si="88"/>
        <v>0</v>
      </c>
      <c r="BW116" s="12">
        <f t="shared" si="88"/>
        <v>0</v>
      </c>
      <c r="BX116" s="12">
        <f t="shared" si="88"/>
        <v>0</v>
      </c>
      <c r="BY116" s="12">
        <f t="shared" si="88"/>
        <v>0</v>
      </c>
      <c r="BZ116" s="12">
        <f t="shared" si="88"/>
        <v>0</v>
      </c>
      <c r="CA116" s="12">
        <f t="shared" si="88"/>
        <v>0</v>
      </c>
      <c r="CB116" s="12">
        <f t="shared" si="88"/>
        <v>0</v>
      </c>
      <c r="CC116" s="12">
        <f t="shared" si="88"/>
        <v>0</v>
      </c>
      <c r="CD116" s="12">
        <f t="shared" si="88"/>
        <v>0</v>
      </c>
      <c r="CE116" s="12">
        <f t="shared" si="88"/>
        <v>0</v>
      </c>
      <c r="CF116" s="12">
        <f t="shared" si="88"/>
        <v>0</v>
      </c>
      <c r="CG116" s="12">
        <f t="shared" si="88"/>
        <v>0</v>
      </c>
      <c r="CH116" s="12">
        <f t="shared" si="88"/>
        <v>0</v>
      </c>
      <c r="CI116" s="12">
        <f t="shared" si="88"/>
        <v>0</v>
      </c>
      <c r="CJ116" s="12">
        <f t="shared" si="88"/>
        <v>0</v>
      </c>
      <c r="CK116" s="12">
        <f t="shared" si="88"/>
        <v>0</v>
      </c>
      <c r="CL116" s="12">
        <f t="shared" si="88"/>
        <v>0</v>
      </c>
      <c r="CM116" s="12">
        <f t="shared" si="88"/>
        <v>0</v>
      </c>
      <c r="CN116" s="12">
        <f t="shared" si="88"/>
        <v>0</v>
      </c>
      <c r="CO116" s="12">
        <f t="shared" si="88"/>
        <v>0</v>
      </c>
      <c r="CP116" s="12">
        <f t="shared" si="88"/>
        <v>0</v>
      </c>
      <c r="CQ116" s="12">
        <f t="shared" si="88"/>
        <v>0</v>
      </c>
      <c r="CR116" s="12">
        <f t="shared" si="88"/>
        <v>0</v>
      </c>
      <c r="CS116" s="12">
        <f t="shared" si="88"/>
        <v>0</v>
      </c>
      <c r="CT116" s="12">
        <f t="shared" si="88"/>
        <v>0</v>
      </c>
      <c r="CU116" s="12">
        <f t="shared" si="88"/>
        <v>0</v>
      </c>
      <c r="CV116" s="12">
        <f t="shared" si="88"/>
        <v>0</v>
      </c>
      <c r="CW116" s="12">
        <f t="shared" si="88"/>
        <v>0</v>
      </c>
      <c r="CX116" s="12">
        <f t="shared" si="88"/>
        <v>0</v>
      </c>
      <c r="CY116" s="12">
        <f t="shared" si="88"/>
        <v>0</v>
      </c>
      <c r="CZ116" s="12">
        <f t="shared" si="88"/>
        <v>0</v>
      </c>
      <c r="DA116" s="12">
        <f t="shared" ref="DA116:EF116" si="89">-DA115*($D$29+$D$30)</f>
        <v>0</v>
      </c>
      <c r="DB116" s="12">
        <f t="shared" si="89"/>
        <v>0</v>
      </c>
      <c r="DC116" s="12">
        <f t="shared" si="89"/>
        <v>0</v>
      </c>
      <c r="DD116" s="12">
        <f t="shared" si="89"/>
        <v>0</v>
      </c>
      <c r="DE116" s="12">
        <f t="shared" si="89"/>
        <v>0</v>
      </c>
      <c r="DF116" s="12">
        <f t="shared" si="89"/>
        <v>0</v>
      </c>
      <c r="DG116" s="12">
        <f t="shared" si="89"/>
        <v>0</v>
      </c>
      <c r="DH116" s="12">
        <f t="shared" si="89"/>
        <v>0</v>
      </c>
      <c r="DI116" s="12">
        <f t="shared" si="89"/>
        <v>0</v>
      </c>
      <c r="DJ116" s="12">
        <f t="shared" si="89"/>
        <v>0</v>
      </c>
      <c r="DK116" s="12">
        <f t="shared" si="89"/>
        <v>0</v>
      </c>
      <c r="DL116" s="12">
        <f t="shared" si="89"/>
        <v>0</v>
      </c>
      <c r="DM116" s="12">
        <f t="shared" si="89"/>
        <v>0</v>
      </c>
      <c r="DN116" s="12">
        <f t="shared" si="89"/>
        <v>0</v>
      </c>
      <c r="DO116" s="12">
        <f t="shared" si="89"/>
        <v>0</v>
      </c>
      <c r="DP116" s="12">
        <f t="shared" si="89"/>
        <v>0</v>
      </c>
      <c r="DQ116" s="12">
        <f t="shared" si="89"/>
        <v>0</v>
      </c>
      <c r="DR116" s="12">
        <f t="shared" si="89"/>
        <v>0</v>
      </c>
      <c r="DS116" s="12">
        <f t="shared" si="89"/>
        <v>0</v>
      </c>
      <c r="DT116" s="12">
        <f t="shared" si="89"/>
        <v>0</v>
      </c>
      <c r="DU116" s="12">
        <f t="shared" si="89"/>
        <v>0</v>
      </c>
      <c r="DV116" s="12">
        <f t="shared" si="89"/>
        <v>0</v>
      </c>
      <c r="DW116" s="12">
        <f t="shared" si="89"/>
        <v>0</v>
      </c>
      <c r="DX116" s="12">
        <f t="shared" si="89"/>
        <v>0</v>
      </c>
      <c r="DY116" s="12">
        <f t="shared" si="89"/>
        <v>0</v>
      </c>
      <c r="DZ116" s="12">
        <f t="shared" si="89"/>
        <v>0</v>
      </c>
      <c r="EA116" s="12">
        <f t="shared" si="89"/>
        <v>0</v>
      </c>
      <c r="EB116" s="12">
        <f t="shared" si="89"/>
        <v>0</v>
      </c>
      <c r="EC116" s="12">
        <f t="shared" si="89"/>
        <v>0</v>
      </c>
      <c r="ED116" s="12">
        <f t="shared" si="89"/>
        <v>0</v>
      </c>
      <c r="EE116" s="12">
        <f t="shared" si="89"/>
        <v>0</v>
      </c>
      <c r="EF116" s="12">
        <f t="shared" si="89"/>
        <v>0</v>
      </c>
      <c r="EG116" s="12">
        <f t="shared" ref="EG116:FH116" si="90">-EG115*($D$29+$D$30)</f>
        <v>0</v>
      </c>
      <c r="EH116" s="12">
        <f t="shared" si="90"/>
        <v>0</v>
      </c>
      <c r="EI116" s="12">
        <f t="shared" si="90"/>
        <v>0</v>
      </c>
      <c r="EJ116" s="12">
        <f t="shared" si="90"/>
        <v>0</v>
      </c>
      <c r="EK116" s="12">
        <f t="shared" si="90"/>
        <v>0</v>
      </c>
      <c r="EL116" s="12">
        <f t="shared" si="90"/>
        <v>0</v>
      </c>
      <c r="EM116" s="12">
        <f t="shared" si="90"/>
        <v>0</v>
      </c>
      <c r="EN116" s="12">
        <f t="shared" si="90"/>
        <v>0</v>
      </c>
      <c r="EO116" s="12">
        <f t="shared" si="90"/>
        <v>0</v>
      </c>
      <c r="EP116" s="12">
        <f t="shared" si="90"/>
        <v>0</v>
      </c>
      <c r="EQ116" s="12">
        <f t="shared" si="90"/>
        <v>0</v>
      </c>
      <c r="ER116" s="12">
        <f t="shared" si="90"/>
        <v>0</v>
      </c>
      <c r="ES116" s="12">
        <f t="shared" si="90"/>
        <v>0</v>
      </c>
      <c r="ET116" s="12">
        <f t="shared" si="90"/>
        <v>0</v>
      </c>
      <c r="EU116" s="12">
        <f t="shared" si="90"/>
        <v>0</v>
      </c>
      <c r="EV116" s="12">
        <f t="shared" si="90"/>
        <v>0</v>
      </c>
      <c r="EW116" s="12">
        <f t="shared" si="90"/>
        <v>0</v>
      </c>
      <c r="EX116" s="12">
        <f t="shared" si="90"/>
        <v>0</v>
      </c>
      <c r="EY116" s="12">
        <f t="shared" si="90"/>
        <v>0</v>
      </c>
      <c r="EZ116" s="12">
        <f t="shared" si="90"/>
        <v>0</v>
      </c>
      <c r="FA116" s="12">
        <f t="shared" si="90"/>
        <v>0</v>
      </c>
      <c r="FB116" s="12">
        <f t="shared" si="90"/>
        <v>0</v>
      </c>
      <c r="FC116" s="12">
        <f t="shared" si="90"/>
        <v>0</v>
      </c>
      <c r="FD116" s="12">
        <f t="shared" si="90"/>
        <v>0</v>
      </c>
      <c r="FE116" s="12">
        <f t="shared" si="90"/>
        <v>0</v>
      </c>
      <c r="FF116" s="12">
        <f t="shared" si="90"/>
        <v>0</v>
      </c>
      <c r="FG116" s="12">
        <f t="shared" si="90"/>
        <v>0</v>
      </c>
      <c r="FH116" s="12">
        <f t="shared" si="90"/>
        <v>0</v>
      </c>
    </row>
    <row r="117" spans="1:164" x14ac:dyDescent="0.2">
      <c r="A117" s="10"/>
      <c r="B117" s="10"/>
      <c r="C117" s="10" t="s">
        <v>405</v>
      </c>
      <c r="D117" s="10"/>
      <c r="E117" s="10"/>
      <c r="F117" s="10"/>
      <c r="G117" s="10"/>
      <c r="H117" s="12">
        <f t="shared" si="80"/>
        <v>-4189.9199999999992</v>
      </c>
      <c r="I117" s="12">
        <f t="shared" ref="I117:AN117" si="91">-IF(AND(I$6&gt;=EDATE($D$34,-12),I$6&lt;$D$34),$D$56*$D$29/12,0)</f>
        <v>0</v>
      </c>
      <c r="J117" s="12">
        <f t="shared" si="91"/>
        <v>0</v>
      </c>
      <c r="K117" s="12">
        <f t="shared" si="91"/>
        <v>0</v>
      </c>
      <c r="L117" s="12">
        <f t="shared" si="91"/>
        <v>0</v>
      </c>
      <c r="M117" s="12">
        <f t="shared" si="91"/>
        <v>0</v>
      </c>
      <c r="N117" s="12">
        <f t="shared" si="91"/>
        <v>0</v>
      </c>
      <c r="O117" s="12">
        <f t="shared" si="91"/>
        <v>-349.16</v>
      </c>
      <c r="P117" s="12">
        <f t="shared" si="91"/>
        <v>-349.16</v>
      </c>
      <c r="Q117" s="12">
        <f t="shared" si="91"/>
        <v>-349.16</v>
      </c>
      <c r="R117" s="12">
        <f t="shared" si="91"/>
        <v>-349.16</v>
      </c>
      <c r="S117" s="12">
        <f t="shared" si="91"/>
        <v>-349.16</v>
      </c>
      <c r="T117" s="12">
        <f t="shared" si="91"/>
        <v>-349.16</v>
      </c>
      <c r="U117" s="12">
        <f t="shared" si="91"/>
        <v>-349.16</v>
      </c>
      <c r="V117" s="12">
        <f t="shared" si="91"/>
        <v>-349.16</v>
      </c>
      <c r="W117" s="12">
        <f t="shared" si="91"/>
        <v>-349.16</v>
      </c>
      <c r="X117" s="12">
        <f t="shared" si="91"/>
        <v>-349.16</v>
      </c>
      <c r="Y117" s="12">
        <f t="shared" si="91"/>
        <v>-349.16</v>
      </c>
      <c r="Z117" s="12">
        <f t="shared" si="91"/>
        <v>-349.16</v>
      </c>
      <c r="AA117" s="12">
        <f t="shared" si="91"/>
        <v>0</v>
      </c>
      <c r="AB117" s="12">
        <f t="shared" si="91"/>
        <v>0</v>
      </c>
      <c r="AC117" s="12">
        <f t="shared" si="91"/>
        <v>0</v>
      </c>
      <c r="AD117" s="12">
        <f t="shared" si="91"/>
        <v>0</v>
      </c>
      <c r="AE117" s="12">
        <f t="shared" si="91"/>
        <v>0</v>
      </c>
      <c r="AF117" s="12">
        <f t="shared" si="91"/>
        <v>0</v>
      </c>
      <c r="AG117" s="12">
        <f t="shared" si="91"/>
        <v>0</v>
      </c>
      <c r="AH117" s="12">
        <f t="shared" si="91"/>
        <v>0</v>
      </c>
      <c r="AI117" s="12">
        <f t="shared" si="91"/>
        <v>0</v>
      </c>
      <c r="AJ117" s="12">
        <f t="shared" si="91"/>
        <v>0</v>
      </c>
      <c r="AK117" s="12">
        <f t="shared" si="91"/>
        <v>0</v>
      </c>
      <c r="AL117" s="12">
        <f t="shared" si="91"/>
        <v>0</v>
      </c>
      <c r="AM117" s="12">
        <f t="shared" si="91"/>
        <v>0</v>
      </c>
      <c r="AN117" s="12">
        <f t="shared" si="91"/>
        <v>0</v>
      </c>
      <c r="AO117" s="12">
        <f t="shared" ref="AO117:BT117" si="92">-IF(AND(AO$6&gt;=EDATE($D$34,-12),AO$6&lt;$D$34),$D$56*$D$29/12,0)</f>
        <v>0</v>
      </c>
      <c r="AP117" s="12">
        <f t="shared" si="92"/>
        <v>0</v>
      </c>
      <c r="AQ117" s="12">
        <f t="shared" si="92"/>
        <v>0</v>
      </c>
      <c r="AR117" s="12">
        <f t="shared" si="92"/>
        <v>0</v>
      </c>
      <c r="AS117" s="12">
        <f t="shared" si="92"/>
        <v>0</v>
      </c>
      <c r="AT117" s="12">
        <f t="shared" si="92"/>
        <v>0</v>
      </c>
      <c r="AU117" s="12">
        <f t="shared" si="92"/>
        <v>0</v>
      </c>
      <c r="AV117" s="12">
        <f t="shared" si="92"/>
        <v>0</v>
      </c>
      <c r="AW117" s="12">
        <f t="shared" si="92"/>
        <v>0</v>
      </c>
      <c r="AX117" s="12">
        <f t="shared" si="92"/>
        <v>0</v>
      </c>
      <c r="AY117" s="12">
        <f t="shared" si="92"/>
        <v>0</v>
      </c>
      <c r="AZ117" s="12">
        <f t="shared" si="92"/>
        <v>0</v>
      </c>
      <c r="BA117" s="12">
        <f t="shared" si="92"/>
        <v>0</v>
      </c>
      <c r="BB117" s="12">
        <f t="shared" si="92"/>
        <v>0</v>
      </c>
      <c r="BC117" s="12">
        <f t="shared" si="92"/>
        <v>0</v>
      </c>
      <c r="BD117" s="12">
        <f t="shared" si="92"/>
        <v>0</v>
      </c>
      <c r="BE117" s="12">
        <f t="shared" si="92"/>
        <v>0</v>
      </c>
      <c r="BF117" s="12">
        <f t="shared" si="92"/>
        <v>0</v>
      </c>
      <c r="BG117" s="12">
        <f t="shared" si="92"/>
        <v>0</v>
      </c>
      <c r="BH117" s="12">
        <f t="shared" si="92"/>
        <v>0</v>
      </c>
      <c r="BI117" s="12">
        <f t="shared" si="92"/>
        <v>0</v>
      </c>
      <c r="BJ117" s="12">
        <f t="shared" si="92"/>
        <v>0</v>
      </c>
      <c r="BK117" s="12">
        <f t="shared" si="92"/>
        <v>0</v>
      </c>
      <c r="BL117" s="12">
        <f t="shared" si="92"/>
        <v>0</v>
      </c>
      <c r="BM117" s="12">
        <f t="shared" si="92"/>
        <v>0</v>
      </c>
      <c r="BN117" s="12">
        <f t="shared" si="92"/>
        <v>0</v>
      </c>
      <c r="BO117" s="12">
        <f t="shared" si="92"/>
        <v>0</v>
      </c>
      <c r="BP117" s="12">
        <f t="shared" si="92"/>
        <v>0</v>
      </c>
      <c r="BQ117" s="12">
        <f t="shared" si="92"/>
        <v>0</v>
      </c>
      <c r="BR117" s="12">
        <f t="shared" si="92"/>
        <v>0</v>
      </c>
      <c r="BS117" s="12">
        <f t="shared" si="92"/>
        <v>0</v>
      </c>
      <c r="BT117" s="12">
        <f t="shared" si="92"/>
        <v>0</v>
      </c>
      <c r="BU117" s="12">
        <f t="shared" ref="BU117:CZ117" si="93">-IF(AND(BU$6&gt;=EDATE($D$34,-12),BU$6&lt;$D$34),$D$56*$D$29/12,0)</f>
        <v>0</v>
      </c>
      <c r="BV117" s="12">
        <f t="shared" si="93"/>
        <v>0</v>
      </c>
      <c r="BW117" s="12">
        <f t="shared" si="93"/>
        <v>0</v>
      </c>
      <c r="BX117" s="12">
        <f t="shared" si="93"/>
        <v>0</v>
      </c>
      <c r="BY117" s="12">
        <f t="shared" si="93"/>
        <v>0</v>
      </c>
      <c r="BZ117" s="12">
        <f t="shared" si="93"/>
        <v>0</v>
      </c>
      <c r="CA117" s="12">
        <f t="shared" si="93"/>
        <v>0</v>
      </c>
      <c r="CB117" s="12">
        <f t="shared" si="93"/>
        <v>0</v>
      </c>
      <c r="CC117" s="12">
        <f t="shared" si="93"/>
        <v>0</v>
      </c>
      <c r="CD117" s="12">
        <f t="shared" si="93"/>
        <v>0</v>
      </c>
      <c r="CE117" s="12">
        <f t="shared" si="93"/>
        <v>0</v>
      </c>
      <c r="CF117" s="12">
        <f t="shared" si="93"/>
        <v>0</v>
      </c>
      <c r="CG117" s="12">
        <f t="shared" si="93"/>
        <v>0</v>
      </c>
      <c r="CH117" s="12">
        <f t="shared" si="93"/>
        <v>0</v>
      </c>
      <c r="CI117" s="12">
        <f t="shared" si="93"/>
        <v>0</v>
      </c>
      <c r="CJ117" s="12">
        <f t="shared" si="93"/>
        <v>0</v>
      </c>
      <c r="CK117" s="12">
        <f t="shared" si="93"/>
        <v>0</v>
      </c>
      <c r="CL117" s="12">
        <f t="shared" si="93"/>
        <v>0</v>
      </c>
      <c r="CM117" s="12">
        <f t="shared" si="93"/>
        <v>0</v>
      </c>
      <c r="CN117" s="12">
        <f t="shared" si="93"/>
        <v>0</v>
      </c>
      <c r="CO117" s="12">
        <f t="shared" si="93"/>
        <v>0</v>
      </c>
      <c r="CP117" s="12">
        <f t="shared" si="93"/>
        <v>0</v>
      </c>
      <c r="CQ117" s="12">
        <f t="shared" si="93"/>
        <v>0</v>
      </c>
      <c r="CR117" s="12">
        <f t="shared" si="93"/>
        <v>0</v>
      </c>
      <c r="CS117" s="12">
        <f t="shared" si="93"/>
        <v>0</v>
      </c>
      <c r="CT117" s="12">
        <f t="shared" si="93"/>
        <v>0</v>
      </c>
      <c r="CU117" s="12">
        <f t="shared" si="93"/>
        <v>0</v>
      </c>
      <c r="CV117" s="12">
        <f t="shared" si="93"/>
        <v>0</v>
      </c>
      <c r="CW117" s="12">
        <f t="shared" si="93"/>
        <v>0</v>
      </c>
      <c r="CX117" s="12">
        <f t="shared" si="93"/>
        <v>0</v>
      </c>
      <c r="CY117" s="12">
        <f t="shared" si="93"/>
        <v>0</v>
      </c>
      <c r="CZ117" s="12">
        <f t="shared" si="93"/>
        <v>0</v>
      </c>
      <c r="DA117" s="12">
        <f t="shared" ref="DA117:EF117" si="94">-IF(AND(DA$6&gt;=EDATE($D$34,-12),DA$6&lt;$D$34),$D$56*$D$29/12,0)</f>
        <v>0</v>
      </c>
      <c r="DB117" s="12">
        <f t="shared" si="94"/>
        <v>0</v>
      </c>
      <c r="DC117" s="12">
        <f t="shared" si="94"/>
        <v>0</v>
      </c>
      <c r="DD117" s="12">
        <f t="shared" si="94"/>
        <v>0</v>
      </c>
      <c r="DE117" s="12">
        <f t="shared" si="94"/>
        <v>0</v>
      </c>
      <c r="DF117" s="12">
        <f t="shared" si="94"/>
        <v>0</v>
      </c>
      <c r="DG117" s="12">
        <f t="shared" si="94"/>
        <v>0</v>
      </c>
      <c r="DH117" s="12">
        <f t="shared" si="94"/>
        <v>0</v>
      </c>
      <c r="DI117" s="12">
        <f t="shared" si="94"/>
        <v>0</v>
      </c>
      <c r="DJ117" s="12">
        <f t="shared" si="94"/>
        <v>0</v>
      </c>
      <c r="DK117" s="12">
        <f t="shared" si="94"/>
        <v>0</v>
      </c>
      <c r="DL117" s="12">
        <f t="shared" si="94"/>
        <v>0</v>
      </c>
      <c r="DM117" s="12">
        <f t="shared" si="94"/>
        <v>0</v>
      </c>
      <c r="DN117" s="12">
        <f t="shared" si="94"/>
        <v>0</v>
      </c>
      <c r="DO117" s="12">
        <f t="shared" si="94"/>
        <v>0</v>
      </c>
      <c r="DP117" s="12">
        <f t="shared" si="94"/>
        <v>0</v>
      </c>
      <c r="DQ117" s="12">
        <f t="shared" si="94"/>
        <v>0</v>
      </c>
      <c r="DR117" s="12">
        <f t="shared" si="94"/>
        <v>0</v>
      </c>
      <c r="DS117" s="12">
        <f t="shared" si="94"/>
        <v>0</v>
      </c>
      <c r="DT117" s="12">
        <f t="shared" si="94"/>
        <v>0</v>
      </c>
      <c r="DU117" s="12">
        <f t="shared" si="94"/>
        <v>0</v>
      </c>
      <c r="DV117" s="12">
        <f t="shared" si="94"/>
        <v>0</v>
      </c>
      <c r="DW117" s="12">
        <f t="shared" si="94"/>
        <v>0</v>
      </c>
      <c r="DX117" s="12">
        <f t="shared" si="94"/>
        <v>0</v>
      </c>
      <c r="DY117" s="12">
        <f t="shared" si="94"/>
        <v>0</v>
      </c>
      <c r="DZ117" s="12">
        <f t="shared" si="94"/>
        <v>0</v>
      </c>
      <c r="EA117" s="12">
        <f t="shared" si="94"/>
        <v>0</v>
      </c>
      <c r="EB117" s="12">
        <f t="shared" si="94"/>
        <v>0</v>
      </c>
      <c r="EC117" s="12">
        <f t="shared" si="94"/>
        <v>0</v>
      </c>
      <c r="ED117" s="12">
        <f t="shared" si="94"/>
        <v>0</v>
      </c>
      <c r="EE117" s="12">
        <f t="shared" si="94"/>
        <v>0</v>
      </c>
      <c r="EF117" s="12">
        <f t="shared" si="94"/>
        <v>0</v>
      </c>
      <c r="EG117" s="12">
        <f t="shared" ref="EG117:FH117" si="95">-IF(AND(EG$6&gt;=EDATE($D$34,-12),EG$6&lt;$D$34),$D$56*$D$29/12,0)</f>
        <v>0</v>
      </c>
      <c r="EH117" s="12">
        <f t="shared" si="95"/>
        <v>0</v>
      </c>
      <c r="EI117" s="12">
        <f t="shared" si="95"/>
        <v>0</v>
      </c>
      <c r="EJ117" s="12">
        <f t="shared" si="95"/>
        <v>0</v>
      </c>
      <c r="EK117" s="12">
        <f t="shared" si="95"/>
        <v>0</v>
      </c>
      <c r="EL117" s="12">
        <f t="shared" si="95"/>
        <v>0</v>
      </c>
      <c r="EM117" s="12">
        <f t="shared" si="95"/>
        <v>0</v>
      </c>
      <c r="EN117" s="12">
        <f t="shared" si="95"/>
        <v>0</v>
      </c>
      <c r="EO117" s="12">
        <f t="shared" si="95"/>
        <v>0</v>
      </c>
      <c r="EP117" s="12">
        <f t="shared" si="95"/>
        <v>0</v>
      </c>
      <c r="EQ117" s="12">
        <f t="shared" si="95"/>
        <v>0</v>
      </c>
      <c r="ER117" s="12">
        <f t="shared" si="95"/>
        <v>0</v>
      </c>
      <c r="ES117" s="12">
        <f t="shared" si="95"/>
        <v>0</v>
      </c>
      <c r="ET117" s="12">
        <f t="shared" si="95"/>
        <v>0</v>
      </c>
      <c r="EU117" s="12">
        <f t="shared" si="95"/>
        <v>0</v>
      </c>
      <c r="EV117" s="12">
        <f t="shared" si="95"/>
        <v>0</v>
      </c>
      <c r="EW117" s="12">
        <f t="shared" si="95"/>
        <v>0</v>
      </c>
      <c r="EX117" s="12">
        <f t="shared" si="95"/>
        <v>0</v>
      </c>
      <c r="EY117" s="12">
        <f t="shared" si="95"/>
        <v>0</v>
      </c>
      <c r="EZ117" s="12">
        <f t="shared" si="95"/>
        <v>0</v>
      </c>
      <c r="FA117" s="12">
        <f t="shared" si="95"/>
        <v>0</v>
      </c>
      <c r="FB117" s="12">
        <f t="shared" si="95"/>
        <v>0</v>
      </c>
      <c r="FC117" s="12">
        <f t="shared" si="95"/>
        <v>0</v>
      </c>
      <c r="FD117" s="12">
        <f t="shared" si="95"/>
        <v>0</v>
      </c>
      <c r="FE117" s="12">
        <f t="shared" si="95"/>
        <v>0</v>
      </c>
      <c r="FF117" s="12">
        <f t="shared" si="95"/>
        <v>0</v>
      </c>
      <c r="FG117" s="12">
        <f t="shared" si="95"/>
        <v>0</v>
      </c>
      <c r="FH117" s="12">
        <f t="shared" si="95"/>
        <v>0</v>
      </c>
    </row>
    <row r="118" spans="1:164" x14ac:dyDescent="0.2">
      <c r="A118" s="10"/>
      <c r="B118" s="10"/>
      <c r="C118" s="10" t="s">
        <v>911</v>
      </c>
      <c r="D118" s="10"/>
      <c r="E118" s="10"/>
      <c r="F118" s="10"/>
      <c r="G118" s="10"/>
      <c r="H118" s="12">
        <f t="shared" si="80"/>
        <v>-1396.640000000001</v>
      </c>
      <c r="I118" s="12">
        <f t="shared" ref="I118:AN118" si="96">-IF(AND(I114&gt;=1,I114&lt;=$D$31),$D$57*$D$29/$D$31,0)</f>
        <v>0</v>
      </c>
      <c r="J118" s="12">
        <f t="shared" si="96"/>
        <v>0</v>
      </c>
      <c r="K118" s="12">
        <f t="shared" si="96"/>
        <v>0</v>
      </c>
      <c r="L118" s="12">
        <f t="shared" si="96"/>
        <v>0</v>
      </c>
      <c r="M118" s="12">
        <f t="shared" si="96"/>
        <v>0</v>
      </c>
      <c r="N118" s="12">
        <f t="shared" si="96"/>
        <v>0</v>
      </c>
      <c r="O118" s="12">
        <f t="shared" si="96"/>
        <v>0</v>
      </c>
      <c r="P118" s="12">
        <f t="shared" si="96"/>
        <v>0</v>
      </c>
      <c r="Q118" s="12">
        <f t="shared" si="96"/>
        <v>0</v>
      </c>
      <c r="R118" s="12">
        <f t="shared" si="96"/>
        <v>0</v>
      </c>
      <c r="S118" s="12">
        <f t="shared" si="96"/>
        <v>0</v>
      </c>
      <c r="T118" s="12">
        <f t="shared" si="96"/>
        <v>0</v>
      </c>
      <c r="U118" s="12">
        <f t="shared" si="96"/>
        <v>0</v>
      </c>
      <c r="V118" s="12">
        <f t="shared" si="96"/>
        <v>0</v>
      </c>
      <c r="W118" s="12">
        <f t="shared" si="96"/>
        <v>0</v>
      </c>
      <c r="X118" s="12">
        <f t="shared" si="96"/>
        <v>0</v>
      </c>
      <c r="Y118" s="12">
        <f t="shared" si="96"/>
        <v>0</v>
      </c>
      <c r="Z118" s="12">
        <f t="shared" si="96"/>
        <v>0</v>
      </c>
      <c r="AA118" s="12">
        <f t="shared" si="96"/>
        <v>-38.795555555555559</v>
      </c>
      <c r="AB118" s="12">
        <f t="shared" si="96"/>
        <v>-38.795555555555559</v>
      </c>
      <c r="AC118" s="12">
        <f t="shared" si="96"/>
        <v>-38.795555555555559</v>
      </c>
      <c r="AD118" s="12">
        <f t="shared" si="96"/>
        <v>-38.795555555555559</v>
      </c>
      <c r="AE118" s="12">
        <f t="shared" si="96"/>
        <v>-38.795555555555559</v>
      </c>
      <c r="AF118" s="12">
        <f t="shared" si="96"/>
        <v>-38.795555555555559</v>
      </c>
      <c r="AG118" s="12">
        <f t="shared" si="96"/>
        <v>-38.795555555555559</v>
      </c>
      <c r="AH118" s="12">
        <f t="shared" si="96"/>
        <v>-38.795555555555559</v>
      </c>
      <c r="AI118" s="12">
        <f t="shared" si="96"/>
        <v>-38.795555555555559</v>
      </c>
      <c r="AJ118" s="12">
        <f t="shared" si="96"/>
        <v>-38.795555555555559</v>
      </c>
      <c r="AK118" s="12">
        <f t="shared" si="96"/>
        <v>-38.795555555555559</v>
      </c>
      <c r="AL118" s="12">
        <f t="shared" si="96"/>
        <v>-38.795555555555559</v>
      </c>
      <c r="AM118" s="12">
        <f t="shared" si="96"/>
        <v>-38.795555555555559</v>
      </c>
      <c r="AN118" s="12">
        <f t="shared" si="96"/>
        <v>-38.795555555555559</v>
      </c>
      <c r="AO118" s="12">
        <f t="shared" ref="AO118:BT118" si="97">-IF(AND(AO114&gt;=1,AO114&lt;=$D$31),$D$57*$D$29/$D$31,0)</f>
        <v>-38.795555555555559</v>
      </c>
      <c r="AP118" s="12">
        <f t="shared" si="97"/>
        <v>-38.795555555555559</v>
      </c>
      <c r="AQ118" s="12">
        <f t="shared" si="97"/>
        <v>-38.795555555555559</v>
      </c>
      <c r="AR118" s="12">
        <f t="shared" si="97"/>
        <v>-38.795555555555559</v>
      </c>
      <c r="AS118" s="12">
        <f t="shared" si="97"/>
        <v>-38.795555555555559</v>
      </c>
      <c r="AT118" s="12">
        <f t="shared" si="97"/>
        <v>-38.795555555555559</v>
      </c>
      <c r="AU118" s="12">
        <f t="shared" si="97"/>
        <v>-38.795555555555559</v>
      </c>
      <c r="AV118" s="12">
        <f t="shared" si="97"/>
        <v>-38.795555555555559</v>
      </c>
      <c r="AW118" s="12">
        <f t="shared" si="97"/>
        <v>-38.795555555555559</v>
      </c>
      <c r="AX118" s="12">
        <f t="shared" si="97"/>
        <v>-38.795555555555559</v>
      </c>
      <c r="AY118" s="12">
        <f t="shared" si="97"/>
        <v>-38.795555555555559</v>
      </c>
      <c r="AZ118" s="12">
        <f t="shared" si="97"/>
        <v>-38.795555555555559</v>
      </c>
      <c r="BA118" s="12">
        <f t="shared" si="97"/>
        <v>-38.795555555555559</v>
      </c>
      <c r="BB118" s="12">
        <f t="shared" si="97"/>
        <v>-38.795555555555559</v>
      </c>
      <c r="BC118" s="12">
        <f t="shared" si="97"/>
        <v>-38.795555555555559</v>
      </c>
      <c r="BD118" s="12">
        <f t="shared" si="97"/>
        <v>-38.795555555555559</v>
      </c>
      <c r="BE118" s="12">
        <f t="shared" si="97"/>
        <v>-38.795555555555559</v>
      </c>
      <c r="BF118" s="12">
        <f t="shared" si="97"/>
        <v>-38.795555555555559</v>
      </c>
      <c r="BG118" s="12">
        <f t="shared" si="97"/>
        <v>-38.795555555555559</v>
      </c>
      <c r="BH118" s="12">
        <f t="shared" si="97"/>
        <v>-38.795555555555559</v>
      </c>
      <c r="BI118" s="12">
        <f t="shared" si="97"/>
        <v>-38.795555555555559</v>
      </c>
      <c r="BJ118" s="12">
        <f t="shared" si="97"/>
        <v>-38.795555555555559</v>
      </c>
      <c r="BK118" s="12">
        <f t="shared" si="97"/>
        <v>0</v>
      </c>
      <c r="BL118" s="12">
        <f t="shared" si="97"/>
        <v>0</v>
      </c>
      <c r="BM118" s="12">
        <f t="shared" si="97"/>
        <v>0</v>
      </c>
      <c r="BN118" s="12">
        <f t="shared" si="97"/>
        <v>0</v>
      </c>
      <c r="BO118" s="12">
        <f t="shared" si="97"/>
        <v>0</v>
      </c>
      <c r="BP118" s="12">
        <f t="shared" si="97"/>
        <v>0</v>
      </c>
      <c r="BQ118" s="12">
        <f t="shared" si="97"/>
        <v>0</v>
      </c>
      <c r="BR118" s="12">
        <f t="shared" si="97"/>
        <v>0</v>
      </c>
      <c r="BS118" s="12">
        <f t="shared" si="97"/>
        <v>0</v>
      </c>
      <c r="BT118" s="12">
        <f t="shared" si="97"/>
        <v>0</v>
      </c>
      <c r="BU118" s="12">
        <f t="shared" ref="BU118:CZ118" si="98">-IF(AND(BU114&gt;=1,BU114&lt;=$D$31),$D$57*$D$29/$D$31,0)</f>
        <v>0</v>
      </c>
      <c r="BV118" s="12">
        <f t="shared" si="98"/>
        <v>0</v>
      </c>
      <c r="BW118" s="12">
        <f t="shared" si="98"/>
        <v>0</v>
      </c>
      <c r="BX118" s="12">
        <f t="shared" si="98"/>
        <v>0</v>
      </c>
      <c r="BY118" s="12">
        <f t="shared" si="98"/>
        <v>0</v>
      </c>
      <c r="BZ118" s="12">
        <f t="shared" si="98"/>
        <v>0</v>
      </c>
      <c r="CA118" s="12">
        <f t="shared" si="98"/>
        <v>0</v>
      </c>
      <c r="CB118" s="12">
        <f t="shared" si="98"/>
        <v>0</v>
      </c>
      <c r="CC118" s="12">
        <f t="shared" si="98"/>
        <v>0</v>
      </c>
      <c r="CD118" s="12">
        <f t="shared" si="98"/>
        <v>0</v>
      </c>
      <c r="CE118" s="12">
        <f t="shared" si="98"/>
        <v>0</v>
      </c>
      <c r="CF118" s="12">
        <f t="shared" si="98"/>
        <v>0</v>
      </c>
      <c r="CG118" s="12">
        <f t="shared" si="98"/>
        <v>0</v>
      </c>
      <c r="CH118" s="12">
        <f t="shared" si="98"/>
        <v>0</v>
      </c>
      <c r="CI118" s="12">
        <f t="shared" si="98"/>
        <v>0</v>
      </c>
      <c r="CJ118" s="12">
        <f t="shared" si="98"/>
        <v>0</v>
      </c>
      <c r="CK118" s="12">
        <f t="shared" si="98"/>
        <v>0</v>
      </c>
      <c r="CL118" s="12">
        <f t="shared" si="98"/>
        <v>0</v>
      </c>
      <c r="CM118" s="12">
        <f t="shared" si="98"/>
        <v>0</v>
      </c>
      <c r="CN118" s="12">
        <f t="shared" si="98"/>
        <v>0</v>
      </c>
      <c r="CO118" s="12">
        <f t="shared" si="98"/>
        <v>0</v>
      </c>
      <c r="CP118" s="12">
        <f t="shared" si="98"/>
        <v>0</v>
      </c>
      <c r="CQ118" s="12">
        <f t="shared" si="98"/>
        <v>0</v>
      </c>
      <c r="CR118" s="12">
        <f t="shared" si="98"/>
        <v>0</v>
      </c>
      <c r="CS118" s="12">
        <f t="shared" si="98"/>
        <v>0</v>
      </c>
      <c r="CT118" s="12">
        <f t="shared" si="98"/>
        <v>0</v>
      </c>
      <c r="CU118" s="12">
        <f t="shared" si="98"/>
        <v>0</v>
      </c>
      <c r="CV118" s="12">
        <f t="shared" si="98"/>
        <v>0</v>
      </c>
      <c r="CW118" s="12">
        <f t="shared" si="98"/>
        <v>0</v>
      </c>
      <c r="CX118" s="12">
        <f t="shared" si="98"/>
        <v>0</v>
      </c>
      <c r="CY118" s="12">
        <f t="shared" si="98"/>
        <v>0</v>
      </c>
      <c r="CZ118" s="12">
        <f t="shared" si="98"/>
        <v>0</v>
      </c>
      <c r="DA118" s="12">
        <f t="shared" ref="DA118:EF118" si="99">-IF(AND(DA114&gt;=1,DA114&lt;=$D$31),$D$57*$D$29/$D$31,0)</f>
        <v>0</v>
      </c>
      <c r="DB118" s="12">
        <f t="shared" si="99"/>
        <v>0</v>
      </c>
      <c r="DC118" s="12">
        <f t="shared" si="99"/>
        <v>0</v>
      </c>
      <c r="DD118" s="12">
        <f t="shared" si="99"/>
        <v>0</v>
      </c>
      <c r="DE118" s="12">
        <f t="shared" si="99"/>
        <v>0</v>
      </c>
      <c r="DF118" s="12">
        <f t="shared" si="99"/>
        <v>0</v>
      </c>
      <c r="DG118" s="12">
        <f t="shared" si="99"/>
        <v>0</v>
      </c>
      <c r="DH118" s="12">
        <f t="shared" si="99"/>
        <v>0</v>
      </c>
      <c r="DI118" s="12">
        <f t="shared" si="99"/>
        <v>0</v>
      </c>
      <c r="DJ118" s="12">
        <f t="shared" si="99"/>
        <v>0</v>
      </c>
      <c r="DK118" s="12">
        <f t="shared" si="99"/>
        <v>0</v>
      </c>
      <c r="DL118" s="12">
        <f t="shared" si="99"/>
        <v>0</v>
      </c>
      <c r="DM118" s="12">
        <f t="shared" si="99"/>
        <v>0</v>
      </c>
      <c r="DN118" s="12">
        <f t="shared" si="99"/>
        <v>0</v>
      </c>
      <c r="DO118" s="12">
        <f t="shared" si="99"/>
        <v>0</v>
      </c>
      <c r="DP118" s="12">
        <f t="shared" si="99"/>
        <v>0</v>
      </c>
      <c r="DQ118" s="12">
        <f t="shared" si="99"/>
        <v>0</v>
      </c>
      <c r="DR118" s="12">
        <f t="shared" si="99"/>
        <v>0</v>
      </c>
      <c r="DS118" s="12">
        <f t="shared" si="99"/>
        <v>0</v>
      </c>
      <c r="DT118" s="12">
        <f t="shared" si="99"/>
        <v>0</v>
      </c>
      <c r="DU118" s="12">
        <f t="shared" si="99"/>
        <v>0</v>
      </c>
      <c r="DV118" s="12">
        <f t="shared" si="99"/>
        <v>0</v>
      </c>
      <c r="DW118" s="12">
        <f t="shared" si="99"/>
        <v>0</v>
      </c>
      <c r="DX118" s="12">
        <f t="shared" si="99"/>
        <v>0</v>
      </c>
      <c r="DY118" s="12">
        <f t="shared" si="99"/>
        <v>0</v>
      </c>
      <c r="DZ118" s="12">
        <f t="shared" si="99"/>
        <v>0</v>
      </c>
      <c r="EA118" s="12">
        <f t="shared" si="99"/>
        <v>0</v>
      </c>
      <c r="EB118" s="12">
        <f t="shared" si="99"/>
        <v>0</v>
      </c>
      <c r="EC118" s="12">
        <f t="shared" si="99"/>
        <v>0</v>
      </c>
      <c r="ED118" s="12">
        <f t="shared" si="99"/>
        <v>0</v>
      </c>
      <c r="EE118" s="12">
        <f t="shared" si="99"/>
        <v>0</v>
      </c>
      <c r="EF118" s="12">
        <f t="shared" si="99"/>
        <v>0</v>
      </c>
      <c r="EG118" s="12">
        <f t="shared" ref="EG118:FH118" si="100">-IF(AND(EG114&gt;=1,EG114&lt;=$D$31),$D$57*$D$29/$D$31,0)</f>
        <v>0</v>
      </c>
      <c r="EH118" s="12">
        <f t="shared" si="100"/>
        <v>0</v>
      </c>
      <c r="EI118" s="12">
        <f t="shared" si="100"/>
        <v>0</v>
      </c>
      <c r="EJ118" s="12">
        <f t="shared" si="100"/>
        <v>0</v>
      </c>
      <c r="EK118" s="12">
        <f t="shared" si="100"/>
        <v>0</v>
      </c>
      <c r="EL118" s="12">
        <f t="shared" si="100"/>
        <v>0</v>
      </c>
      <c r="EM118" s="12">
        <f t="shared" si="100"/>
        <v>0</v>
      </c>
      <c r="EN118" s="12">
        <f t="shared" si="100"/>
        <v>0</v>
      </c>
      <c r="EO118" s="12">
        <f t="shared" si="100"/>
        <v>0</v>
      </c>
      <c r="EP118" s="12">
        <f t="shared" si="100"/>
        <v>0</v>
      </c>
      <c r="EQ118" s="12">
        <f t="shared" si="100"/>
        <v>0</v>
      </c>
      <c r="ER118" s="12">
        <f t="shared" si="100"/>
        <v>0</v>
      </c>
      <c r="ES118" s="12">
        <f t="shared" si="100"/>
        <v>0</v>
      </c>
      <c r="ET118" s="12">
        <f t="shared" si="100"/>
        <v>0</v>
      </c>
      <c r="EU118" s="12">
        <f t="shared" si="100"/>
        <v>0</v>
      </c>
      <c r="EV118" s="12">
        <f t="shared" si="100"/>
        <v>0</v>
      </c>
      <c r="EW118" s="12">
        <f t="shared" si="100"/>
        <v>0</v>
      </c>
      <c r="EX118" s="12">
        <f t="shared" si="100"/>
        <v>0</v>
      </c>
      <c r="EY118" s="12">
        <f t="shared" si="100"/>
        <v>0</v>
      </c>
      <c r="EZ118" s="12">
        <f t="shared" si="100"/>
        <v>0</v>
      </c>
      <c r="FA118" s="12">
        <f t="shared" si="100"/>
        <v>0</v>
      </c>
      <c r="FB118" s="12">
        <f t="shared" si="100"/>
        <v>0</v>
      </c>
      <c r="FC118" s="12">
        <f t="shared" si="100"/>
        <v>0</v>
      </c>
      <c r="FD118" s="12">
        <f t="shared" si="100"/>
        <v>0</v>
      </c>
      <c r="FE118" s="12">
        <f t="shared" si="100"/>
        <v>0</v>
      </c>
      <c r="FF118" s="12">
        <f t="shared" si="100"/>
        <v>0</v>
      </c>
      <c r="FG118" s="12">
        <f t="shared" si="100"/>
        <v>0</v>
      </c>
      <c r="FH118" s="12">
        <f t="shared" si="100"/>
        <v>0</v>
      </c>
    </row>
    <row r="119" spans="1:164" x14ac:dyDescent="0.2">
      <c r="A119" s="10"/>
      <c r="B119" s="10"/>
      <c r="C119" s="10" t="s">
        <v>912</v>
      </c>
      <c r="D119" s="10"/>
      <c r="E119" s="10"/>
      <c r="F119" s="10"/>
      <c r="G119" s="10"/>
      <c r="H119" s="12">
        <f t="shared" si="80"/>
        <v>-4189.9199999999992</v>
      </c>
      <c r="I119" s="12">
        <f t="shared" ref="I119:AN119" si="101">-I115*$D$58*$D$29</f>
        <v>0</v>
      </c>
      <c r="J119" s="12">
        <f t="shared" si="101"/>
        <v>0</v>
      </c>
      <c r="K119" s="12">
        <f t="shared" si="101"/>
        <v>0</v>
      </c>
      <c r="L119" s="12">
        <f t="shared" si="101"/>
        <v>0</v>
      </c>
      <c r="M119" s="12">
        <f t="shared" si="101"/>
        <v>0</v>
      </c>
      <c r="N119" s="12">
        <f t="shared" si="101"/>
        <v>0</v>
      </c>
      <c r="O119" s="12">
        <f t="shared" si="101"/>
        <v>0</v>
      </c>
      <c r="P119" s="12">
        <f t="shared" si="101"/>
        <v>0</v>
      </c>
      <c r="Q119" s="12">
        <f t="shared" si="101"/>
        <v>0</v>
      </c>
      <c r="R119" s="12">
        <f t="shared" si="101"/>
        <v>0</v>
      </c>
      <c r="S119" s="12">
        <f t="shared" si="101"/>
        <v>0</v>
      </c>
      <c r="T119" s="12">
        <f t="shared" si="101"/>
        <v>0</v>
      </c>
      <c r="U119" s="12">
        <f t="shared" si="101"/>
        <v>0</v>
      </c>
      <c r="V119" s="12">
        <f t="shared" si="101"/>
        <v>0</v>
      </c>
      <c r="W119" s="12">
        <f t="shared" si="101"/>
        <v>0</v>
      </c>
      <c r="X119" s="12">
        <f t="shared" si="101"/>
        <v>0</v>
      </c>
      <c r="Y119" s="12">
        <f t="shared" si="101"/>
        <v>0</v>
      </c>
      <c r="Z119" s="12">
        <f t="shared" si="101"/>
        <v>0</v>
      </c>
      <c r="AA119" s="12">
        <f t="shared" si="101"/>
        <v>-7.9719552857167795</v>
      </c>
      <c r="AB119" s="12">
        <f t="shared" si="101"/>
        <v>-23.855194463827818</v>
      </c>
      <c r="AC119" s="12">
        <f t="shared" si="101"/>
        <v>-39.556881207908894</v>
      </c>
      <c r="AD119" s="12">
        <f t="shared" si="101"/>
        <v>-54.95751620089986</v>
      </c>
      <c r="AE119" s="12">
        <f t="shared" si="101"/>
        <v>-69.939891311346429</v>
      </c>
      <c r="AF119" s="12">
        <f t="shared" si="101"/>
        <v>-84.389981618052602</v>
      </c>
      <c r="AG119" s="12">
        <f t="shared" si="101"/>
        <v>-98.197813208581351</v>
      </c>
      <c r="AH119" s="12">
        <f t="shared" si="101"/>
        <v>-111.25830014713199</v>
      </c>
      <c r="AI119" s="12">
        <f t="shared" si="101"/>
        <v>-123.47204424196461</v>
      </c>
      <c r="AJ119" s="12">
        <f t="shared" si="101"/>
        <v>-134.74609152565716</v>
      </c>
      <c r="AK119" s="12">
        <f t="shared" si="101"/>
        <v>-144.99463969092488</v>
      </c>
      <c r="AL119" s="12">
        <f t="shared" si="101"/>
        <v>-154.13969109798751</v>
      </c>
      <c r="AM119" s="12">
        <f t="shared" si="101"/>
        <v>-162.11164638370431</v>
      </c>
      <c r="AN119" s="12">
        <f t="shared" si="101"/>
        <v>-168.84983415475273</v>
      </c>
      <c r="AO119" s="12">
        <f t="shared" ref="AO119:BT119" si="102">-AO115*$D$58*$D$29</f>
        <v>-174.30297273356607</v>
      </c>
      <c r="AP119" s="12">
        <f t="shared" si="102"/>
        <v>-178.42956044286447</v>
      </c>
      <c r="AQ119" s="12">
        <f t="shared" si="102"/>
        <v>-181.19819145847845</v>
      </c>
      <c r="AR119" s="12">
        <f t="shared" si="102"/>
        <v>-182.58779482663397</v>
      </c>
      <c r="AS119" s="12">
        <f t="shared" si="102"/>
        <v>-182.58779482663397</v>
      </c>
      <c r="AT119" s="12">
        <f t="shared" si="102"/>
        <v>-181.19819145847845</v>
      </c>
      <c r="AU119" s="12">
        <f t="shared" si="102"/>
        <v>-178.4295604428645</v>
      </c>
      <c r="AV119" s="12">
        <f t="shared" si="102"/>
        <v>-174.30297273356607</v>
      </c>
      <c r="AW119" s="12">
        <f t="shared" si="102"/>
        <v>-168.84983415475273</v>
      </c>
      <c r="AX119" s="12">
        <f t="shared" si="102"/>
        <v>-162.11164638370431</v>
      </c>
      <c r="AY119" s="12">
        <f t="shared" si="102"/>
        <v>-154.13969109798754</v>
      </c>
      <c r="AZ119" s="12">
        <f t="shared" si="102"/>
        <v>-144.99463969092488</v>
      </c>
      <c r="BA119" s="12">
        <f t="shared" si="102"/>
        <v>-134.74609152565716</v>
      </c>
      <c r="BB119" s="12">
        <f t="shared" si="102"/>
        <v>-123.47204424196464</v>
      </c>
      <c r="BC119" s="12">
        <f t="shared" si="102"/>
        <v>-111.25830014713206</v>
      </c>
      <c r="BD119" s="12">
        <f t="shared" si="102"/>
        <v>-98.197813208581394</v>
      </c>
      <c r="BE119" s="12">
        <f t="shared" si="102"/>
        <v>-84.389981618052602</v>
      </c>
      <c r="BF119" s="12">
        <f t="shared" si="102"/>
        <v>-69.939891311346429</v>
      </c>
      <c r="BG119" s="12">
        <f t="shared" si="102"/>
        <v>-54.95751620089991</v>
      </c>
      <c r="BH119" s="12">
        <f t="shared" si="102"/>
        <v>-39.556881207908951</v>
      </c>
      <c r="BI119" s="12">
        <f t="shared" si="102"/>
        <v>-23.855194463827818</v>
      </c>
      <c r="BJ119" s="12">
        <f t="shared" si="102"/>
        <v>-7.9719552857167919</v>
      </c>
      <c r="BK119" s="12">
        <f t="shared" si="102"/>
        <v>0</v>
      </c>
      <c r="BL119" s="12">
        <f t="shared" si="102"/>
        <v>0</v>
      </c>
      <c r="BM119" s="12">
        <f t="shared" si="102"/>
        <v>0</v>
      </c>
      <c r="BN119" s="12">
        <f t="shared" si="102"/>
        <v>0</v>
      </c>
      <c r="BO119" s="12">
        <f t="shared" si="102"/>
        <v>0</v>
      </c>
      <c r="BP119" s="12">
        <f t="shared" si="102"/>
        <v>0</v>
      </c>
      <c r="BQ119" s="12">
        <f t="shared" si="102"/>
        <v>0</v>
      </c>
      <c r="BR119" s="12">
        <f t="shared" si="102"/>
        <v>0</v>
      </c>
      <c r="BS119" s="12">
        <f t="shared" si="102"/>
        <v>0</v>
      </c>
      <c r="BT119" s="12">
        <f t="shared" si="102"/>
        <v>0</v>
      </c>
      <c r="BU119" s="12">
        <f t="shared" ref="BU119:CZ119" si="103">-BU115*$D$58*$D$29</f>
        <v>0</v>
      </c>
      <c r="BV119" s="12">
        <f t="shared" si="103"/>
        <v>0</v>
      </c>
      <c r="BW119" s="12">
        <f t="shared" si="103"/>
        <v>0</v>
      </c>
      <c r="BX119" s="12">
        <f t="shared" si="103"/>
        <v>0</v>
      </c>
      <c r="BY119" s="12">
        <f t="shared" si="103"/>
        <v>0</v>
      </c>
      <c r="BZ119" s="12">
        <f t="shared" si="103"/>
        <v>0</v>
      </c>
      <c r="CA119" s="12">
        <f t="shared" si="103"/>
        <v>0</v>
      </c>
      <c r="CB119" s="12">
        <f t="shared" si="103"/>
        <v>0</v>
      </c>
      <c r="CC119" s="12">
        <f t="shared" si="103"/>
        <v>0</v>
      </c>
      <c r="CD119" s="12">
        <f t="shared" si="103"/>
        <v>0</v>
      </c>
      <c r="CE119" s="12">
        <f t="shared" si="103"/>
        <v>0</v>
      </c>
      <c r="CF119" s="12">
        <f t="shared" si="103"/>
        <v>0</v>
      </c>
      <c r="CG119" s="12">
        <f t="shared" si="103"/>
        <v>0</v>
      </c>
      <c r="CH119" s="12">
        <f t="shared" si="103"/>
        <v>0</v>
      </c>
      <c r="CI119" s="12">
        <f t="shared" si="103"/>
        <v>0</v>
      </c>
      <c r="CJ119" s="12">
        <f t="shared" si="103"/>
        <v>0</v>
      </c>
      <c r="CK119" s="12">
        <f t="shared" si="103"/>
        <v>0</v>
      </c>
      <c r="CL119" s="12">
        <f t="shared" si="103"/>
        <v>0</v>
      </c>
      <c r="CM119" s="12">
        <f t="shared" si="103"/>
        <v>0</v>
      </c>
      <c r="CN119" s="12">
        <f t="shared" si="103"/>
        <v>0</v>
      </c>
      <c r="CO119" s="12">
        <f t="shared" si="103"/>
        <v>0</v>
      </c>
      <c r="CP119" s="12">
        <f t="shared" si="103"/>
        <v>0</v>
      </c>
      <c r="CQ119" s="12">
        <f t="shared" si="103"/>
        <v>0</v>
      </c>
      <c r="CR119" s="12">
        <f t="shared" si="103"/>
        <v>0</v>
      </c>
      <c r="CS119" s="12">
        <f t="shared" si="103"/>
        <v>0</v>
      </c>
      <c r="CT119" s="12">
        <f t="shared" si="103"/>
        <v>0</v>
      </c>
      <c r="CU119" s="12">
        <f t="shared" si="103"/>
        <v>0</v>
      </c>
      <c r="CV119" s="12">
        <f t="shared" si="103"/>
        <v>0</v>
      </c>
      <c r="CW119" s="12">
        <f t="shared" si="103"/>
        <v>0</v>
      </c>
      <c r="CX119" s="12">
        <f t="shared" si="103"/>
        <v>0</v>
      </c>
      <c r="CY119" s="12">
        <f t="shared" si="103"/>
        <v>0</v>
      </c>
      <c r="CZ119" s="12">
        <f t="shared" si="103"/>
        <v>0</v>
      </c>
      <c r="DA119" s="12">
        <f t="shared" ref="DA119:EF119" si="104">-DA115*$D$58*$D$29</f>
        <v>0</v>
      </c>
      <c r="DB119" s="12">
        <f t="shared" si="104"/>
        <v>0</v>
      </c>
      <c r="DC119" s="12">
        <f t="shared" si="104"/>
        <v>0</v>
      </c>
      <c r="DD119" s="12">
        <f t="shared" si="104"/>
        <v>0</v>
      </c>
      <c r="DE119" s="12">
        <f t="shared" si="104"/>
        <v>0</v>
      </c>
      <c r="DF119" s="12">
        <f t="shared" si="104"/>
        <v>0</v>
      </c>
      <c r="DG119" s="12">
        <f t="shared" si="104"/>
        <v>0</v>
      </c>
      <c r="DH119" s="12">
        <f t="shared" si="104"/>
        <v>0</v>
      </c>
      <c r="DI119" s="12">
        <f t="shared" si="104"/>
        <v>0</v>
      </c>
      <c r="DJ119" s="12">
        <f t="shared" si="104"/>
        <v>0</v>
      </c>
      <c r="DK119" s="12">
        <f t="shared" si="104"/>
        <v>0</v>
      </c>
      <c r="DL119" s="12">
        <f t="shared" si="104"/>
        <v>0</v>
      </c>
      <c r="DM119" s="12">
        <f t="shared" si="104"/>
        <v>0</v>
      </c>
      <c r="DN119" s="12">
        <f t="shared" si="104"/>
        <v>0</v>
      </c>
      <c r="DO119" s="12">
        <f t="shared" si="104"/>
        <v>0</v>
      </c>
      <c r="DP119" s="12">
        <f t="shared" si="104"/>
        <v>0</v>
      </c>
      <c r="DQ119" s="12">
        <f t="shared" si="104"/>
        <v>0</v>
      </c>
      <c r="DR119" s="12">
        <f t="shared" si="104"/>
        <v>0</v>
      </c>
      <c r="DS119" s="12">
        <f t="shared" si="104"/>
        <v>0</v>
      </c>
      <c r="DT119" s="12">
        <f t="shared" si="104"/>
        <v>0</v>
      </c>
      <c r="DU119" s="12">
        <f t="shared" si="104"/>
        <v>0</v>
      </c>
      <c r="DV119" s="12">
        <f t="shared" si="104"/>
        <v>0</v>
      </c>
      <c r="DW119" s="12">
        <f t="shared" si="104"/>
        <v>0</v>
      </c>
      <c r="DX119" s="12">
        <f t="shared" si="104"/>
        <v>0</v>
      </c>
      <c r="DY119" s="12">
        <f t="shared" si="104"/>
        <v>0</v>
      </c>
      <c r="DZ119" s="12">
        <f t="shared" si="104"/>
        <v>0</v>
      </c>
      <c r="EA119" s="12">
        <f t="shared" si="104"/>
        <v>0</v>
      </c>
      <c r="EB119" s="12">
        <f t="shared" si="104"/>
        <v>0</v>
      </c>
      <c r="EC119" s="12">
        <f t="shared" si="104"/>
        <v>0</v>
      </c>
      <c r="ED119" s="12">
        <f t="shared" si="104"/>
        <v>0</v>
      </c>
      <c r="EE119" s="12">
        <f t="shared" si="104"/>
        <v>0</v>
      </c>
      <c r="EF119" s="12">
        <f t="shared" si="104"/>
        <v>0</v>
      </c>
      <c r="EG119" s="12">
        <f t="shared" ref="EG119:FH119" si="105">-EG115*$D$58*$D$29</f>
        <v>0</v>
      </c>
      <c r="EH119" s="12">
        <f t="shared" si="105"/>
        <v>0</v>
      </c>
      <c r="EI119" s="12">
        <f t="shared" si="105"/>
        <v>0</v>
      </c>
      <c r="EJ119" s="12">
        <f t="shared" si="105"/>
        <v>0</v>
      </c>
      <c r="EK119" s="12">
        <f t="shared" si="105"/>
        <v>0</v>
      </c>
      <c r="EL119" s="12">
        <f t="shared" si="105"/>
        <v>0</v>
      </c>
      <c r="EM119" s="12">
        <f t="shared" si="105"/>
        <v>0</v>
      </c>
      <c r="EN119" s="12">
        <f t="shared" si="105"/>
        <v>0</v>
      </c>
      <c r="EO119" s="12">
        <f t="shared" si="105"/>
        <v>0</v>
      </c>
      <c r="EP119" s="12">
        <f t="shared" si="105"/>
        <v>0</v>
      </c>
      <c r="EQ119" s="12">
        <f t="shared" si="105"/>
        <v>0</v>
      </c>
      <c r="ER119" s="12">
        <f t="shared" si="105"/>
        <v>0</v>
      </c>
      <c r="ES119" s="12">
        <f t="shared" si="105"/>
        <v>0</v>
      </c>
      <c r="ET119" s="12">
        <f t="shared" si="105"/>
        <v>0</v>
      </c>
      <c r="EU119" s="12">
        <f t="shared" si="105"/>
        <v>0</v>
      </c>
      <c r="EV119" s="12">
        <f t="shared" si="105"/>
        <v>0</v>
      </c>
      <c r="EW119" s="12">
        <f t="shared" si="105"/>
        <v>0</v>
      </c>
      <c r="EX119" s="12">
        <f t="shared" si="105"/>
        <v>0</v>
      </c>
      <c r="EY119" s="12">
        <f t="shared" si="105"/>
        <v>0</v>
      </c>
      <c r="EZ119" s="12">
        <f t="shared" si="105"/>
        <v>0</v>
      </c>
      <c r="FA119" s="12">
        <f t="shared" si="105"/>
        <v>0</v>
      </c>
      <c r="FB119" s="12">
        <f t="shared" si="105"/>
        <v>0</v>
      </c>
      <c r="FC119" s="12">
        <f t="shared" si="105"/>
        <v>0</v>
      </c>
      <c r="FD119" s="12">
        <f t="shared" si="105"/>
        <v>0</v>
      </c>
      <c r="FE119" s="12">
        <f t="shared" si="105"/>
        <v>0</v>
      </c>
      <c r="FF119" s="12">
        <f t="shared" si="105"/>
        <v>0</v>
      </c>
      <c r="FG119" s="12">
        <f t="shared" si="105"/>
        <v>0</v>
      </c>
      <c r="FH119" s="12">
        <f t="shared" si="105"/>
        <v>0</v>
      </c>
    </row>
    <row r="120" spans="1:164" x14ac:dyDescent="0.2">
      <c r="A120" s="10"/>
      <c r="B120" s="10"/>
      <c r="C120" s="10" t="s">
        <v>913</v>
      </c>
      <c r="D120" s="10"/>
      <c r="E120" s="10"/>
      <c r="F120" s="10"/>
      <c r="G120" s="10"/>
      <c r="H120" s="12">
        <f t="shared" si="80"/>
        <v>0</v>
      </c>
      <c r="I120" s="12">
        <f t="shared" ref="I120:AN120" si="106">-IF(AND(I114&gt;=1,I114&lt;=$D$31),$D$59*$D$23/$D$31,0)</f>
        <v>0</v>
      </c>
      <c r="J120" s="12">
        <f t="shared" si="106"/>
        <v>0</v>
      </c>
      <c r="K120" s="12">
        <f t="shared" si="106"/>
        <v>0</v>
      </c>
      <c r="L120" s="12">
        <f t="shared" si="106"/>
        <v>0</v>
      </c>
      <c r="M120" s="12">
        <f t="shared" si="106"/>
        <v>0</v>
      </c>
      <c r="N120" s="12">
        <f t="shared" si="106"/>
        <v>0</v>
      </c>
      <c r="O120" s="12">
        <f t="shared" si="106"/>
        <v>0</v>
      </c>
      <c r="P120" s="12">
        <f t="shared" si="106"/>
        <v>0</v>
      </c>
      <c r="Q120" s="12">
        <f t="shared" si="106"/>
        <v>0</v>
      </c>
      <c r="R120" s="12">
        <f t="shared" si="106"/>
        <v>0</v>
      </c>
      <c r="S120" s="12">
        <f t="shared" si="106"/>
        <v>0</v>
      </c>
      <c r="T120" s="12">
        <f t="shared" si="106"/>
        <v>0</v>
      </c>
      <c r="U120" s="12">
        <f t="shared" si="106"/>
        <v>0</v>
      </c>
      <c r="V120" s="12">
        <f t="shared" si="106"/>
        <v>0</v>
      </c>
      <c r="W120" s="12">
        <f t="shared" si="106"/>
        <v>0</v>
      </c>
      <c r="X120" s="12">
        <f t="shared" si="106"/>
        <v>0</v>
      </c>
      <c r="Y120" s="12">
        <f t="shared" si="106"/>
        <v>0</v>
      </c>
      <c r="Z120" s="12">
        <f t="shared" si="106"/>
        <v>0</v>
      </c>
      <c r="AA120" s="12">
        <f t="shared" si="106"/>
        <v>0</v>
      </c>
      <c r="AB120" s="12">
        <f t="shared" si="106"/>
        <v>0</v>
      </c>
      <c r="AC120" s="12">
        <f t="shared" si="106"/>
        <v>0</v>
      </c>
      <c r="AD120" s="12">
        <f t="shared" si="106"/>
        <v>0</v>
      </c>
      <c r="AE120" s="12">
        <f t="shared" si="106"/>
        <v>0</v>
      </c>
      <c r="AF120" s="12">
        <f t="shared" si="106"/>
        <v>0</v>
      </c>
      <c r="AG120" s="12">
        <f t="shared" si="106"/>
        <v>0</v>
      </c>
      <c r="AH120" s="12">
        <f t="shared" si="106"/>
        <v>0</v>
      </c>
      <c r="AI120" s="12">
        <f t="shared" si="106"/>
        <v>0</v>
      </c>
      <c r="AJ120" s="12">
        <f t="shared" si="106"/>
        <v>0</v>
      </c>
      <c r="AK120" s="12">
        <f t="shared" si="106"/>
        <v>0</v>
      </c>
      <c r="AL120" s="12">
        <f t="shared" si="106"/>
        <v>0</v>
      </c>
      <c r="AM120" s="12">
        <f t="shared" si="106"/>
        <v>0</v>
      </c>
      <c r="AN120" s="12">
        <f t="shared" si="106"/>
        <v>0</v>
      </c>
      <c r="AO120" s="12">
        <f t="shared" ref="AO120:BT120" si="107">-IF(AND(AO114&gt;=1,AO114&lt;=$D$31),$D$59*$D$23/$D$31,0)</f>
        <v>0</v>
      </c>
      <c r="AP120" s="12">
        <f t="shared" si="107"/>
        <v>0</v>
      </c>
      <c r="AQ120" s="12">
        <f t="shared" si="107"/>
        <v>0</v>
      </c>
      <c r="AR120" s="12">
        <f t="shared" si="107"/>
        <v>0</v>
      </c>
      <c r="AS120" s="12">
        <f t="shared" si="107"/>
        <v>0</v>
      </c>
      <c r="AT120" s="12">
        <f t="shared" si="107"/>
        <v>0</v>
      </c>
      <c r="AU120" s="12">
        <f t="shared" si="107"/>
        <v>0</v>
      </c>
      <c r="AV120" s="12">
        <f t="shared" si="107"/>
        <v>0</v>
      </c>
      <c r="AW120" s="12">
        <f t="shared" si="107"/>
        <v>0</v>
      </c>
      <c r="AX120" s="12">
        <f t="shared" si="107"/>
        <v>0</v>
      </c>
      <c r="AY120" s="12">
        <f t="shared" si="107"/>
        <v>0</v>
      </c>
      <c r="AZ120" s="12">
        <f t="shared" si="107"/>
        <v>0</v>
      </c>
      <c r="BA120" s="12">
        <f t="shared" si="107"/>
        <v>0</v>
      </c>
      <c r="BB120" s="12">
        <f t="shared" si="107"/>
        <v>0</v>
      </c>
      <c r="BC120" s="12">
        <f t="shared" si="107"/>
        <v>0</v>
      </c>
      <c r="BD120" s="12">
        <f t="shared" si="107"/>
        <v>0</v>
      </c>
      <c r="BE120" s="12">
        <f t="shared" si="107"/>
        <v>0</v>
      </c>
      <c r="BF120" s="12">
        <f t="shared" si="107"/>
        <v>0</v>
      </c>
      <c r="BG120" s="12">
        <f t="shared" si="107"/>
        <v>0</v>
      </c>
      <c r="BH120" s="12">
        <f t="shared" si="107"/>
        <v>0</v>
      </c>
      <c r="BI120" s="12">
        <f t="shared" si="107"/>
        <v>0</v>
      </c>
      <c r="BJ120" s="12">
        <f t="shared" si="107"/>
        <v>0</v>
      </c>
      <c r="BK120" s="12">
        <f t="shared" si="107"/>
        <v>0</v>
      </c>
      <c r="BL120" s="12">
        <f t="shared" si="107"/>
        <v>0</v>
      </c>
      <c r="BM120" s="12">
        <f t="shared" si="107"/>
        <v>0</v>
      </c>
      <c r="BN120" s="12">
        <f t="shared" si="107"/>
        <v>0</v>
      </c>
      <c r="BO120" s="12">
        <f t="shared" si="107"/>
        <v>0</v>
      </c>
      <c r="BP120" s="12">
        <f t="shared" si="107"/>
        <v>0</v>
      </c>
      <c r="BQ120" s="12">
        <f t="shared" si="107"/>
        <v>0</v>
      </c>
      <c r="BR120" s="12">
        <f t="shared" si="107"/>
        <v>0</v>
      </c>
      <c r="BS120" s="12">
        <f t="shared" si="107"/>
        <v>0</v>
      </c>
      <c r="BT120" s="12">
        <f t="shared" si="107"/>
        <v>0</v>
      </c>
      <c r="BU120" s="12">
        <f t="shared" ref="BU120:CZ120" si="108">-IF(AND(BU114&gt;=1,BU114&lt;=$D$31),$D$59*$D$23/$D$31,0)</f>
        <v>0</v>
      </c>
      <c r="BV120" s="12">
        <f t="shared" si="108"/>
        <v>0</v>
      </c>
      <c r="BW120" s="12">
        <f t="shared" si="108"/>
        <v>0</v>
      </c>
      <c r="BX120" s="12">
        <f t="shared" si="108"/>
        <v>0</v>
      </c>
      <c r="BY120" s="12">
        <f t="shared" si="108"/>
        <v>0</v>
      </c>
      <c r="BZ120" s="12">
        <f t="shared" si="108"/>
        <v>0</v>
      </c>
      <c r="CA120" s="12">
        <f t="shared" si="108"/>
        <v>0</v>
      </c>
      <c r="CB120" s="12">
        <f t="shared" si="108"/>
        <v>0</v>
      </c>
      <c r="CC120" s="12">
        <f t="shared" si="108"/>
        <v>0</v>
      </c>
      <c r="CD120" s="12">
        <f t="shared" si="108"/>
        <v>0</v>
      </c>
      <c r="CE120" s="12">
        <f t="shared" si="108"/>
        <v>0</v>
      </c>
      <c r="CF120" s="12">
        <f t="shared" si="108"/>
        <v>0</v>
      </c>
      <c r="CG120" s="12">
        <f t="shared" si="108"/>
        <v>0</v>
      </c>
      <c r="CH120" s="12">
        <f t="shared" si="108"/>
        <v>0</v>
      </c>
      <c r="CI120" s="12">
        <f t="shared" si="108"/>
        <v>0</v>
      </c>
      <c r="CJ120" s="12">
        <f t="shared" si="108"/>
        <v>0</v>
      </c>
      <c r="CK120" s="12">
        <f t="shared" si="108"/>
        <v>0</v>
      </c>
      <c r="CL120" s="12">
        <f t="shared" si="108"/>
        <v>0</v>
      </c>
      <c r="CM120" s="12">
        <f t="shared" si="108"/>
        <v>0</v>
      </c>
      <c r="CN120" s="12">
        <f t="shared" si="108"/>
        <v>0</v>
      </c>
      <c r="CO120" s="12">
        <f t="shared" si="108"/>
        <v>0</v>
      </c>
      <c r="CP120" s="12">
        <f t="shared" si="108"/>
        <v>0</v>
      </c>
      <c r="CQ120" s="12">
        <f t="shared" si="108"/>
        <v>0</v>
      </c>
      <c r="CR120" s="12">
        <f t="shared" si="108"/>
        <v>0</v>
      </c>
      <c r="CS120" s="12">
        <f t="shared" si="108"/>
        <v>0</v>
      </c>
      <c r="CT120" s="12">
        <f t="shared" si="108"/>
        <v>0</v>
      </c>
      <c r="CU120" s="12">
        <f t="shared" si="108"/>
        <v>0</v>
      </c>
      <c r="CV120" s="12">
        <f t="shared" si="108"/>
        <v>0</v>
      </c>
      <c r="CW120" s="12">
        <f t="shared" si="108"/>
        <v>0</v>
      </c>
      <c r="CX120" s="12">
        <f t="shared" si="108"/>
        <v>0</v>
      </c>
      <c r="CY120" s="12">
        <f t="shared" si="108"/>
        <v>0</v>
      </c>
      <c r="CZ120" s="12">
        <f t="shared" si="108"/>
        <v>0</v>
      </c>
      <c r="DA120" s="12">
        <f t="shared" ref="DA120:EF120" si="109">-IF(AND(DA114&gt;=1,DA114&lt;=$D$31),$D$59*$D$23/$D$31,0)</f>
        <v>0</v>
      </c>
      <c r="DB120" s="12">
        <f t="shared" si="109"/>
        <v>0</v>
      </c>
      <c r="DC120" s="12">
        <f t="shared" si="109"/>
        <v>0</v>
      </c>
      <c r="DD120" s="12">
        <f t="shared" si="109"/>
        <v>0</v>
      </c>
      <c r="DE120" s="12">
        <f t="shared" si="109"/>
        <v>0</v>
      </c>
      <c r="DF120" s="12">
        <f t="shared" si="109"/>
        <v>0</v>
      </c>
      <c r="DG120" s="12">
        <f t="shared" si="109"/>
        <v>0</v>
      </c>
      <c r="DH120" s="12">
        <f t="shared" si="109"/>
        <v>0</v>
      </c>
      <c r="DI120" s="12">
        <f t="shared" si="109"/>
        <v>0</v>
      </c>
      <c r="DJ120" s="12">
        <f t="shared" si="109"/>
        <v>0</v>
      </c>
      <c r="DK120" s="12">
        <f t="shared" si="109"/>
        <v>0</v>
      </c>
      <c r="DL120" s="12">
        <f t="shared" si="109"/>
        <v>0</v>
      </c>
      <c r="DM120" s="12">
        <f t="shared" si="109"/>
        <v>0</v>
      </c>
      <c r="DN120" s="12">
        <f t="shared" si="109"/>
        <v>0</v>
      </c>
      <c r="DO120" s="12">
        <f t="shared" si="109"/>
        <v>0</v>
      </c>
      <c r="DP120" s="12">
        <f t="shared" si="109"/>
        <v>0</v>
      </c>
      <c r="DQ120" s="12">
        <f t="shared" si="109"/>
        <v>0</v>
      </c>
      <c r="DR120" s="12">
        <f t="shared" si="109"/>
        <v>0</v>
      </c>
      <c r="DS120" s="12">
        <f t="shared" si="109"/>
        <v>0</v>
      </c>
      <c r="DT120" s="12">
        <f t="shared" si="109"/>
        <v>0</v>
      </c>
      <c r="DU120" s="12">
        <f t="shared" si="109"/>
        <v>0</v>
      </c>
      <c r="DV120" s="12">
        <f t="shared" si="109"/>
        <v>0</v>
      </c>
      <c r="DW120" s="12">
        <f t="shared" si="109"/>
        <v>0</v>
      </c>
      <c r="DX120" s="12">
        <f t="shared" si="109"/>
        <v>0</v>
      </c>
      <c r="DY120" s="12">
        <f t="shared" si="109"/>
        <v>0</v>
      </c>
      <c r="DZ120" s="12">
        <f t="shared" si="109"/>
        <v>0</v>
      </c>
      <c r="EA120" s="12">
        <f t="shared" si="109"/>
        <v>0</v>
      </c>
      <c r="EB120" s="12">
        <f t="shared" si="109"/>
        <v>0</v>
      </c>
      <c r="EC120" s="12">
        <f t="shared" si="109"/>
        <v>0</v>
      </c>
      <c r="ED120" s="12">
        <f t="shared" si="109"/>
        <v>0</v>
      </c>
      <c r="EE120" s="12">
        <f t="shared" si="109"/>
        <v>0</v>
      </c>
      <c r="EF120" s="12">
        <f t="shared" si="109"/>
        <v>0</v>
      </c>
      <c r="EG120" s="12">
        <f t="shared" ref="EG120:FH120" si="110">-IF(AND(EG114&gt;=1,EG114&lt;=$D$31),$D$59*$D$23/$D$31,0)</f>
        <v>0</v>
      </c>
      <c r="EH120" s="12">
        <f t="shared" si="110"/>
        <v>0</v>
      </c>
      <c r="EI120" s="12">
        <f t="shared" si="110"/>
        <v>0</v>
      </c>
      <c r="EJ120" s="12">
        <f t="shared" si="110"/>
        <v>0</v>
      </c>
      <c r="EK120" s="12">
        <f t="shared" si="110"/>
        <v>0</v>
      </c>
      <c r="EL120" s="12">
        <f t="shared" si="110"/>
        <v>0</v>
      </c>
      <c r="EM120" s="12">
        <f t="shared" si="110"/>
        <v>0</v>
      </c>
      <c r="EN120" s="12">
        <f t="shared" si="110"/>
        <v>0</v>
      </c>
      <c r="EO120" s="12">
        <f t="shared" si="110"/>
        <v>0</v>
      </c>
      <c r="EP120" s="12">
        <f t="shared" si="110"/>
        <v>0</v>
      </c>
      <c r="EQ120" s="12">
        <f t="shared" si="110"/>
        <v>0</v>
      </c>
      <c r="ER120" s="12">
        <f t="shared" si="110"/>
        <v>0</v>
      </c>
      <c r="ES120" s="12">
        <f t="shared" si="110"/>
        <v>0</v>
      </c>
      <c r="ET120" s="12">
        <f t="shared" si="110"/>
        <v>0</v>
      </c>
      <c r="EU120" s="12">
        <f t="shared" si="110"/>
        <v>0</v>
      </c>
      <c r="EV120" s="12">
        <f t="shared" si="110"/>
        <v>0</v>
      </c>
      <c r="EW120" s="12">
        <f t="shared" si="110"/>
        <v>0</v>
      </c>
      <c r="EX120" s="12">
        <f t="shared" si="110"/>
        <v>0</v>
      </c>
      <c r="EY120" s="12">
        <f t="shared" si="110"/>
        <v>0</v>
      </c>
      <c r="EZ120" s="12">
        <f t="shared" si="110"/>
        <v>0</v>
      </c>
      <c r="FA120" s="12">
        <f t="shared" si="110"/>
        <v>0</v>
      </c>
      <c r="FB120" s="12">
        <f t="shared" si="110"/>
        <v>0</v>
      </c>
      <c r="FC120" s="12">
        <f t="shared" si="110"/>
        <v>0</v>
      </c>
      <c r="FD120" s="12">
        <f t="shared" si="110"/>
        <v>0</v>
      </c>
      <c r="FE120" s="12">
        <f t="shared" si="110"/>
        <v>0</v>
      </c>
      <c r="FF120" s="12">
        <f t="shared" si="110"/>
        <v>0</v>
      </c>
      <c r="FG120" s="12">
        <f t="shared" si="110"/>
        <v>0</v>
      </c>
      <c r="FH120" s="12">
        <f t="shared" si="110"/>
        <v>0</v>
      </c>
    </row>
    <row r="121" spans="1:164" x14ac:dyDescent="0.2">
      <c r="A121" s="10"/>
      <c r="B121" s="10"/>
      <c r="C121" s="10" t="s">
        <v>914</v>
      </c>
      <c r="D121" s="10"/>
      <c r="E121" s="10"/>
      <c r="F121" s="10"/>
      <c r="G121" s="10"/>
      <c r="H121" s="12">
        <f t="shared" si="80"/>
        <v>-5538.4000000000005</v>
      </c>
      <c r="I121" s="12">
        <f t="shared" ref="I121:AN121" si="111">-IF(AND(I$6&gt;=EDATE($D$32,-3),I$6&lt;EDATE($D$32,15)),$D$60*$D$23/18,0)</f>
        <v>0</v>
      </c>
      <c r="J121" s="12">
        <f t="shared" si="111"/>
        <v>0</v>
      </c>
      <c r="K121" s="12">
        <f t="shared" si="111"/>
        <v>0</v>
      </c>
      <c r="L121" s="12">
        <f t="shared" si="111"/>
        <v>0</v>
      </c>
      <c r="M121" s="12">
        <f t="shared" si="111"/>
        <v>0</v>
      </c>
      <c r="N121" s="12">
        <f t="shared" si="111"/>
        <v>0</v>
      </c>
      <c r="O121" s="12">
        <f t="shared" si="111"/>
        <v>0</v>
      </c>
      <c r="P121" s="12">
        <f t="shared" si="111"/>
        <v>0</v>
      </c>
      <c r="Q121" s="12">
        <f t="shared" si="111"/>
        <v>0</v>
      </c>
      <c r="R121" s="12">
        <f t="shared" si="111"/>
        <v>-307.68888888888893</v>
      </c>
      <c r="S121" s="12">
        <f t="shared" si="111"/>
        <v>-307.68888888888893</v>
      </c>
      <c r="T121" s="12">
        <f t="shared" si="111"/>
        <v>-307.68888888888893</v>
      </c>
      <c r="U121" s="12">
        <f t="shared" si="111"/>
        <v>-307.68888888888893</v>
      </c>
      <c r="V121" s="12">
        <f t="shared" si="111"/>
        <v>-307.68888888888893</v>
      </c>
      <c r="W121" s="12">
        <f t="shared" si="111"/>
        <v>-307.68888888888893</v>
      </c>
      <c r="X121" s="12">
        <f t="shared" si="111"/>
        <v>-307.68888888888893</v>
      </c>
      <c r="Y121" s="12">
        <f t="shared" si="111"/>
        <v>-307.68888888888893</v>
      </c>
      <c r="Z121" s="12">
        <f t="shared" si="111"/>
        <v>-307.68888888888893</v>
      </c>
      <c r="AA121" s="12">
        <f t="shared" si="111"/>
        <v>-307.68888888888893</v>
      </c>
      <c r="AB121" s="12">
        <f t="shared" si="111"/>
        <v>-307.68888888888893</v>
      </c>
      <c r="AC121" s="12">
        <f t="shared" si="111"/>
        <v>-307.68888888888893</v>
      </c>
      <c r="AD121" s="12">
        <f t="shared" si="111"/>
        <v>-307.68888888888893</v>
      </c>
      <c r="AE121" s="12">
        <f t="shared" si="111"/>
        <v>-307.68888888888893</v>
      </c>
      <c r="AF121" s="12">
        <f t="shared" si="111"/>
        <v>-307.68888888888893</v>
      </c>
      <c r="AG121" s="12">
        <f t="shared" si="111"/>
        <v>-307.68888888888893</v>
      </c>
      <c r="AH121" s="12">
        <f t="shared" si="111"/>
        <v>-307.68888888888893</v>
      </c>
      <c r="AI121" s="12">
        <f t="shared" si="111"/>
        <v>-307.68888888888893</v>
      </c>
      <c r="AJ121" s="12">
        <f t="shared" si="111"/>
        <v>0</v>
      </c>
      <c r="AK121" s="12">
        <f t="shared" si="111"/>
        <v>0</v>
      </c>
      <c r="AL121" s="12">
        <f t="shared" si="111"/>
        <v>0</v>
      </c>
      <c r="AM121" s="12">
        <f t="shared" si="111"/>
        <v>0</v>
      </c>
      <c r="AN121" s="12">
        <f t="shared" si="111"/>
        <v>0</v>
      </c>
      <c r="AO121" s="12">
        <f t="shared" ref="AO121:BT121" si="112">-IF(AND(AO$6&gt;=EDATE($D$32,-3),AO$6&lt;EDATE($D$32,15)),$D$60*$D$23/18,0)</f>
        <v>0</v>
      </c>
      <c r="AP121" s="12">
        <f t="shared" si="112"/>
        <v>0</v>
      </c>
      <c r="AQ121" s="12">
        <f t="shared" si="112"/>
        <v>0</v>
      </c>
      <c r="AR121" s="12">
        <f t="shared" si="112"/>
        <v>0</v>
      </c>
      <c r="AS121" s="12">
        <f t="shared" si="112"/>
        <v>0</v>
      </c>
      <c r="AT121" s="12">
        <f t="shared" si="112"/>
        <v>0</v>
      </c>
      <c r="AU121" s="12">
        <f t="shared" si="112"/>
        <v>0</v>
      </c>
      <c r="AV121" s="12">
        <f t="shared" si="112"/>
        <v>0</v>
      </c>
      <c r="AW121" s="12">
        <f t="shared" si="112"/>
        <v>0</v>
      </c>
      <c r="AX121" s="12">
        <f t="shared" si="112"/>
        <v>0</v>
      </c>
      <c r="AY121" s="12">
        <f t="shared" si="112"/>
        <v>0</v>
      </c>
      <c r="AZ121" s="12">
        <f t="shared" si="112"/>
        <v>0</v>
      </c>
      <c r="BA121" s="12">
        <f t="shared" si="112"/>
        <v>0</v>
      </c>
      <c r="BB121" s="12">
        <f t="shared" si="112"/>
        <v>0</v>
      </c>
      <c r="BC121" s="12">
        <f t="shared" si="112"/>
        <v>0</v>
      </c>
      <c r="BD121" s="12">
        <f t="shared" si="112"/>
        <v>0</v>
      </c>
      <c r="BE121" s="12">
        <f t="shared" si="112"/>
        <v>0</v>
      </c>
      <c r="BF121" s="12">
        <f t="shared" si="112"/>
        <v>0</v>
      </c>
      <c r="BG121" s="12">
        <f t="shared" si="112"/>
        <v>0</v>
      </c>
      <c r="BH121" s="12">
        <f t="shared" si="112"/>
        <v>0</v>
      </c>
      <c r="BI121" s="12">
        <f t="shared" si="112"/>
        <v>0</v>
      </c>
      <c r="BJ121" s="12">
        <f t="shared" si="112"/>
        <v>0</v>
      </c>
      <c r="BK121" s="12">
        <f t="shared" si="112"/>
        <v>0</v>
      </c>
      <c r="BL121" s="12">
        <f t="shared" si="112"/>
        <v>0</v>
      </c>
      <c r="BM121" s="12">
        <f t="shared" si="112"/>
        <v>0</v>
      </c>
      <c r="BN121" s="12">
        <f t="shared" si="112"/>
        <v>0</v>
      </c>
      <c r="BO121" s="12">
        <f t="shared" si="112"/>
        <v>0</v>
      </c>
      <c r="BP121" s="12">
        <f t="shared" si="112"/>
        <v>0</v>
      </c>
      <c r="BQ121" s="12">
        <f t="shared" si="112"/>
        <v>0</v>
      </c>
      <c r="BR121" s="12">
        <f t="shared" si="112"/>
        <v>0</v>
      </c>
      <c r="BS121" s="12">
        <f t="shared" si="112"/>
        <v>0</v>
      </c>
      <c r="BT121" s="12">
        <f t="shared" si="112"/>
        <v>0</v>
      </c>
      <c r="BU121" s="12">
        <f t="shared" ref="BU121:CZ121" si="113">-IF(AND(BU$6&gt;=EDATE($D$32,-3),BU$6&lt;EDATE($D$32,15)),$D$60*$D$23/18,0)</f>
        <v>0</v>
      </c>
      <c r="BV121" s="12">
        <f t="shared" si="113"/>
        <v>0</v>
      </c>
      <c r="BW121" s="12">
        <f t="shared" si="113"/>
        <v>0</v>
      </c>
      <c r="BX121" s="12">
        <f t="shared" si="113"/>
        <v>0</v>
      </c>
      <c r="BY121" s="12">
        <f t="shared" si="113"/>
        <v>0</v>
      </c>
      <c r="BZ121" s="12">
        <f t="shared" si="113"/>
        <v>0</v>
      </c>
      <c r="CA121" s="12">
        <f t="shared" si="113"/>
        <v>0</v>
      </c>
      <c r="CB121" s="12">
        <f t="shared" si="113"/>
        <v>0</v>
      </c>
      <c r="CC121" s="12">
        <f t="shared" si="113"/>
        <v>0</v>
      </c>
      <c r="CD121" s="12">
        <f t="shared" si="113"/>
        <v>0</v>
      </c>
      <c r="CE121" s="12">
        <f t="shared" si="113"/>
        <v>0</v>
      </c>
      <c r="CF121" s="12">
        <f t="shared" si="113"/>
        <v>0</v>
      </c>
      <c r="CG121" s="12">
        <f t="shared" si="113"/>
        <v>0</v>
      </c>
      <c r="CH121" s="12">
        <f t="shared" si="113"/>
        <v>0</v>
      </c>
      <c r="CI121" s="12">
        <f t="shared" si="113"/>
        <v>0</v>
      </c>
      <c r="CJ121" s="12">
        <f t="shared" si="113"/>
        <v>0</v>
      </c>
      <c r="CK121" s="12">
        <f t="shared" si="113"/>
        <v>0</v>
      </c>
      <c r="CL121" s="12">
        <f t="shared" si="113"/>
        <v>0</v>
      </c>
      <c r="CM121" s="12">
        <f t="shared" si="113"/>
        <v>0</v>
      </c>
      <c r="CN121" s="12">
        <f t="shared" si="113"/>
        <v>0</v>
      </c>
      <c r="CO121" s="12">
        <f t="shared" si="113"/>
        <v>0</v>
      </c>
      <c r="CP121" s="12">
        <f t="shared" si="113"/>
        <v>0</v>
      </c>
      <c r="CQ121" s="12">
        <f t="shared" si="113"/>
        <v>0</v>
      </c>
      <c r="CR121" s="12">
        <f t="shared" si="113"/>
        <v>0</v>
      </c>
      <c r="CS121" s="12">
        <f t="shared" si="113"/>
        <v>0</v>
      </c>
      <c r="CT121" s="12">
        <f t="shared" si="113"/>
        <v>0</v>
      </c>
      <c r="CU121" s="12">
        <f t="shared" si="113"/>
        <v>0</v>
      </c>
      <c r="CV121" s="12">
        <f t="shared" si="113"/>
        <v>0</v>
      </c>
      <c r="CW121" s="12">
        <f t="shared" si="113"/>
        <v>0</v>
      </c>
      <c r="CX121" s="12">
        <f t="shared" si="113"/>
        <v>0</v>
      </c>
      <c r="CY121" s="12">
        <f t="shared" si="113"/>
        <v>0</v>
      </c>
      <c r="CZ121" s="12">
        <f t="shared" si="113"/>
        <v>0</v>
      </c>
      <c r="DA121" s="12">
        <f t="shared" ref="DA121:EF121" si="114">-IF(AND(DA$6&gt;=EDATE($D$32,-3),DA$6&lt;EDATE($D$32,15)),$D$60*$D$23/18,0)</f>
        <v>0</v>
      </c>
      <c r="DB121" s="12">
        <f t="shared" si="114"/>
        <v>0</v>
      </c>
      <c r="DC121" s="12">
        <f t="shared" si="114"/>
        <v>0</v>
      </c>
      <c r="DD121" s="12">
        <f t="shared" si="114"/>
        <v>0</v>
      </c>
      <c r="DE121" s="12">
        <f t="shared" si="114"/>
        <v>0</v>
      </c>
      <c r="DF121" s="12">
        <f t="shared" si="114"/>
        <v>0</v>
      </c>
      <c r="DG121" s="12">
        <f t="shared" si="114"/>
        <v>0</v>
      </c>
      <c r="DH121" s="12">
        <f t="shared" si="114"/>
        <v>0</v>
      </c>
      <c r="DI121" s="12">
        <f t="shared" si="114"/>
        <v>0</v>
      </c>
      <c r="DJ121" s="12">
        <f t="shared" si="114"/>
        <v>0</v>
      </c>
      <c r="DK121" s="12">
        <f t="shared" si="114"/>
        <v>0</v>
      </c>
      <c r="DL121" s="12">
        <f t="shared" si="114"/>
        <v>0</v>
      </c>
      <c r="DM121" s="12">
        <f t="shared" si="114"/>
        <v>0</v>
      </c>
      <c r="DN121" s="12">
        <f t="shared" si="114"/>
        <v>0</v>
      </c>
      <c r="DO121" s="12">
        <f t="shared" si="114"/>
        <v>0</v>
      </c>
      <c r="DP121" s="12">
        <f t="shared" si="114"/>
        <v>0</v>
      </c>
      <c r="DQ121" s="12">
        <f t="shared" si="114"/>
        <v>0</v>
      </c>
      <c r="DR121" s="12">
        <f t="shared" si="114"/>
        <v>0</v>
      </c>
      <c r="DS121" s="12">
        <f t="shared" si="114"/>
        <v>0</v>
      </c>
      <c r="DT121" s="12">
        <f t="shared" si="114"/>
        <v>0</v>
      </c>
      <c r="DU121" s="12">
        <f t="shared" si="114"/>
        <v>0</v>
      </c>
      <c r="DV121" s="12">
        <f t="shared" si="114"/>
        <v>0</v>
      </c>
      <c r="DW121" s="12">
        <f t="shared" si="114"/>
        <v>0</v>
      </c>
      <c r="DX121" s="12">
        <f t="shared" si="114"/>
        <v>0</v>
      </c>
      <c r="DY121" s="12">
        <f t="shared" si="114"/>
        <v>0</v>
      </c>
      <c r="DZ121" s="12">
        <f t="shared" si="114"/>
        <v>0</v>
      </c>
      <c r="EA121" s="12">
        <f t="shared" si="114"/>
        <v>0</v>
      </c>
      <c r="EB121" s="12">
        <f t="shared" si="114"/>
        <v>0</v>
      </c>
      <c r="EC121" s="12">
        <f t="shared" si="114"/>
        <v>0</v>
      </c>
      <c r="ED121" s="12">
        <f t="shared" si="114"/>
        <v>0</v>
      </c>
      <c r="EE121" s="12">
        <f t="shared" si="114"/>
        <v>0</v>
      </c>
      <c r="EF121" s="12">
        <f t="shared" si="114"/>
        <v>0</v>
      </c>
      <c r="EG121" s="12">
        <f t="shared" ref="EG121:FH121" si="115">-IF(AND(EG$6&gt;=EDATE($D$32,-3),EG$6&lt;EDATE($D$32,15)),$D$60*$D$23/18,0)</f>
        <v>0</v>
      </c>
      <c r="EH121" s="12">
        <f t="shared" si="115"/>
        <v>0</v>
      </c>
      <c r="EI121" s="12">
        <f t="shared" si="115"/>
        <v>0</v>
      </c>
      <c r="EJ121" s="12">
        <f t="shared" si="115"/>
        <v>0</v>
      </c>
      <c r="EK121" s="12">
        <f t="shared" si="115"/>
        <v>0</v>
      </c>
      <c r="EL121" s="12">
        <f t="shared" si="115"/>
        <v>0</v>
      </c>
      <c r="EM121" s="12">
        <f t="shared" si="115"/>
        <v>0</v>
      </c>
      <c r="EN121" s="12">
        <f t="shared" si="115"/>
        <v>0</v>
      </c>
      <c r="EO121" s="12">
        <f t="shared" si="115"/>
        <v>0</v>
      </c>
      <c r="EP121" s="12">
        <f t="shared" si="115"/>
        <v>0</v>
      </c>
      <c r="EQ121" s="12">
        <f t="shared" si="115"/>
        <v>0</v>
      </c>
      <c r="ER121" s="12">
        <f t="shared" si="115"/>
        <v>0</v>
      </c>
      <c r="ES121" s="12">
        <f t="shared" si="115"/>
        <v>0</v>
      </c>
      <c r="ET121" s="12">
        <f t="shared" si="115"/>
        <v>0</v>
      </c>
      <c r="EU121" s="12">
        <f t="shared" si="115"/>
        <v>0</v>
      </c>
      <c r="EV121" s="12">
        <f t="shared" si="115"/>
        <v>0</v>
      </c>
      <c r="EW121" s="12">
        <f t="shared" si="115"/>
        <v>0</v>
      </c>
      <c r="EX121" s="12">
        <f t="shared" si="115"/>
        <v>0</v>
      </c>
      <c r="EY121" s="12">
        <f t="shared" si="115"/>
        <v>0</v>
      </c>
      <c r="EZ121" s="12">
        <f t="shared" si="115"/>
        <v>0</v>
      </c>
      <c r="FA121" s="12">
        <f t="shared" si="115"/>
        <v>0</v>
      </c>
      <c r="FB121" s="12">
        <f t="shared" si="115"/>
        <v>0</v>
      </c>
      <c r="FC121" s="12">
        <f t="shared" si="115"/>
        <v>0</v>
      </c>
      <c r="FD121" s="12">
        <f t="shared" si="115"/>
        <v>0</v>
      </c>
      <c r="FE121" s="12">
        <f t="shared" si="115"/>
        <v>0</v>
      </c>
      <c r="FF121" s="12">
        <f t="shared" si="115"/>
        <v>0</v>
      </c>
      <c r="FG121" s="12">
        <f t="shared" si="115"/>
        <v>0</v>
      </c>
      <c r="FH121" s="12">
        <f t="shared" si="115"/>
        <v>0</v>
      </c>
    </row>
    <row r="122" spans="1:164" x14ac:dyDescent="0.2">
      <c r="A122" s="10"/>
      <c r="B122" s="10"/>
      <c r="C122" s="10" t="s">
        <v>955</v>
      </c>
      <c r="D122" s="10"/>
      <c r="E122" s="10"/>
      <c r="F122" s="10"/>
      <c r="G122" s="10"/>
      <c r="H122" s="12">
        <f t="shared" si="80"/>
        <v>0</v>
      </c>
      <c r="I122" s="12">
        <f t="shared" ref="I122:AN122" si="116">-IF(AND(I$6&gt;=$D$32,I$6&lt;EDATE($D$32,$D$70)),$D$71/$D$70,0)</f>
        <v>0</v>
      </c>
      <c r="J122" s="12">
        <f t="shared" si="116"/>
        <v>0</v>
      </c>
      <c r="K122" s="12">
        <f t="shared" si="116"/>
        <v>0</v>
      </c>
      <c r="L122" s="12">
        <f t="shared" si="116"/>
        <v>0</v>
      </c>
      <c r="M122" s="12">
        <f t="shared" si="116"/>
        <v>0</v>
      </c>
      <c r="N122" s="12">
        <f t="shared" si="116"/>
        <v>0</v>
      </c>
      <c r="O122" s="12">
        <f t="shared" si="116"/>
        <v>0</v>
      </c>
      <c r="P122" s="12">
        <f t="shared" si="116"/>
        <v>0</v>
      </c>
      <c r="Q122" s="12">
        <f t="shared" si="116"/>
        <v>0</v>
      </c>
      <c r="R122" s="12">
        <f t="shared" si="116"/>
        <v>0</v>
      </c>
      <c r="S122" s="12">
        <f t="shared" si="116"/>
        <v>0</v>
      </c>
      <c r="T122" s="12">
        <f t="shared" si="116"/>
        <v>0</v>
      </c>
      <c r="U122" s="12">
        <f t="shared" si="116"/>
        <v>0</v>
      </c>
      <c r="V122" s="12">
        <f t="shared" si="116"/>
        <v>0</v>
      </c>
      <c r="W122" s="12">
        <f t="shared" si="116"/>
        <v>0</v>
      </c>
      <c r="X122" s="12">
        <f t="shared" si="116"/>
        <v>0</v>
      </c>
      <c r="Y122" s="12">
        <f t="shared" si="116"/>
        <v>0</v>
      </c>
      <c r="Z122" s="12">
        <f t="shared" si="116"/>
        <v>0</v>
      </c>
      <c r="AA122" s="12">
        <f t="shared" si="116"/>
        <v>0</v>
      </c>
      <c r="AB122" s="12">
        <f t="shared" si="116"/>
        <v>0</v>
      </c>
      <c r="AC122" s="12">
        <f t="shared" si="116"/>
        <v>0</v>
      </c>
      <c r="AD122" s="12">
        <f t="shared" si="116"/>
        <v>0</v>
      </c>
      <c r="AE122" s="12">
        <f t="shared" si="116"/>
        <v>0</v>
      </c>
      <c r="AF122" s="12">
        <f t="shared" si="116"/>
        <v>0</v>
      </c>
      <c r="AG122" s="12">
        <f t="shared" si="116"/>
        <v>0</v>
      </c>
      <c r="AH122" s="12">
        <f t="shared" si="116"/>
        <v>0</v>
      </c>
      <c r="AI122" s="12">
        <f t="shared" si="116"/>
        <v>0</v>
      </c>
      <c r="AJ122" s="12">
        <f t="shared" si="116"/>
        <v>0</v>
      </c>
      <c r="AK122" s="12">
        <f t="shared" si="116"/>
        <v>0</v>
      </c>
      <c r="AL122" s="12">
        <f t="shared" si="116"/>
        <v>0</v>
      </c>
      <c r="AM122" s="12">
        <f t="shared" si="116"/>
        <v>0</v>
      </c>
      <c r="AN122" s="12">
        <f t="shared" si="116"/>
        <v>0</v>
      </c>
      <c r="AO122" s="12">
        <f t="shared" ref="AO122:BT122" si="117">-IF(AND(AO$6&gt;=$D$32,AO$6&lt;EDATE($D$32,$D$70)),$D$71/$D$70,0)</f>
        <v>0</v>
      </c>
      <c r="AP122" s="12">
        <f t="shared" si="117"/>
        <v>0</v>
      </c>
      <c r="AQ122" s="12">
        <f t="shared" si="117"/>
        <v>0</v>
      </c>
      <c r="AR122" s="12">
        <f t="shared" si="117"/>
        <v>0</v>
      </c>
      <c r="AS122" s="12">
        <f t="shared" si="117"/>
        <v>0</v>
      </c>
      <c r="AT122" s="12">
        <f t="shared" si="117"/>
        <v>0</v>
      </c>
      <c r="AU122" s="12">
        <f t="shared" si="117"/>
        <v>0</v>
      </c>
      <c r="AV122" s="12">
        <f t="shared" si="117"/>
        <v>0</v>
      </c>
      <c r="AW122" s="12">
        <f t="shared" si="117"/>
        <v>0</v>
      </c>
      <c r="AX122" s="12">
        <f t="shared" si="117"/>
        <v>0</v>
      </c>
      <c r="AY122" s="12">
        <f t="shared" si="117"/>
        <v>0</v>
      </c>
      <c r="AZ122" s="12">
        <f t="shared" si="117"/>
        <v>0</v>
      </c>
      <c r="BA122" s="12">
        <f t="shared" si="117"/>
        <v>0</v>
      </c>
      <c r="BB122" s="12">
        <f t="shared" si="117"/>
        <v>0</v>
      </c>
      <c r="BC122" s="12">
        <f t="shared" si="117"/>
        <v>0</v>
      </c>
      <c r="BD122" s="12">
        <f t="shared" si="117"/>
        <v>0</v>
      </c>
      <c r="BE122" s="12">
        <f t="shared" si="117"/>
        <v>0</v>
      </c>
      <c r="BF122" s="12">
        <f t="shared" si="117"/>
        <v>0</v>
      </c>
      <c r="BG122" s="12">
        <f t="shared" si="117"/>
        <v>0</v>
      </c>
      <c r="BH122" s="12">
        <f t="shared" si="117"/>
        <v>0</v>
      </c>
      <c r="BI122" s="12">
        <f t="shared" si="117"/>
        <v>0</v>
      </c>
      <c r="BJ122" s="12">
        <f t="shared" si="117"/>
        <v>0</v>
      </c>
      <c r="BK122" s="12">
        <f t="shared" si="117"/>
        <v>0</v>
      </c>
      <c r="BL122" s="12">
        <f t="shared" si="117"/>
        <v>0</v>
      </c>
      <c r="BM122" s="12">
        <f t="shared" si="117"/>
        <v>0</v>
      </c>
      <c r="BN122" s="12">
        <f t="shared" si="117"/>
        <v>0</v>
      </c>
      <c r="BO122" s="12">
        <f t="shared" si="117"/>
        <v>0</v>
      </c>
      <c r="BP122" s="12">
        <f t="shared" si="117"/>
        <v>0</v>
      </c>
      <c r="BQ122" s="12">
        <f t="shared" si="117"/>
        <v>0</v>
      </c>
      <c r="BR122" s="12">
        <f t="shared" si="117"/>
        <v>0</v>
      </c>
      <c r="BS122" s="12">
        <f t="shared" si="117"/>
        <v>0</v>
      </c>
      <c r="BT122" s="12">
        <f t="shared" si="117"/>
        <v>0</v>
      </c>
      <c r="BU122" s="12">
        <f t="shared" ref="BU122:CZ122" si="118">-IF(AND(BU$6&gt;=$D$32,BU$6&lt;EDATE($D$32,$D$70)),$D$71/$D$70,0)</f>
        <v>0</v>
      </c>
      <c r="BV122" s="12">
        <f t="shared" si="118"/>
        <v>0</v>
      </c>
      <c r="BW122" s="12">
        <f t="shared" si="118"/>
        <v>0</v>
      </c>
      <c r="BX122" s="12">
        <f t="shared" si="118"/>
        <v>0</v>
      </c>
      <c r="BY122" s="12">
        <f t="shared" si="118"/>
        <v>0</v>
      </c>
      <c r="BZ122" s="12">
        <f t="shared" si="118"/>
        <v>0</v>
      </c>
      <c r="CA122" s="12">
        <f t="shared" si="118"/>
        <v>0</v>
      </c>
      <c r="CB122" s="12">
        <f t="shared" si="118"/>
        <v>0</v>
      </c>
      <c r="CC122" s="12">
        <f t="shared" si="118"/>
        <v>0</v>
      </c>
      <c r="CD122" s="12">
        <f t="shared" si="118"/>
        <v>0</v>
      </c>
      <c r="CE122" s="12">
        <f t="shared" si="118"/>
        <v>0</v>
      </c>
      <c r="CF122" s="12">
        <f t="shared" si="118"/>
        <v>0</v>
      </c>
      <c r="CG122" s="12">
        <f t="shared" si="118"/>
        <v>0</v>
      </c>
      <c r="CH122" s="12">
        <f t="shared" si="118"/>
        <v>0</v>
      </c>
      <c r="CI122" s="12">
        <f t="shared" si="118"/>
        <v>0</v>
      </c>
      <c r="CJ122" s="12">
        <f t="shared" si="118"/>
        <v>0</v>
      </c>
      <c r="CK122" s="12">
        <f t="shared" si="118"/>
        <v>0</v>
      </c>
      <c r="CL122" s="12">
        <f t="shared" si="118"/>
        <v>0</v>
      </c>
      <c r="CM122" s="12">
        <f t="shared" si="118"/>
        <v>0</v>
      </c>
      <c r="CN122" s="12">
        <f t="shared" si="118"/>
        <v>0</v>
      </c>
      <c r="CO122" s="12">
        <f t="shared" si="118"/>
        <v>0</v>
      </c>
      <c r="CP122" s="12">
        <f t="shared" si="118"/>
        <v>0</v>
      </c>
      <c r="CQ122" s="12">
        <f t="shared" si="118"/>
        <v>0</v>
      </c>
      <c r="CR122" s="12">
        <f t="shared" si="118"/>
        <v>0</v>
      </c>
      <c r="CS122" s="12">
        <f t="shared" si="118"/>
        <v>0</v>
      </c>
      <c r="CT122" s="12">
        <f t="shared" si="118"/>
        <v>0</v>
      </c>
      <c r="CU122" s="12">
        <f t="shared" si="118"/>
        <v>0</v>
      </c>
      <c r="CV122" s="12">
        <f t="shared" si="118"/>
        <v>0</v>
      </c>
      <c r="CW122" s="12">
        <f t="shared" si="118"/>
        <v>0</v>
      </c>
      <c r="CX122" s="12">
        <f t="shared" si="118"/>
        <v>0</v>
      </c>
      <c r="CY122" s="12">
        <f t="shared" si="118"/>
        <v>0</v>
      </c>
      <c r="CZ122" s="12">
        <f t="shared" si="118"/>
        <v>0</v>
      </c>
      <c r="DA122" s="12">
        <f t="shared" ref="DA122:EF122" si="119">-IF(AND(DA$6&gt;=$D$32,DA$6&lt;EDATE($D$32,$D$70)),$D$71/$D$70,0)</f>
        <v>0</v>
      </c>
      <c r="DB122" s="12">
        <f t="shared" si="119"/>
        <v>0</v>
      </c>
      <c r="DC122" s="12">
        <f t="shared" si="119"/>
        <v>0</v>
      </c>
      <c r="DD122" s="12">
        <f t="shared" si="119"/>
        <v>0</v>
      </c>
      <c r="DE122" s="12">
        <f t="shared" si="119"/>
        <v>0</v>
      </c>
      <c r="DF122" s="12">
        <f t="shared" si="119"/>
        <v>0</v>
      </c>
      <c r="DG122" s="12">
        <f t="shared" si="119"/>
        <v>0</v>
      </c>
      <c r="DH122" s="12">
        <f t="shared" si="119"/>
        <v>0</v>
      </c>
      <c r="DI122" s="12">
        <f t="shared" si="119"/>
        <v>0</v>
      </c>
      <c r="DJ122" s="12">
        <f t="shared" si="119"/>
        <v>0</v>
      </c>
      <c r="DK122" s="12">
        <f t="shared" si="119"/>
        <v>0</v>
      </c>
      <c r="DL122" s="12">
        <f t="shared" si="119"/>
        <v>0</v>
      </c>
      <c r="DM122" s="12">
        <f t="shared" si="119"/>
        <v>0</v>
      </c>
      <c r="DN122" s="12">
        <f t="shared" si="119"/>
        <v>0</v>
      </c>
      <c r="DO122" s="12">
        <f t="shared" si="119"/>
        <v>0</v>
      </c>
      <c r="DP122" s="12">
        <f t="shared" si="119"/>
        <v>0</v>
      </c>
      <c r="DQ122" s="12">
        <f t="shared" si="119"/>
        <v>0</v>
      </c>
      <c r="DR122" s="12">
        <f t="shared" si="119"/>
        <v>0</v>
      </c>
      <c r="DS122" s="12">
        <f t="shared" si="119"/>
        <v>0</v>
      </c>
      <c r="DT122" s="12">
        <f t="shared" si="119"/>
        <v>0</v>
      </c>
      <c r="DU122" s="12">
        <f t="shared" si="119"/>
        <v>0</v>
      </c>
      <c r="DV122" s="12">
        <f t="shared" si="119"/>
        <v>0</v>
      </c>
      <c r="DW122" s="12">
        <f t="shared" si="119"/>
        <v>0</v>
      </c>
      <c r="DX122" s="12">
        <f t="shared" si="119"/>
        <v>0</v>
      </c>
      <c r="DY122" s="12">
        <f t="shared" si="119"/>
        <v>0</v>
      </c>
      <c r="DZ122" s="12">
        <f t="shared" si="119"/>
        <v>0</v>
      </c>
      <c r="EA122" s="12">
        <f t="shared" si="119"/>
        <v>0</v>
      </c>
      <c r="EB122" s="12">
        <f t="shared" si="119"/>
        <v>0</v>
      </c>
      <c r="EC122" s="12">
        <f t="shared" si="119"/>
        <v>0</v>
      </c>
      <c r="ED122" s="12">
        <f t="shared" si="119"/>
        <v>0</v>
      </c>
      <c r="EE122" s="12">
        <f t="shared" si="119"/>
        <v>0</v>
      </c>
      <c r="EF122" s="12">
        <f t="shared" si="119"/>
        <v>0</v>
      </c>
      <c r="EG122" s="12">
        <f t="shared" ref="EG122:FH122" si="120">-IF(AND(EG$6&gt;=$D$32,EG$6&lt;EDATE($D$32,$D$70)),$D$71/$D$70,0)</f>
        <v>0</v>
      </c>
      <c r="EH122" s="12">
        <f t="shared" si="120"/>
        <v>0</v>
      </c>
      <c r="EI122" s="12">
        <f t="shared" si="120"/>
        <v>0</v>
      </c>
      <c r="EJ122" s="12">
        <f t="shared" si="120"/>
        <v>0</v>
      </c>
      <c r="EK122" s="12">
        <f t="shared" si="120"/>
        <v>0</v>
      </c>
      <c r="EL122" s="12">
        <f t="shared" si="120"/>
        <v>0</v>
      </c>
      <c r="EM122" s="12">
        <f t="shared" si="120"/>
        <v>0</v>
      </c>
      <c r="EN122" s="12">
        <f t="shared" si="120"/>
        <v>0</v>
      </c>
      <c r="EO122" s="12">
        <f t="shared" si="120"/>
        <v>0</v>
      </c>
      <c r="EP122" s="12">
        <f t="shared" si="120"/>
        <v>0</v>
      </c>
      <c r="EQ122" s="12">
        <f t="shared" si="120"/>
        <v>0</v>
      </c>
      <c r="ER122" s="12">
        <f t="shared" si="120"/>
        <v>0</v>
      </c>
      <c r="ES122" s="12">
        <f t="shared" si="120"/>
        <v>0</v>
      </c>
      <c r="ET122" s="12">
        <f t="shared" si="120"/>
        <v>0</v>
      </c>
      <c r="EU122" s="12">
        <f t="shared" si="120"/>
        <v>0</v>
      </c>
      <c r="EV122" s="12">
        <f t="shared" si="120"/>
        <v>0</v>
      </c>
      <c r="EW122" s="12">
        <f t="shared" si="120"/>
        <v>0</v>
      </c>
      <c r="EX122" s="12">
        <f t="shared" si="120"/>
        <v>0</v>
      </c>
      <c r="EY122" s="12">
        <f t="shared" si="120"/>
        <v>0</v>
      </c>
      <c r="EZ122" s="12">
        <f t="shared" si="120"/>
        <v>0</v>
      </c>
      <c r="FA122" s="12">
        <f t="shared" si="120"/>
        <v>0</v>
      </c>
      <c r="FB122" s="12">
        <f t="shared" si="120"/>
        <v>0</v>
      </c>
      <c r="FC122" s="12">
        <f t="shared" si="120"/>
        <v>0</v>
      </c>
      <c r="FD122" s="12">
        <f t="shared" si="120"/>
        <v>0</v>
      </c>
      <c r="FE122" s="12">
        <f t="shared" si="120"/>
        <v>0</v>
      </c>
      <c r="FF122" s="12">
        <f t="shared" si="120"/>
        <v>0</v>
      </c>
      <c r="FG122" s="12">
        <f t="shared" si="120"/>
        <v>0</v>
      </c>
      <c r="FH122" s="12">
        <f t="shared" si="120"/>
        <v>0</v>
      </c>
    </row>
    <row r="123" spans="1:164" x14ac:dyDescent="0.2">
      <c r="A123" s="10"/>
      <c r="B123" s="10"/>
      <c r="C123" s="238" t="s">
        <v>2</v>
      </c>
      <c r="D123" s="238"/>
      <c r="E123" s="238"/>
      <c r="F123" s="238"/>
      <c r="G123" s="238"/>
      <c r="H123" s="239">
        <f t="shared" si="80"/>
        <v>-159978.88</v>
      </c>
      <c r="I123" s="239">
        <f t="shared" ref="I123:AN123" si="121">SUM(I116:I122)</f>
        <v>0</v>
      </c>
      <c r="J123" s="239">
        <f t="shared" si="121"/>
        <v>0</v>
      </c>
      <c r="K123" s="239">
        <f t="shared" si="121"/>
        <v>0</v>
      </c>
      <c r="L123" s="239">
        <f t="shared" si="121"/>
        <v>0</v>
      </c>
      <c r="M123" s="239">
        <f t="shared" si="121"/>
        <v>0</v>
      </c>
      <c r="N123" s="239">
        <f t="shared" si="121"/>
        <v>0</v>
      </c>
      <c r="O123" s="239">
        <f t="shared" si="121"/>
        <v>-349.16</v>
      </c>
      <c r="P123" s="239">
        <f t="shared" si="121"/>
        <v>-349.16</v>
      </c>
      <c r="Q123" s="239">
        <f t="shared" si="121"/>
        <v>-349.16</v>
      </c>
      <c r="R123" s="239">
        <f t="shared" si="121"/>
        <v>-656.84888888888895</v>
      </c>
      <c r="S123" s="239">
        <f t="shared" si="121"/>
        <v>-656.84888888888895</v>
      </c>
      <c r="T123" s="239">
        <f t="shared" si="121"/>
        <v>-656.84888888888895</v>
      </c>
      <c r="U123" s="239">
        <f t="shared" si="121"/>
        <v>-656.84888888888895</v>
      </c>
      <c r="V123" s="239">
        <f t="shared" si="121"/>
        <v>-656.84888888888895</v>
      </c>
      <c r="W123" s="239">
        <f t="shared" si="121"/>
        <v>-656.84888888888895</v>
      </c>
      <c r="X123" s="239">
        <f t="shared" si="121"/>
        <v>-656.84888888888895</v>
      </c>
      <c r="Y123" s="239">
        <f t="shared" si="121"/>
        <v>-656.84888888888895</v>
      </c>
      <c r="Z123" s="239">
        <f t="shared" si="121"/>
        <v>-656.84888888888895</v>
      </c>
      <c r="AA123" s="239">
        <f t="shared" si="121"/>
        <v>-629.7014973580234</v>
      </c>
      <c r="AB123" s="239">
        <f t="shared" si="121"/>
        <v>-1193.9801504013767</v>
      </c>
      <c r="AC123" s="239">
        <f t="shared" si="121"/>
        <v>-1751.8088493904995</v>
      </c>
      <c r="AD123" s="239">
        <f t="shared" si="121"/>
        <v>-2298.9421810999065</v>
      </c>
      <c r="AE123" s="239">
        <f t="shared" si="121"/>
        <v>-2831.2161305071509</v>
      </c>
      <c r="AF123" s="239">
        <f t="shared" si="121"/>
        <v>-3344.5797714614455</v>
      </c>
      <c r="AG123" s="239">
        <f t="shared" si="121"/>
        <v>-3835.1260966776881</v>
      </c>
      <c r="AH123" s="239">
        <f t="shared" si="121"/>
        <v>-4299.1217524210106</v>
      </c>
      <c r="AI123" s="239">
        <f t="shared" si="121"/>
        <v>-4733.0354515829731</v>
      </c>
      <c r="AJ123" s="239">
        <f t="shared" si="121"/>
        <v>-4825.8759600198055</v>
      </c>
      <c r="AK123" s="239">
        <f t="shared" si="121"/>
        <v>-5189.9727849493765</v>
      </c>
      <c r="AL123" s="239">
        <f t="shared" si="121"/>
        <v>-5514.8660407974085</v>
      </c>
      <c r="AM123" s="239">
        <f t="shared" si="121"/>
        <v>-5798.0830937109877</v>
      </c>
      <c r="AN123" s="239">
        <f t="shared" si="121"/>
        <v>-6037.4684909063089</v>
      </c>
      <c r="AO123" s="239">
        <f t="shared" ref="AO123:BT123" si="122">SUM(AO116:AO122)</f>
        <v>-6231.2003649658609</v>
      </c>
      <c r="AP123" s="239">
        <f t="shared" si="122"/>
        <v>-6377.8042993495455</v>
      </c>
      <c r="AQ123" s="239">
        <f t="shared" si="122"/>
        <v>-6476.1645495948296</v>
      </c>
      <c r="AR123" s="239">
        <f t="shared" si="122"/>
        <v>-6525.5325348058013</v>
      </c>
      <c r="AS123" s="239">
        <f t="shared" si="122"/>
        <v>-6525.5325348058013</v>
      </c>
      <c r="AT123" s="239">
        <f t="shared" si="122"/>
        <v>-6476.1645495948296</v>
      </c>
      <c r="AU123" s="239">
        <f t="shared" si="122"/>
        <v>-6377.8042993495465</v>
      </c>
      <c r="AV123" s="239">
        <f t="shared" si="122"/>
        <v>-6231.2003649658609</v>
      </c>
      <c r="AW123" s="239">
        <f t="shared" si="122"/>
        <v>-6037.4684909063089</v>
      </c>
      <c r="AX123" s="239">
        <f t="shared" si="122"/>
        <v>-5798.0830937109877</v>
      </c>
      <c r="AY123" s="239">
        <f t="shared" si="122"/>
        <v>-5514.8660407974094</v>
      </c>
      <c r="AZ123" s="239">
        <f t="shared" si="122"/>
        <v>-5189.9727849493765</v>
      </c>
      <c r="BA123" s="239">
        <f t="shared" si="122"/>
        <v>-4825.8759600198055</v>
      </c>
      <c r="BB123" s="239">
        <f t="shared" si="122"/>
        <v>-4425.3465626940852</v>
      </c>
      <c r="BC123" s="239">
        <f t="shared" si="122"/>
        <v>-3991.432863532124</v>
      </c>
      <c r="BD123" s="239">
        <f t="shared" si="122"/>
        <v>-3527.4372077888006</v>
      </c>
      <c r="BE123" s="239">
        <f t="shared" si="122"/>
        <v>-3036.8908825725566</v>
      </c>
      <c r="BF123" s="239">
        <f t="shared" si="122"/>
        <v>-2523.5272416182625</v>
      </c>
      <c r="BG123" s="239">
        <f t="shared" si="122"/>
        <v>-1991.253292211019</v>
      </c>
      <c r="BH123" s="239">
        <f t="shared" si="122"/>
        <v>-1444.1199605016125</v>
      </c>
      <c r="BI123" s="239">
        <f t="shared" si="122"/>
        <v>-886.29126151248772</v>
      </c>
      <c r="BJ123" s="239">
        <f t="shared" si="122"/>
        <v>-322.01260846913493</v>
      </c>
      <c r="BK123" s="239">
        <f t="shared" si="122"/>
        <v>0</v>
      </c>
      <c r="BL123" s="239">
        <f t="shared" si="122"/>
        <v>0</v>
      </c>
      <c r="BM123" s="239">
        <f t="shared" si="122"/>
        <v>0</v>
      </c>
      <c r="BN123" s="239">
        <f t="shared" si="122"/>
        <v>0</v>
      </c>
      <c r="BO123" s="239">
        <f t="shared" si="122"/>
        <v>0</v>
      </c>
      <c r="BP123" s="239">
        <f t="shared" si="122"/>
        <v>0</v>
      </c>
      <c r="BQ123" s="239">
        <f t="shared" si="122"/>
        <v>0</v>
      </c>
      <c r="BR123" s="239">
        <f t="shared" si="122"/>
        <v>0</v>
      </c>
      <c r="BS123" s="239">
        <f t="shared" si="122"/>
        <v>0</v>
      </c>
      <c r="BT123" s="239">
        <f t="shared" si="122"/>
        <v>0</v>
      </c>
      <c r="BU123" s="239">
        <f t="shared" ref="BU123:CZ123" si="123">SUM(BU116:BU122)</f>
        <v>0</v>
      </c>
      <c r="BV123" s="239">
        <f t="shared" si="123"/>
        <v>0</v>
      </c>
      <c r="BW123" s="239">
        <f t="shared" si="123"/>
        <v>0</v>
      </c>
      <c r="BX123" s="239">
        <f t="shared" si="123"/>
        <v>0</v>
      </c>
      <c r="BY123" s="239">
        <f t="shared" si="123"/>
        <v>0</v>
      </c>
      <c r="BZ123" s="239">
        <f t="shared" si="123"/>
        <v>0</v>
      </c>
      <c r="CA123" s="239">
        <f t="shared" si="123"/>
        <v>0</v>
      </c>
      <c r="CB123" s="239">
        <f t="shared" si="123"/>
        <v>0</v>
      </c>
      <c r="CC123" s="239">
        <f t="shared" si="123"/>
        <v>0</v>
      </c>
      <c r="CD123" s="239">
        <f t="shared" si="123"/>
        <v>0</v>
      </c>
      <c r="CE123" s="239">
        <f t="shared" si="123"/>
        <v>0</v>
      </c>
      <c r="CF123" s="239">
        <f t="shared" si="123"/>
        <v>0</v>
      </c>
      <c r="CG123" s="239">
        <f t="shared" si="123"/>
        <v>0</v>
      </c>
      <c r="CH123" s="239">
        <f t="shared" si="123"/>
        <v>0</v>
      </c>
      <c r="CI123" s="239">
        <f t="shared" si="123"/>
        <v>0</v>
      </c>
      <c r="CJ123" s="239">
        <f t="shared" si="123"/>
        <v>0</v>
      </c>
      <c r="CK123" s="239">
        <f t="shared" si="123"/>
        <v>0</v>
      </c>
      <c r="CL123" s="239">
        <f t="shared" si="123"/>
        <v>0</v>
      </c>
      <c r="CM123" s="239">
        <f t="shared" si="123"/>
        <v>0</v>
      </c>
      <c r="CN123" s="239">
        <f t="shared" si="123"/>
        <v>0</v>
      </c>
      <c r="CO123" s="239">
        <f t="shared" si="123"/>
        <v>0</v>
      </c>
      <c r="CP123" s="239">
        <f t="shared" si="123"/>
        <v>0</v>
      </c>
      <c r="CQ123" s="239">
        <f t="shared" si="123"/>
        <v>0</v>
      </c>
      <c r="CR123" s="239">
        <f t="shared" si="123"/>
        <v>0</v>
      </c>
      <c r="CS123" s="239">
        <f t="shared" si="123"/>
        <v>0</v>
      </c>
      <c r="CT123" s="239">
        <f t="shared" si="123"/>
        <v>0</v>
      </c>
      <c r="CU123" s="239">
        <f t="shared" si="123"/>
        <v>0</v>
      </c>
      <c r="CV123" s="239">
        <f t="shared" si="123"/>
        <v>0</v>
      </c>
      <c r="CW123" s="239">
        <f t="shared" si="123"/>
        <v>0</v>
      </c>
      <c r="CX123" s="239">
        <f t="shared" si="123"/>
        <v>0</v>
      </c>
      <c r="CY123" s="239">
        <f t="shared" si="123"/>
        <v>0</v>
      </c>
      <c r="CZ123" s="239">
        <f t="shared" si="123"/>
        <v>0</v>
      </c>
      <c r="DA123" s="239">
        <f t="shared" ref="DA123:EF123" si="124">SUM(DA116:DA122)</f>
        <v>0</v>
      </c>
      <c r="DB123" s="239">
        <f t="shared" si="124"/>
        <v>0</v>
      </c>
      <c r="DC123" s="239">
        <f t="shared" si="124"/>
        <v>0</v>
      </c>
      <c r="DD123" s="239">
        <f t="shared" si="124"/>
        <v>0</v>
      </c>
      <c r="DE123" s="239">
        <f t="shared" si="124"/>
        <v>0</v>
      </c>
      <c r="DF123" s="239">
        <f t="shared" si="124"/>
        <v>0</v>
      </c>
      <c r="DG123" s="239">
        <f t="shared" si="124"/>
        <v>0</v>
      </c>
      <c r="DH123" s="239">
        <f t="shared" si="124"/>
        <v>0</v>
      </c>
      <c r="DI123" s="239">
        <f t="shared" si="124"/>
        <v>0</v>
      </c>
      <c r="DJ123" s="239">
        <f t="shared" si="124"/>
        <v>0</v>
      </c>
      <c r="DK123" s="239">
        <f t="shared" si="124"/>
        <v>0</v>
      </c>
      <c r="DL123" s="239">
        <f t="shared" si="124"/>
        <v>0</v>
      </c>
      <c r="DM123" s="239">
        <f t="shared" si="124"/>
        <v>0</v>
      </c>
      <c r="DN123" s="239">
        <f t="shared" si="124"/>
        <v>0</v>
      </c>
      <c r="DO123" s="239">
        <f t="shared" si="124"/>
        <v>0</v>
      </c>
      <c r="DP123" s="239">
        <f t="shared" si="124"/>
        <v>0</v>
      </c>
      <c r="DQ123" s="239">
        <f t="shared" si="124"/>
        <v>0</v>
      </c>
      <c r="DR123" s="239">
        <f t="shared" si="124"/>
        <v>0</v>
      </c>
      <c r="DS123" s="239">
        <f t="shared" si="124"/>
        <v>0</v>
      </c>
      <c r="DT123" s="239">
        <f t="shared" si="124"/>
        <v>0</v>
      </c>
      <c r="DU123" s="239">
        <f t="shared" si="124"/>
        <v>0</v>
      </c>
      <c r="DV123" s="239">
        <f t="shared" si="124"/>
        <v>0</v>
      </c>
      <c r="DW123" s="239">
        <f t="shared" si="124"/>
        <v>0</v>
      </c>
      <c r="DX123" s="239">
        <f t="shared" si="124"/>
        <v>0</v>
      </c>
      <c r="DY123" s="239">
        <f t="shared" si="124"/>
        <v>0</v>
      </c>
      <c r="DZ123" s="239">
        <f t="shared" si="124"/>
        <v>0</v>
      </c>
      <c r="EA123" s="239">
        <f t="shared" si="124"/>
        <v>0</v>
      </c>
      <c r="EB123" s="239">
        <f t="shared" si="124"/>
        <v>0</v>
      </c>
      <c r="EC123" s="239">
        <f t="shared" si="124"/>
        <v>0</v>
      </c>
      <c r="ED123" s="239">
        <f t="shared" si="124"/>
        <v>0</v>
      </c>
      <c r="EE123" s="239">
        <f t="shared" si="124"/>
        <v>0</v>
      </c>
      <c r="EF123" s="239">
        <f t="shared" si="124"/>
        <v>0</v>
      </c>
      <c r="EG123" s="239">
        <f t="shared" ref="EG123:FH123" si="125">SUM(EG116:EG122)</f>
        <v>0</v>
      </c>
      <c r="EH123" s="239">
        <f t="shared" si="125"/>
        <v>0</v>
      </c>
      <c r="EI123" s="239">
        <f t="shared" si="125"/>
        <v>0</v>
      </c>
      <c r="EJ123" s="239">
        <f t="shared" si="125"/>
        <v>0</v>
      </c>
      <c r="EK123" s="239">
        <f t="shared" si="125"/>
        <v>0</v>
      </c>
      <c r="EL123" s="239">
        <f t="shared" si="125"/>
        <v>0</v>
      </c>
      <c r="EM123" s="239">
        <f t="shared" si="125"/>
        <v>0</v>
      </c>
      <c r="EN123" s="239">
        <f t="shared" si="125"/>
        <v>0</v>
      </c>
      <c r="EO123" s="239">
        <f t="shared" si="125"/>
        <v>0</v>
      </c>
      <c r="EP123" s="239">
        <f t="shared" si="125"/>
        <v>0</v>
      </c>
      <c r="EQ123" s="239">
        <f t="shared" si="125"/>
        <v>0</v>
      </c>
      <c r="ER123" s="239">
        <f t="shared" si="125"/>
        <v>0</v>
      </c>
      <c r="ES123" s="239">
        <f t="shared" si="125"/>
        <v>0</v>
      </c>
      <c r="ET123" s="239">
        <f t="shared" si="125"/>
        <v>0</v>
      </c>
      <c r="EU123" s="239">
        <f t="shared" si="125"/>
        <v>0</v>
      </c>
      <c r="EV123" s="239">
        <f t="shared" si="125"/>
        <v>0</v>
      </c>
      <c r="EW123" s="239">
        <f t="shared" si="125"/>
        <v>0</v>
      </c>
      <c r="EX123" s="239">
        <f t="shared" si="125"/>
        <v>0</v>
      </c>
      <c r="EY123" s="239">
        <f t="shared" si="125"/>
        <v>0</v>
      </c>
      <c r="EZ123" s="239">
        <f t="shared" si="125"/>
        <v>0</v>
      </c>
      <c r="FA123" s="239">
        <f t="shared" si="125"/>
        <v>0</v>
      </c>
      <c r="FB123" s="239">
        <f t="shared" si="125"/>
        <v>0</v>
      </c>
      <c r="FC123" s="239">
        <f t="shared" si="125"/>
        <v>0</v>
      </c>
      <c r="FD123" s="239">
        <f t="shared" si="125"/>
        <v>0</v>
      </c>
      <c r="FE123" s="239">
        <f t="shared" si="125"/>
        <v>0</v>
      </c>
      <c r="FF123" s="239">
        <f t="shared" si="125"/>
        <v>0</v>
      </c>
      <c r="FG123" s="239">
        <f t="shared" si="125"/>
        <v>0</v>
      </c>
      <c r="FH123" s="239">
        <f t="shared" si="125"/>
        <v>0</v>
      </c>
    </row>
    <row r="124" spans="1:164" x14ac:dyDescent="0.2">
      <c r="A124" s="10"/>
      <c r="B124" s="31" t="s">
        <v>915</v>
      </c>
      <c r="C124" s="31"/>
      <c r="D124" s="31"/>
      <c r="E124" s="31"/>
      <c r="F124" s="31"/>
      <c r="G124" s="31"/>
      <c r="H124" s="32">
        <f t="shared" si="80"/>
        <v>81495.360000000161</v>
      </c>
      <c r="I124" s="32">
        <f t="shared" ref="I124:AN124" si="126">I113+I123</f>
        <v>0</v>
      </c>
      <c r="J124" s="32">
        <f t="shared" si="126"/>
        <v>0</v>
      </c>
      <c r="K124" s="32">
        <f t="shared" si="126"/>
        <v>0</v>
      </c>
      <c r="L124" s="32">
        <f t="shared" si="126"/>
        <v>0</v>
      </c>
      <c r="M124" s="32">
        <f t="shared" si="126"/>
        <v>0</v>
      </c>
      <c r="N124" s="32">
        <f t="shared" si="126"/>
        <v>0</v>
      </c>
      <c r="O124" s="32">
        <f t="shared" si="126"/>
        <v>-349.16</v>
      </c>
      <c r="P124" s="32">
        <f t="shared" si="126"/>
        <v>-349.16</v>
      </c>
      <c r="Q124" s="32">
        <f t="shared" si="126"/>
        <v>-349.16</v>
      </c>
      <c r="R124" s="32">
        <f t="shared" si="126"/>
        <v>-656.84888888888895</v>
      </c>
      <c r="S124" s="32">
        <f t="shared" si="126"/>
        <v>-656.84888888888895</v>
      </c>
      <c r="T124" s="32">
        <f t="shared" si="126"/>
        <v>-656.84888888888895</v>
      </c>
      <c r="U124" s="32">
        <f t="shared" si="126"/>
        <v>43.363111111111039</v>
      </c>
      <c r="V124" s="32">
        <f t="shared" si="126"/>
        <v>136.57033062330606</v>
      </c>
      <c r="W124" s="32">
        <f t="shared" si="126"/>
        <v>232.10773062330622</v>
      </c>
      <c r="X124" s="32">
        <f t="shared" si="126"/>
        <v>330.09480754638298</v>
      </c>
      <c r="Y124" s="32">
        <f t="shared" si="126"/>
        <v>430.66049175690932</v>
      </c>
      <c r="Z124" s="32">
        <f t="shared" si="126"/>
        <v>533.94416743258512</v>
      </c>
      <c r="AA124" s="32">
        <f t="shared" si="126"/>
        <v>190.32644785233936</v>
      </c>
      <c r="AB124" s="32">
        <f t="shared" si="126"/>
        <v>-337.5570051910139</v>
      </c>
      <c r="AC124" s="32">
        <f t="shared" si="126"/>
        <v>-857.92005712131299</v>
      </c>
      <c r="AD124" s="32">
        <f t="shared" si="126"/>
        <v>-1366.4524191337503</v>
      </c>
      <c r="AE124" s="32">
        <f t="shared" si="126"/>
        <v>-1858.919118540995</v>
      </c>
      <c r="AF124" s="32">
        <f t="shared" si="126"/>
        <v>-2331.1914046565798</v>
      </c>
      <c r="AG124" s="32">
        <f t="shared" si="126"/>
        <v>-2779.2766632061557</v>
      </c>
      <c r="AH124" s="32">
        <f t="shared" si="126"/>
        <v>-3199.347077570168</v>
      </c>
      <c r="AI124" s="32">
        <f t="shared" si="126"/>
        <v>-3587.7667767321304</v>
      </c>
      <c r="AJ124" s="32">
        <f t="shared" si="126"/>
        <v>-3633.4283222059994</v>
      </c>
      <c r="AK124" s="32">
        <f t="shared" si="126"/>
        <v>-3948.5316086740322</v>
      </c>
      <c r="AL124" s="32">
        <f t="shared" si="126"/>
        <v>-4222.4715845220644</v>
      </c>
      <c r="AM124" s="32">
        <f t="shared" si="126"/>
        <v>-4452.6123041023102</v>
      </c>
      <c r="AN124" s="32">
        <f t="shared" si="126"/>
        <v>-4636.6137012976315</v>
      </c>
      <c r="AO124" s="32">
        <f t="shared" ref="AO124:BT124" si="127">AO113+AO123</f>
        <v>-4772.4441208117287</v>
      </c>
      <c r="AP124" s="32">
        <f t="shared" si="127"/>
        <v>-4858.3893885287471</v>
      </c>
      <c r="AQ124" s="32">
        <f t="shared" si="127"/>
        <v>-4893.058038774031</v>
      </c>
      <c r="AR124" s="32">
        <f t="shared" si="127"/>
        <v>-4875.3822345113185</v>
      </c>
      <c r="AS124" s="32">
        <f t="shared" si="127"/>
        <v>-4804.6137900668737</v>
      </c>
      <c r="AT124" s="32">
        <f t="shared" si="127"/>
        <v>-4680.3145107382552</v>
      </c>
      <c r="AU124" s="32">
        <f t="shared" si="127"/>
        <v>-4502.3397604929714</v>
      </c>
      <c r="AV124" s="32">
        <f t="shared" si="127"/>
        <v>-4270.8136927759533</v>
      </c>
      <c r="AW124" s="32">
        <f t="shared" si="127"/>
        <v>-3986.0938187164006</v>
      </c>
      <c r="AX124" s="32">
        <f t="shared" si="127"/>
        <v>-3648.7213445980024</v>
      </c>
      <c r="AY124" s="32">
        <f t="shared" si="127"/>
        <v>-3259.3516250177577</v>
      </c>
      <c r="AZ124" s="32">
        <f t="shared" si="127"/>
        <v>-2818.6554600788154</v>
      </c>
      <c r="BA124" s="32">
        <f t="shared" si="127"/>
        <v>-2327.1754351492445</v>
      </c>
      <c r="BB124" s="32">
        <f t="shared" si="127"/>
        <v>-1785.1091489346359</v>
      </c>
      <c r="BC124" s="32">
        <f t="shared" si="127"/>
        <v>-1191.9664497726749</v>
      </c>
      <c r="BD124" s="32">
        <f t="shared" si="127"/>
        <v>-545.9947940293514</v>
      </c>
      <c r="BE124" s="32">
        <f t="shared" si="127"/>
        <v>156.85686452022583</v>
      </c>
      <c r="BF124" s="32">
        <f t="shared" si="127"/>
        <v>924.98690547451997</v>
      </c>
      <c r="BG124" s="32">
        <f t="shared" si="127"/>
        <v>1775.7188548817639</v>
      </c>
      <c r="BH124" s="32">
        <f t="shared" si="127"/>
        <v>2747.4628532578372</v>
      </c>
      <c r="BI124" s="32">
        <f t="shared" si="127"/>
        <v>3942.2075522469622</v>
      </c>
      <c r="BJ124" s="32">
        <f t="shared" si="127"/>
        <v>5780.3182052903157</v>
      </c>
      <c r="BK124" s="32">
        <f t="shared" si="127"/>
        <v>22928.976000000017</v>
      </c>
      <c r="BL124" s="32">
        <f t="shared" si="127"/>
        <v>950.7586666666665</v>
      </c>
      <c r="BM124" s="32">
        <f t="shared" si="127"/>
        <v>950.7586666666665</v>
      </c>
      <c r="BN124" s="32">
        <f t="shared" si="127"/>
        <v>950.7586666666665</v>
      </c>
      <c r="BO124" s="32">
        <f t="shared" si="127"/>
        <v>950.7586666666665</v>
      </c>
      <c r="BP124" s="32">
        <f t="shared" si="127"/>
        <v>950.7586666666665</v>
      </c>
      <c r="BQ124" s="32">
        <f t="shared" si="127"/>
        <v>950.7586666666665</v>
      </c>
      <c r="BR124" s="32">
        <f t="shared" si="127"/>
        <v>950.7586666666665</v>
      </c>
      <c r="BS124" s="32">
        <f t="shared" si="127"/>
        <v>950.7586666666665</v>
      </c>
      <c r="BT124" s="32">
        <f t="shared" si="127"/>
        <v>950.7586666666665</v>
      </c>
      <c r="BU124" s="32">
        <f t="shared" ref="BU124:CZ124" si="128">BU113+BU123</f>
        <v>950.7586666666665</v>
      </c>
      <c r="BV124" s="32">
        <f t="shared" si="128"/>
        <v>950.7586666666665</v>
      </c>
      <c r="BW124" s="32">
        <f t="shared" si="128"/>
        <v>950.7586666666665</v>
      </c>
      <c r="BX124" s="32">
        <f t="shared" si="128"/>
        <v>127383.20000000011</v>
      </c>
      <c r="BY124" s="32">
        <f t="shared" si="128"/>
        <v>0</v>
      </c>
      <c r="BZ124" s="32">
        <f t="shared" si="128"/>
        <v>0</v>
      </c>
      <c r="CA124" s="32">
        <f t="shared" si="128"/>
        <v>0</v>
      </c>
      <c r="CB124" s="32">
        <f t="shared" si="128"/>
        <v>0</v>
      </c>
      <c r="CC124" s="32">
        <f t="shared" si="128"/>
        <v>0</v>
      </c>
      <c r="CD124" s="32">
        <f t="shared" si="128"/>
        <v>0</v>
      </c>
      <c r="CE124" s="32">
        <f t="shared" si="128"/>
        <v>0</v>
      </c>
      <c r="CF124" s="32">
        <f t="shared" si="128"/>
        <v>0</v>
      </c>
      <c r="CG124" s="32">
        <f t="shared" si="128"/>
        <v>0</v>
      </c>
      <c r="CH124" s="32">
        <f t="shared" si="128"/>
        <v>0</v>
      </c>
      <c r="CI124" s="32">
        <f t="shared" si="128"/>
        <v>0</v>
      </c>
      <c r="CJ124" s="32">
        <f t="shared" si="128"/>
        <v>0</v>
      </c>
      <c r="CK124" s="32">
        <f t="shared" si="128"/>
        <v>0</v>
      </c>
      <c r="CL124" s="32">
        <f t="shared" si="128"/>
        <v>0</v>
      </c>
      <c r="CM124" s="32">
        <f t="shared" si="128"/>
        <v>0</v>
      </c>
      <c r="CN124" s="32">
        <f t="shared" si="128"/>
        <v>0</v>
      </c>
      <c r="CO124" s="32">
        <f t="shared" si="128"/>
        <v>0</v>
      </c>
      <c r="CP124" s="32">
        <f t="shared" si="128"/>
        <v>0</v>
      </c>
      <c r="CQ124" s="32">
        <f t="shared" si="128"/>
        <v>0</v>
      </c>
      <c r="CR124" s="32">
        <f t="shared" si="128"/>
        <v>0</v>
      </c>
      <c r="CS124" s="32">
        <f t="shared" si="128"/>
        <v>0</v>
      </c>
      <c r="CT124" s="32">
        <f t="shared" si="128"/>
        <v>0</v>
      </c>
      <c r="CU124" s="32">
        <f t="shared" si="128"/>
        <v>0</v>
      </c>
      <c r="CV124" s="32">
        <f t="shared" si="128"/>
        <v>0</v>
      </c>
      <c r="CW124" s="32">
        <f t="shared" si="128"/>
        <v>0</v>
      </c>
      <c r="CX124" s="32">
        <f t="shared" si="128"/>
        <v>0</v>
      </c>
      <c r="CY124" s="32">
        <f t="shared" si="128"/>
        <v>0</v>
      </c>
      <c r="CZ124" s="32">
        <f t="shared" si="128"/>
        <v>0</v>
      </c>
      <c r="DA124" s="32">
        <f t="shared" ref="DA124:EF124" si="129">DA113+DA123</f>
        <v>0</v>
      </c>
      <c r="DB124" s="32">
        <f t="shared" si="129"/>
        <v>0</v>
      </c>
      <c r="DC124" s="32">
        <f t="shared" si="129"/>
        <v>0</v>
      </c>
      <c r="DD124" s="32">
        <f t="shared" si="129"/>
        <v>0</v>
      </c>
      <c r="DE124" s="32">
        <f t="shared" si="129"/>
        <v>0</v>
      </c>
      <c r="DF124" s="32">
        <f t="shared" si="129"/>
        <v>0</v>
      </c>
      <c r="DG124" s="32">
        <f t="shared" si="129"/>
        <v>0</v>
      </c>
      <c r="DH124" s="32">
        <f t="shared" si="129"/>
        <v>0</v>
      </c>
      <c r="DI124" s="32">
        <f t="shared" si="129"/>
        <v>0</v>
      </c>
      <c r="DJ124" s="32">
        <f t="shared" si="129"/>
        <v>0</v>
      </c>
      <c r="DK124" s="32">
        <f t="shared" si="129"/>
        <v>0</v>
      </c>
      <c r="DL124" s="32">
        <f t="shared" si="129"/>
        <v>0</v>
      </c>
      <c r="DM124" s="32">
        <f t="shared" si="129"/>
        <v>0</v>
      </c>
      <c r="DN124" s="32">
        <f t="shared" si="129"/>
        <v>0</v>
      </c>
      <c r="DO124" s="32">
        <f t="shared" si="129"/>
        <v>0</v>
      </c>
      <c r="DP124" s="32">
        <f t="shared" si="129"/>
        <v>0</v>
      </c>
      <c r="DQ124" s="32">
        <f t="shared" si="129"/>
        <v>0</v>
      </c>
      <c r="DR124" s="32">
        <f t="shared" si="129"/>
        <v>0</v>
      </c>
      <c r="DS124" s="32">
        <f t="shared" si="129"/>
        <v>0</v>
      </c>
      <c r="DT124" s="32">
        <f t="shared" si="129"/>
        <v>0</v>
      </c>
      <c r="DU124" s="32">
        <f t="shared" si="129"/>
        <v>0</v>
      </c>
      <c r="DV124" s="32">
        <f t="shared" si="129"/>
        <v>0</v>
      </c>
      <c r="DW124" s="32">
        <f t="shared" si="129"/>
        <v>0</v>
      </c>
      <c r="DX124" s="32">
        <f t="shared" si="129"/>
        <v>0</v>
      </c>
      <c r="DY124" s="32">
        <f t="shared" si="129"/>
        <v>0</v>
      </c>
      <c r="DZ124" s="32">
        <f t="shared" si="129"/>
        <v>0</v>
      </c>
      <c r="EA124" s="32">
        <f t="shared" si="129"/>
        <v>0</v>
      </c>
      <c r="EB124" s="32">
        <f t="shared" si="129"/>
        <v>0</v>
      </c>
      <c r="EC124" s="32">
        <f t="shared" si="129"/>
        <v>0</v>
      </c>
      <c r="ED124" s="32">
        <f t="shared" si="129"/>
        <v>0</v>
      </c>
      <c r="EE124" s="32">
        <f t="shared" si="129"/>
        <v>0</v>
      </c>
      <c r="EF124" s="32">
        <f t="shared" si="129"/>
        <v>0</v>
      </c>
      <c r="EG124" s="32">
        <f t="shared" ref="EG124:FH124" si="130">EG113+EG123</f>
        <v>0</v>
      </c>
      <c r="EH124" s="32">
        <f t="shared" si="130"/>
        <v>0</v>
      </c>
      <c r="EI124" s="32">
        <f t="shared" si="130"/>
        <v>0</v>
      </c>
      <c r="EJ124" s="32">
        <f t="shared" si="130"/>
        <v>0</v>
      </c>
      <c r="EK124" s="32">
        <f t="shared" si="130"/>
        <v>0</v>
      </c>
      <c r="EL124" s="32">
        <f t="shared" si="130"/>
        <v>0</v>
      </c>
      <c r="EM124" s="32">
        <f t="shared" si="130"/>
        <v>0</v>
      </c>
      <c r="EN124" s="32">
        <f t="shared" si="130"/>
        <v>0</v>
      </c>
      <c r="EO124" s="32">
        <f t="shared" si="130"/>
        <v>0</v>
      </c>
      <c r="EP124" s="32">
        <f t="shared" si="130"/>
        <v>0</v>
      </c>
      <c r="EQ124" s="32">
        <f t="shared" si="130"/>
        <v>0</v>
      </c>
      <c r="ER124" s="32">
        <f t="shared" si="130"/>
        <v>0</v>
      </c>
      <c r="ES124" s="32">
        <f t="shared" si="130"/>
        <v>0</v>
      </c>
      <c r="ET124" s="32">
        <f t="shared" si="130"/>
        <v>0</v>
      </c>
      <c r="EU124" s="32">
        <f t="shared" si="130"/>
        <v>0</v>
      </c>
      <c r="EV124" s="32">
        <f t="shared" si="130"/>
        <v>0</v>
      </c>
      <c r="EW124" s="32">
        <f t="shared" si="130"/>
        <v>0</v>
      </c>
      <c r="EX124" s="32">
        <f t="shared" si="130"/>
        <v>0</v>
      </c>
      <c r="EY124" s="32">
        <f t="shared" si="130"/>
        <v>0</v>
      </c>
      <c r="EZ124" s="32">
        <f t="shared" si="130"/>
        <v>0</v>
      </c>
      <c r="FA124" s="32">
        <f t="shared" si="130"/>
        <v>0</v>
      </c>
      <c r="FB124" s="32">
        <f t="shared" si="130"/>
        <v>0</v>
      </c>
      <c r="FC124" s="32">
        <f t="shared" si="130"/>
        <v>0</v>
      </c>
      <c r="FD124" s="32">
        <f t="shared" si="130"/>
        <v>0</v>
      </c>
      <c r="FE124" s="32">
        <f t="shared" si="130"/>
        <v>0</v>
      </c>
      <c r="FF124" s="32">
        <f t="shared" si="130"/>
        <v>0</v>
      </c>
      <c r="FG124" s="32">
        <f t="shared" si="130"/>
        <v>0</v>
      </c>
      <c r="FH124" s="32">
        <f t="shared" si="130"/>
        <v>0</v>
      </c>
    </row>
    <row r="125" spans="1:164" x14ac:dyDescent="0.2">
      <c r="A125" s="10"/>
      <c r="B125" s="10"/>
      <c r="C125" s="10" t="s">
        <v>916</v>
      </c>
      <c r="D125" s="10"/>
      <c r="E125" s="10"/>
      <c r="F125" s="10"/>
      <c r="G125" s="10"/>
      <c r="H125" s="12"/>
      <c r="I125" s="12">
        <f>I124</f>
        <v>0</v>
      </c>
      <c r="J125" s="12">
        <f t="shared" ref="J125:AO125" si="131">I125+J124</f>
        <v>0</v>
      </c>
      <c r="K125" s="12">
        <f t="shared" si="131"/>
        <v>0</v>
      </c>
      <c r="L125" s="12">
        <f t="shared" si="131"/>
        <v>0</v>
      </c>
      <c r="M125" s="12">
        <f t="shared" si="131"/>
        <v>0</v>
      </c>
      <c r="N125" s="12">
        <f t="shared" si="131"/>
        <v>0</v>
      </c>
      <c r="O125" s="12">
        <f t="shared" si="131"/>
        <v>-349.16</v>
      </c>
      <c r="P125" s="12">
        <f t="shared" si="131"/>
        <v>-698.32</v>
      </c>
      <c r="Q125" s="12">
        <f t="shared" si="131"/>
        <v>-1047.48</v>
      </c>
      <c r="R125" s="12">
        <f t="shared" si="131"/>
        <v>-1704.328888888889</v>
      </c>
      <c r="S125" s="12">
        <f t="shared" si="131"/>
        <v>-2361.1777777777779</v>
      </c>
      <c r="T125" s="12">
        <f t="shared" si="131"/>
        <v>-3018.0266666666666</v>
      </c>
      <c r="U125" s="12">
        <f t="shared" si="131"/>
        <v>-2974.6635555555558</v>
      </c>
      <c r="V125" s="12">
        <f t="shared" si="131"/>
        <v>-2838.0932249322495</v>
      </c>
      <c r="W125" s="12">
        <f t="shared" si="131"/>
        <v>-2605.9854943089431</v>
      </c>
      <c r="X125" s="12">
        <f t="shared" si="131"/>
        <v>-2275.8906867625601</v>
      </c>
      <c r="Y125" s="12">
        <f t="shared" si="131"/>
        <v>-1845.2301950056508</v>
      </c>
      <c r="Z125" s="12">
        <f t="shared" si="131"/>
        <v>-1311.2860275730657</v>
      </c>
      <c r="AA125" s="12">
        <f t="shared" si="131"/>
        <v>-1120.9595797207262</v>
      </c>
      <c r="AB125" s="12">
        <f t="shared" si="131"/>
        <v>-1458.5165849117402</v>
      </c>
      <c r="AC125" s="12">
        <f t="shared" si="131"/>
        <v>-2316.4366420330534</v>
      </c>
      <c r="AD125" s="12">
        <f t="shared" si="131"/>
        <v>-3682.8890611668039</v>
      </c>
      <c r="AE125" s="12">
        <f t="shared" si="131"/>
        <v>-5541.8081797077994</v>
      </c>
      <c r="AF125" s="12">
        <f t="shared" si="131"/>
        <v>-7872.9995843643792</v>
      </c>
      <c r="AG125" s="12">
        <f t="shared" si="131"/>
        <v>-10652.276247570535</v>
      </c>
      <c r="AH125" s="12">
        <f t="shared" si="131"/>
        <v>-13851.623325140703</v>
      </c>
      <c r="AI125" s="12">
        <f t="shared" si="131"/>
        <v>-17439.390101872832</v>
      </c>
      <c r="AJ125" s="12">
        <f t="shared" si="131"/>
        <v>-21072.818424078832</v>
      </c>
      <c r="AK125" s="12">
        <f t="shared" si="131"/>
        <v>-25021.350032752864</v>
      </c>
      <c r="AL125" s="12">
        <f t="shared" si="131"/>
        <v>-29243.821617274927</v>
      </c>
      <c r="AM125" s="12">
        <f t="shared" si="131"/>
        <v>-33696.43392137724</v>
      </c>
      <c r="AN125" s="12">
        <f t="shared" si="131"/>
        <v>-38333.047622674872</v>
      </c>
      <c r="AO125" s="12">
        <f t="shared" si="131"/>
        <v>-43105.4917434866</v>
      </c>
      <c r="AP125" s="12">
        <f t="shared" ref="AP125:BU125" si="132">AO125+AP124</f>
        <v>-47963.881132015347</v>
      </c>
      <c r="AQ125" s="12">
        <f t="shared" si="132"/>
        <v>-52856.939170789381</v>
      </c>
      <c r="AR125" s="12">
        <f t="shared" si="132"/>
        <v>-57732.321405300696</v>
      </c>
      <c r="AS125" s="12">
        <f t="shared" si="132"/>
        <v>-62536.935195367572</v>
      </c>
      <c r="AT125" s="12">
        <f t="shared" si="132"/>
        <v>-67217.249706105824</v>
      </c>
      <c r="AU125" s="12">
        <f t="shared" si="132"/>
        <v>-71719.589466598802</v>
      </c>
      <c r="AV125" s="12">
        <f t="shared" si="132"/>
        <v>-75990.40315937475</v>
      </c>
      <c r="AW125" s="12">
        <f t="shared" si="132"/>
        <v>-79976.496978091149</v>
      </c>
      <c r="AX125" s="12">
        <f t="shared" si="132"/>
        <v>-83625.21832268915</v>
      </c>
      <c r="AY125" s="12">
        <f t="shared" si="132"/>
        <v>-86884.569947706914</v>
      </c>
      <c r="AZ125" s="12">
        <f t="shared" si="132"/>
        <v>-89703.225407785736</v>
      </c>
      <c r="BA125" s="12">
        <f t="shared" si="132"/>
        <v>-92030.400842934978</v>
      </c>
      <c r="BB125" s="12">
        <f t="shared" si="132"/>
        <v>-93815.509991869607</v>
      </c>
      <c r="BC125" s="12">
        <f t="shared" si="132"/>
        <v>-95007.476441642284</v>
      </c>
      <c r="BD125" s="12">
        <f t="shared" si="132"/>
        <v>-95553.471235671634</v>
      </c>
      <c r="BE125" s="12">
        <f t="shared" si="132"/>
        <v>-95396.614371151401</v>
      </c>
      <c r="BF125" s="12">
        <f t="shared" si="132"/>
        <v>-94471.62746567688</v>
      </c>
      <c r="BG125" s="12">
        <f t="shared" si="132"/>
        <v>-92695.908610795115</v>
      </c>
      <c r="BH125" s="12">
        <f t="shared" si="132"/>
        <v>-89948.44575753728</v>
      </c>
      <c r="BI125" s="12">
        <f t="shared" si="132"/>
        <v>-86006.238205290312</v>
      </c>
      <c r="BJ125" s="12">
        <f t="shared" si="132"/>
        <v>-80225.919999999998</v>
      </c>
      <c r="BK125" s="12">
        <f t="shared" si="132"/>
        <v>-57296.943999999981</v>
      </c>
      <c r="BL125" s="12">
        <f t="shared" si="132"/>
        <v>-56346.185333333313</v>
      </c>
      <c r="BM125" s="12">
        <f t="shared" si="132"/>
        <v>-55395.426666666644</v>
      </c>
      <c r="BN125" s="12">
        <f t="shared" si="132"/>
        <v>-54444.667999999976</v>
      </c>
      <c r="BO125" s="12">
        <f t="shared" si="132"/>
        <v>-53493.909333333308</v>
      </c>
      <c r="BP125" s="12">
        <f t="shared" si="132"/>
        <v>-52543.150666666639</v>
      </c>
      <c r="BQ125" s="12">
        <f t="shared" si="132"/>
        <v>-51592.391999999971</v>
      </c>
      <c r="BR125" s="12">
        <f t="shared" si="132"/>
        <v>-50641.633333333302</v>
      </c>
      <c r="BS125" s="12">
        <f t="shared" si="132"/>
        <v>-49690.874666666634</v>
      </c>
      <c r="BT125" s="12">
        <f t="shared" si="132"/>
        <v>-48740.115999999965</v>
      </c>
      <c r="BU125" s="12">
        <f t="shared" si="132"/>
        <v>-47789.357333333297</v>
      </c>
      <c r="BV125" s="12">
        <f t="shared" ref="BV125:DA125" si="133">BU125+BV124</f>
        <v>-46838.598666666629</v>
      </c>
      <c r="BW125" s="12">
        <f t="shared" si="133"/>
        <v>-45887.83999999996</v>
      </c>
      <c r="BX125" s="12">
        <f t="shared" si="133"/>
        <v>81495.360000000161</v>
      </c>
      <c r="BY125" s="12">
        <f t="shared" si="133"/>
        <v>81495.360000000161</v>
      </c>
      <c r="BZ125" s="12">
        <f t="shared" si="133"/>
        <v>81495.360000000161</v>
      </c>
      <c r="CA125" s="12">
        <f t="shared" si="133"/>
        <v>81495.360000000161</v>
      </c>
      <c r="CB125" s="12">
        <f t="shared" si="133"/>
        <v>81495.360000000161</v>
      </c>
      <c r="CC125" s="12">
        <f t="shared" si="133"/>
        <v>81495.360000000161</v>
      </c>
      <c r="CD125" s="12">
        <f t="shared" si="133"/>
        <v>81495.360000000161</v>
      </c>
      <c r="CE125" s="12">
        <f t="shared" si="133"/>
        <v>81495.360000000161</v>
      </c>
      <c r="CF125" s="12">
        <f t="shared" si="133"/>
        <v>81495.360000000161</v>
      </c>
      <c r="CG125" s="12">
        <f t="shared" si="133"/>
        <v>81495.360000000161</v>
      </c>
      <c r="CH125" s="12">
        <f t="shared" si="133"/>
        <v>81495.360000000161</v>
      </c>
      <c r="CI125" s="12">
        <f t="shared" si="133"/>
        <v>81495.360000000161</v>
      </c>
      <c r="CJ125" s="12">
        <f t="shared" si="133"/>
        <v>81495.360000000161</v>
      </c>
      <c r="CK125" s="12">
        <f t="shared" si="133"/>
        <v>81495.360000000161</v>
      </c>
      <c r="CL125" s="12">
        <f t="shared" si="133"/>
        <v>81495.360000000161</v>
      </c>
      <c r="CM125" s="12">
        <f t="shared" si="133"/>
        <v>81495.360000000161</v>
      </c>
      <c r="CN125" s="12">
        <f t="shared" si="133"/>
        <v>81495.360000000161</v>
      </c>
      <c r="CO125" s="12">
        <f t="shared" si="133"/>
        <v>81495.360000000161</v>
      </c>
      <c r="CP125" s="12">
        <f t="shared" si="133"/>
        <v>81495.360000000161</v>
      </c>
      <c r="CQ125" s="12">
        <f t="shared" si="133"/>
        <v>81495.360000000161</v>
      </c>
      <c r="CR125" s="12">
        <f t="shared" si="133"/>
        <v>81495.360000000161</v>
      </c>
      <c r="CS125" s="12">
        <f t="shared" si="133"/>
        <v>81495.360000000161</v>
      </c>
      <c r="CT125" s="12">
        <f t="shared" si="133"/>
        <v>81495.360000000161</v>
      </c>
      <c r="CU125" s="12">
        <f t="shared" si="133"/>
        <v>81495.360000000161</v>
      </c>
      <c r="CV125" s="12">
        <f t="shared" si="133"/>
        <v>81495.360000000161</v>
      </c>
      <c r="CW125" s="12">
        <f t="shared" si="133"/>
        <v>81495.360000000161</v>
      </c>
      <c r="CX125" s="12">
        <f t="shared" si="133"/>
        <v>81495.360000000161</v>
      </c>
      <c r="CY125" s="12">
        <f t="shared" si="133"/>
        <v>81495.360000000161</v>
      </c>
      <c r="CZ125" s="12">
        <f t="shared" si="133"/>
        <v>81495.360000000161</v>
      </c>
      <c r="DA125" s="12">
        <f t="shared" si="133"/>
        <v>81495.360000000161</v>
      </c>
      <c r="DB125" s="12">
        <f t="shared" ref="DB125:EG125" si="134">DA125+DB124</f>
        <v>81495.360000000161</v>
      </c>
      <c r="DC125" s="12">
        <f t="shared" si="134"/>
        <v>81495.360000000161</v>
      </c>
      <c r="DD125" s="12">
        <f t="shared" si="134"/>
        <v>81495.360000000161</v>
      </c>
      <c r="DE125" s="12">
        <f t="shared" si="134"/>
        <v>81495.360000000161</v>
      </c>
      <c r="DF125" s="12">
        <f t="shared" si="134"/>
        <v>81495.360000000161</v>
      </c>
      <c r="DG125" s="12">
        <f t="shared" si="134"/>
        <v>81495.360000000161</v>
      </c>
      <c r="DH125" s="12">
        <f t="shared" si="134"/>
        <v>81495.360000000161</v>
      </c>
      <c r="DI125" s="12">
        <f t="shared" si="134"/>
        <v>81495.360000000161</v>
      </c>
      <c r="DJ125" s="12">
        <f t="shared" si="134"/>
        <v>81495.360000000161</v>
      </c>
      <c r="DK125" s="12">
        <f t="shared" si="134"/>
        <v>81495.360000000161</v>
      </c>
      <c r="DL125" s="12">
        <f t="shared" si="134"/>
        <v>81495.360000000161</v>
      </c>
      <c r="DM125" s="12">
        <f t="shared" si="134"/>
        <v>81495.360000000161</v>
      </c>
      <c r="DN125" s="12">
        <f t="shared" si="134"/>
        <v>81495.360000000161</v>
      </c>
      <c r="DO125" s="12">
        <f t="shared" si="134"/>
        <v>81495.360000000161</v>
      </c>
      <c r="DP125" s="12">
        <f t="shared" si="134"/>
        <v>81495.360000000161</v>
      </c>
      <c r="DQ125" s="12">
        <f t="shared" si="134"/>
        <v>81495.360000000161</v>
      </c>
      <c r="DR125" s="12">
        <f t="shared" si="134"/>
        <v>81495.360000000161</v>
      </c>
      <c r="DS125" s="12">
        <f t="shared" si="134"/>
        <v>81495.360000000161</v>
      </c>
      <c r="DT125" s="12">
        <f t="shared" si="134"/>
        <v>81495.360000000161</v>
      </c>
      <c r="DU125" s="12">
        <f t="shared" si="134"/>
        <v>81495.360000000161</v>
      </c>
      <c r="DV125" s="12">
        <f t="shared" si="134"/>
        <v>81495.360000000161</v>
      </c>
      <c r="DW125" s="12">
        <f t="shared" si="134"/>
        <v>81495.360000000161</v>
      </c>
      <c r="DX125" s="12">
        <f t="shared" si="134"/>
        <v>81495.360000000161</v>
      </c>
      <c r="DY125" s="12">
        <f t="shared" si="134"/>
        <v>81495.360000000161</v>
      </c>
      <c r="DZ125" s="12">
        <f t="shared" si="134"/>
        <v>81495.360000000161</v>
      </c>
      <c r="EA125" s="12">
        <f t="shared" si="134"/>
        <v>81495.360000000161</v>
      </c>
      <c r="EB125" s="12">
        <f t="shared" si="134"/>
        <v>81495.360000000161</v>
      </c>
      <c r="EC125" s="12">
        <f t="shared" si="134"/>
        <v>81495.360000000161</v>
      </c>
      <c r="ED125" s="12">
        <f t="shared" si="134"/>
        <v>81495.360000000161</v>
      </c>
      <c r="EE125" s="12">
        <f t="shared" si="134"/>
        <v>81495.360000000161</v>
      </c>
      <c r="EF125" s="12">
        <f t="shared" si="134"/>
        <v>81495.360000000161</v>
      </c>
      <c r="EG125" s="12">
        <f t="shared" si="134"/>
        <v>81495.360000000161</v>
      </c>
      <c r="EH125" s="12">
        <f t="shared" ref="EH125:FH125" si="135">EG125+EH124</f>
        <v>81495.360000000161</v>
      </c>
      <c r="EI125" s="12">
        <f t="shared" si="135"/>
        <v>81495.360000000161</v>
      </c>
      <c r="EJ125" s="12">
        <f t="shared" si="135"/>
        <v>81495.360000000161</v>
      </c>
      <c r="EK125" s="12">
        <f t="shared" si="135"/>
        <v>81495.360000000161</v>
      </c>
      <c r="EL125" s="12">
        <f t="shared" si="135"/>
        <v>81495.360000000161</v>
      </c>
      <c r="EM125" s="12">
        <f t="shared" si="135"/>
        <v>81495.360000000161</v>
      </c>
      <c r="EN125" s="12">
        <f t="shared" si="135"/>
        <v>81495.360000000161</v>
      </c>
      <c r="EO125" s="12">
        <f t="shared" si="135"/>
        <v>81495.360000000161</v>
      </c>
      <c r="EP125" s="12">
        <f t="shared" si="135"/>
        <v>81495.360000000161</v>
      </c>
      <c r="EQ125" s="12">
        <f t="shared" si="135"/>
        <v>81495.360000000161</v>
      </c>
      <c r="ER125" s="12">
        <f t="shared" si="135"/>
        <v>81495.360000000161</v>
      </c>
      <c r="ES125" s="12">
        <f t="shared" si="135"/>
        <v>81495.360000000161</v>
      </c>
      <c r="ET125" s="12">
        <f t="shared" si="135"/>
        <v>81495.360000000161</v>
      </c>
      <c r="EU125" s="12">
        <f t="shared" si="135"/>
        <v>81495.360000000161</v>
      </c>
      <c r="EV125" s="12">
        <f t="shared" si="135"/>
        <v>81495.360000000161</v>
      </c>
      <c r="EW125" s="12">
        <f t="shared" si="135"/>
        <v>81495.360000000161</v>
      </c>
      <c r="EX125" s="12">
        <f t="shared" si="135"/>
        <v>81495.360000000161</v>
      </c>
      <c r="EY125" s="12">
        <f t="shared" si="135"/>
        <v>81495.360000000161</v>
      </c>
      <c r="EZ125" s="12">
        <f t="shared" si="135"/>
        <v>81495.360000000161</v>
      </c>
      <c r="FA125" s="12">
        <f t="shared" si="135"/>
        <v>81495.360000000161</v>
      </c>
      <c r="FB125" s="12">
        <f t="shared" si="135"/>
        <v>81495.360000000161</v>
      </c>
      <c r="FC125" s="12">
        <f t="shared" si="135"/>
        <v>81495.360000000161</v>
      </c>
      <c r="FD125" s="12">
        <f t="shared" si="135"/>
        <v>81495.360000000161</v>
      </c>
      <c r="FE125" s="12">
        <f t="shared" si="135"/>
        <v>81495.360000000161</v>
      </c>
      <c r="FF125" s="12">
        <f t="shared" si="135"/>
        <v>81495.360000000161</v>
      </c>
      <c r="FG125" s="12">
        <f t="shared" si="135"/>
        <v>81495.360000000161</v>
      </c>
      <c r="FH125" s="12">
        <f t="shared" si="135"/>
        <v>81495.360000000161</v>
      </c>
    </row>
    <row r="126" spans="1:164" x14ac:dyDescent="0.2">
      <c r="A126" s="10"/>
      <c r="B126" s="10"/>
      <c r="C126" s="201" t="s">
        <v>764</v>
      </c>
      <c r="D126" s="194"/>
      <c r="E126" s="194"/>
      <c r="F126" s="194"/>
      <c r="G126" s="194"/>
      <c r="H126" s="216"/>
      <c r="I126" s="216">
        <f>SUM($I115:I115)*$D$29</f>
        <v>0</v>
      </c>
      <c r="J126" s="216">
        <f>SUM($I115:J115)*$D$29</f>
        <v>0</v>
      </c>
      <c r="K126" s="216">
        <f>SUM($I115:K115)*$D$29</f>
        <v>0</v>
      </c>
      <c r="L126" s="216">
        <f>SUM($I115:L115)*$D$29</f>
        <v>0</v>
      </c>
      <c r="M126" s="216">
        <f>SUM($I115:M115)*$D$29</f>
        <v>0</v>
      </c>
      <c r="N126" s="216">
        <f>SUM($I115:N115)*$D$29</f>
        <v>0</v>
      </c>
      <c r="O126" s="216">
        <f>SUM($I115:O115)*$D$29</f>
        <v>0</v>
      </c>
      <c r="P126" s="216">
        <f>SUM($I115:P115)*$D$29</f>
        <v>0</v>
      </c>
      <c r="Q126" s="216">
        <f>SUM($I115:Q115)*$D$29</f>
        <v>0</v>
      </c>
      <c r="R126" s="216">
        <f>SUM($I115:R115)*$D$29</f>
        <v>0</v>
      </c>
      <c r="S126" s="216">
        <f>SUM($I115:S115)*$D$29</f>
        <v>0</v>
      </c>
      <c r="T126" s="216">
        <f>SUM($I115:T115)*$D$29</f>
        <v>0</v>
      </c>
      <c r="U126" s="216">
        <f>SUM($I115:U115)*$D$29</f>
        <v>0</v>
      </c>
      <c r="V126" s="216">
        <f>SUM($I115:V115)*$D$29</f>
        <v>0</v>
      </c>
      <c r="W126" s="216">
        <f>SUM($I115:W115)*$D$29</f>
        <v>0</v>
      </c>
      <c r="X126" s="216">
        <f>SUM($I115:X115)*$D$29</f>
        <v>0</v>
      </c>
      <c r="Y126" s="216">
        <f>SUM($I115:Y115)*$D$29</f>
        <v>0</v>
      </c>
      <c r="Z126" s="216">
        <f>SUM($I115:Z115)*$D$29</f>
        <v>0</v>
      </c>
      <c r="AA126" s="216">
        <f>SUM($I115:AA115)*$D$29</f>
        <v>265.73184285722601</v>
      </c>
      <c r="AB126" s="216">
        <f>SUM($I115:AB115)*$D$29</f>
        <v>1060.9049916514866</v>
      </c>
      <c r="AC126" s="216">
        <f>SUM($I115:AC115)*$D$29</f>
        <v>2379.4676985817837</v>
      </c>
      <c r="AD126" s="216">
        <f>SUM($I115:AD115)*$D$29</f>
        <v>4211.3849052784453</v>
      </c>
      <c r="AE126" s="216">
        <f>SUM($I115:AE115)*$D$29</f>
        <v>6542.7146156566596</v>
      </c>
      <c r="AF126" s="216">
        <f>SUM($I115:AF115)*$D$29</f>
        <v>9355.7140029250804</v>
      </c>
      <c r="AG126" s="216">
        <f>SUM($I115:AG115)*$D$29</f>
        <v>12628.974443211126</v>
      </c>
      <c r="AH126" s="216">
        <f>SUM($I115:AH115)*$D$29</f>
        <v>16337.584448115524</v>
      </c>
      <c r="AI126" s="216">
        <f>SUM($I115:AI115)*$D$29</f>
        <v>20453.31925618101</v>
      </c>
      <c r="AJ126" s="216">
        <f>SUM($I115:AJ115)*$D$29</f>
        <v>24944.855640369584</v>
      </c>
      <c r="AK126" s="216">
        <f>SUM($I115:AK115)*$D$29</f>
        <v>29778.010296733744</v>
      </c>
      <c r="AL126" s="216">
        <f>SUM($I115:AL115)*$D$29</f>
        <v>34915.999999999993</v>
      </c>
      <c r="AM126" s="216">
        <f>SUM($I115:AM115)*$D$29</f>
        <v>40319.721546123474</v>
      </c>
      <c r="AN126" s="216">
        <f>SUM($I115:AN115)*$D$29</f>
        <v>45948.049351281901</v>
      </c>
      <c r="AO126" s="216">
        <f>SUM($I115:AO115)*$D$29</f>
        <v>51758.148442400772</v>
      </c>
      <c r="AP126" s="216">
        <f>SUM($I115:AP115)*$D$29</f>
        <v>57705.800457162921</v>
      </c>
      <c r="AQ126" s="216">
        <f>SUM($I115:AQ115)*$D$29</f>
        <v>63745.740172445534</v>
      </c>
      <c r="AR126" s="216">
        <f>SUM($I115:AR115)*$D$29</f>
        <v>69832</v>
      </c>
      <c r="AS126" s="216">
        <f>SUM($I115:AS115)*$D$29</f>
        <v>75918.259827554459</v>
      </c>
      <c r="AT126" s="216">
        <f>SUM($I115:AT115)*$D$29</f>
        <v>81958.199542837072</v>
      </c>
      <c r="AU126" s="216">
        <f>SUM($I115:AU115)*$D$29</f>
        <v>87905.851557599235</v>
      </c>
      <c r="AV126" s="216">
        <f>SUM($I115:AV115)*$D$29</f>
        <v>93715.950648718092</v>
      </c>
      <c r="AW126" s="216">
        <f>SUM($I115:AW115)*$D$29</f>
        <v>99344.278453876512</v>
      </c>
      <c r="AX126" s="216">
        <f>SUM($I115:AX115)*$D$29</f>
        <v>104747.99999999999</v>
      </c>
      <c r="AY126" s="216">
        <f>SUM($I115:AY115)*$D$29</f>
        <v>109885.98970326623</v>
      </c>
      <c r="AZ126" s="216">
        <f>SUM($I115:AZ115)*$D$29</f>
        <v>114719.14435963039</v>
      </c>
      <c r="BA126" s="216">
        <f>SUM($I115:BA115)*$D$29</f>
        <v>119210.68074381897</v>
      </c>
      <c r="BB126" s="216">
        <f>SUM($I115:BB115)*$D$29</f>
        <v>123326.41555188445</v>
      </c>
      <c r="BC126" s="216">
        <f>SUM($I115:BC115)*$D$29</f>
        <v>127035.02555678885</v>
      </c>
      <c r="BD126" s="216">
        <f>SUM($I115:BD115)*$D$29</f>
        <v>130308.2859970749</v>
      </c>
      <c r="BE126" s="216">
        <f>SUM($I115:BE115)*$D$29</f>
        <v>133121.28538434333</v>
      </c>
      <c r="BF126" s="216">
        <f>SUM($I115:BF115)*$D$29</f>
        <v>135452.61509472152</v>
      </c>
      <c r="BG126" s="216">
        <f>SUM($I115:BG115)*$D$29</f>
        <v>137284.53230141819</v>
      </c>
      <c r="BH126" s="216">
        <f>SUM($I115:BH115)*$D$29</f>
        <v>138603.09500834849</v>
      </c>
      <c r="BI126" s="216">
        <f>SUM($I115:BI115)*$D$29</f>
        <v>139398.26815714274</v>
      </c>
      <c r="BJ126" s="216">
        <f>SUM($I115:BJ115)*$D$29</f>
        <v>139663.99999999997</v>
      </c>
      <c r="BK126" s="216">
        <f>SUM($I115:BK115)*$D$29</f>
        <v>139663.99999999997</v>
      </c>
      <c r="BL126" s="216">
        <f>SUM($I115:BL115)*$D$29</f>
        <v>139663.99999999997</v>
      </c>
      <c r="BM126" s="216">
        <f>SUM($I115:BM115)*$D$29</f>
        <v>139663.99999999997</v>
      </c>
      <c r="BN126" s="216">
        <f>SUM($I115:BN115)*$D$29</f>
        <v>139663.99999999997</v>
      </c>
      <c r="BO126" s="216">
        <f>SUM($I115:BO115)*$D$29</f>
        <v>139663.99999999997</v>
      </c>
      <c r="BP126" s="216">
        <f>SUM($I115:BP115)*$D$29</f>
        <v>139663.99999999997</v>
      </c>
      <c r="BQ126" s="216">
        <f>SUM($I115:BQ115)*$D$29</f>
        <v>139663.99999999997</v>
      </c>
      <c r="BR126" s="216">
        <f>SUM($I115:BR115)*$D$29</f>
        <v>139663.99999999997</v>
      </c>
      <c r="BS126" s="216">
        <f>SUM($I115:BS115)*$D$29</f>
        <v>139663.99999999997</v>
      </c>
      <c r="BT126" s="216">
        <f>SUM($I115:BT115)*$D$29</f>
        <v>139663.99999999997</v>
      </c>
      <c r="BU126" s="216">
        <f>SUM($I115:BU115)*$D$29</f>
        <v>139663.99999999997</v>
      </c>
      <c r="BV126" s="216">
        <f>SUM($I115:BV115)*$D$29</f>
        <v>139663.99999999997</v>
      </c>
      <c r="BW126" s="216">
        <f>SUM($I115:BW115)*$D$29</f>
        <v>139663.99999999997</v>
      </c>
      <c r="BX126" s="216">
        <f>SUM($I115:BX115)*$D$29</f>
        <v>139663.99999999997</v>
      </c>
      <c r="BY126" s="216">
        <f>SUM($I115:BY115)*$D$29</f>
        <v>139663.99999999997</v>
      </c>
      <c r="BZ126" s="216">
        <f>SUM($I115:BZ115)*$D$29</f>
        <v>139663.99999999997</v>
      </c>
      <c r="CA126" s="216">
        <f>SUM($I115:CA115)*$D$29</f>
        <v>139663.99999999997</v>
      </c>
      <c r="CB126" s="216">
        <f>SUM($I115:CB115)*$D$29</f>
        <v>139663.99999999997</v>
      </c>
      <c r="CC126" s="216">
        <f>SUM($I115:CC115)*$D$29</f>
        <v>139663.99999999997</v>
      </c>
      <c r="CD126" s="216">
        <f>SUM($I115:CD115)*$D$29</f>
        <v>139663.99999999997</v>
      </c>
      <c r="CE126" s="216">
        <f>SUM($I115:CE115)*$D$29</f>
        <v>139663.99999999997</v>
      </c>
      <c r="CF126" s="216">
        <f>SUM($I115:CF115)*$D$29</f>
        <v>139663.99999999997</v>
      </c>
      <c r="CG126" s="216">
        <f>SUM($I115:CG115)*$D$29</f>
        <v>139663.99999999997</v>
      </c>
      <c r="CH126" s="216">
        <f>SUM($I115:CH115)*$D$29</f>
        <v>139663.99999999997</v>
      </c>
      <c r="CI126" s="216">
        <f>SUM($I115:CI115)*$D$29</f>
        <v>139663.99999999997</v>
      </c>
      <c r="CJ126" s="216">
        <f>SUM($I115:CJ115)*$D$29</f>
        <v>139663.99999999997</v>
      </c>
      <c r="CK126" s="216">
        <f>SUM($I115:CK115)*$D$29</f>
        <v>139663.99999999997</v>
      </c>
      <c r="CL126" s="216">
        <f>SUM($I115:CL115)*$D$29</f>
        <v>139663.99999999997</v>
      </c>
      <c r="CM126" s="216">
        <f>SUM($I115:CM115)*$D$29</f>
        <v>139663.99999999997</v>
      </c>
      <c r="CN126" s="216">
        <f>SUM($I115:CN115)*$D$29</f>
        <v>139663.99999999997</v>
      </c>
      <c r="CO126" s="216">
        <f>SUM($I115:CO115)*$D$29</f>
        <v>139663.99999999997</v>
      </c>
      <c r="CP126" s="216">
        <f>SUM($I115:CP115)*$D$29</f>
        <v>139663.99999999997</v>
      </c>
      <c r="CQ126" s="216">
        <f>SUM($I115:CQ115)*$D$29</f>
        <v>139663.99999999997</v>
      </c>
      <c r="CR126" s="216">
        <f>SUM($I115:CR115)*$D$29</f>
        <v>139663.99999999997</v>
      </c>
      <c r="CS126" s="216">
        <f>SUM($I115:CS115)*$D$29</f>
        <v>139663.99999999997</v>
      </c>
      <c r="CT126" s="216">
        <f>SUM($I115:CT115)*$D$29</f>
        <v>139663.99999999997</v>
      </c>
      <c r="CU126" s="216">
        <f>SUM($I115:CU115)*$D$29</f>
        <v>139663.99999999997</v>
      </c>
      <c r="CV126" s="216">
        <f>SUM($I115:CV115)*$D$29</f>
        <v>139663.99999999997</v>
      </c>
      <c r="CW126" s="216">
        <f>SUM($I115:CW115)*$D$29</f>
        <v>139663.99999999997</v>
      </c>
      <c r="CX126" s="216">
        <f>SUM($I115:CX115)*$D$29</f>
        <v>139663.99999999997</v>
      </c>
      <c r="CY126" s="216">
        <f>SUM($I115:CY115)*$D$29</f>
        <v>139663.99999999997</v>
      </c>
      <c r="CZ126" s="216">
        <f>SUM($I115:CZ115)*$D$29</f>
        <v>139663.99999999997</v>
      </c>
      <c r="DA126" s="216">
        <f>SUM($I115:DA115)*$D$29</f>
        <v>139663.99999999997</v>
      </c>
      <c r="DB126" s="216">
        <f>SUM($I115:DB115)*$D$29</f>
        <v>139663.99999999997</v>
      </c>
      <c r="DC126" s="216">
        <f>SUM($I115:DC115)*$D$29</f>
        <v>139663.99999999997</v>
      </c>
      <c r="DD126" s="216">
        <f>SUM($I115:DD115)*$D$29</f>
        <v>139663.99999999997</v>
      </c>
      <c r="DE126" s="216">
        <f>SUM($I115:DE115)*$D$29</f>
        <v>139663.99999999997</v>
      </c>
      <c r="DF126" s="216">
        <f>SUM($I115:DF115)*$D$29</f>
        <v>139663.99999999997</v>
      </c>
      <c r="DG126" s="216">
        <f>SUM($I115:DG115)*$D$29</f>
        <v>139663.99999999997</v>
      </c>
      <c r="DH126" s="216">
        <f>SUM($I115:DH115)*$D$29</f>
        <v>139663.99999999997</v>
      </c>
      <c r="DI126" s="216">
        <f>SUM($I115:DI115)*$D$29</f>
        <v>139663.99999999997</v>
      </c>
      <c r="DJ126" s="216">
        <f>SUM($I115:DJ115)*$D$29</f>
        <v>139663.99999999997</v>
      </c>
      <c r="DK126" s="216">
        <f>SUM($I115:DK115)*$D$29</f>
        <v>139663.99999999997</v>
      </c>
      <c r="DL126" s="216">
        <f>SUM($I115:DL115)*$D$29</f>
        <v>139663.99999999997</v>
      </c>
      <c r="DM126" s="216">
        <f>SUM($I115:DM115)*$D$29</f>
        <v>139663.99999999997</v>
      </c>
      <c r="DN126" s="216">
        <f>SUM($I115:DN115)*$D$29</f>
        <v>139663.99999999997</v>
      </c>
      <c r="DO126" s="216">
        <f>SUM($I115:DO115)*$D$29</f>
        <v>139663.99999999997</v>
      </c>
      <c r="DP126" s="216">
        <f>SUM($I115:DP115)*$D$29</f>
        <v>139663.99999999997</v>
      </c>
      <c r="DQ126" s="216">
        <f>SUM($I115:DQ115)*$D$29</f>
        <v>139663.99999999997</v>
      </c>
      <c r="DR126" s="216">
        <f>SUM($I115:DR115)*$D$29</f>
        <v>139663.99999999997</v>
      </c>
      <c r="DS126" s="216">
        <f>SUM($I115:DS115)*$D$29</f>
        <v>139663.99999999997</v>
      </c>
      <c r="DT126" s="216">
        <f>SUM($I115:DT115)*$D$29</f>
        <v>139663.99999999997</v>
      </c>
      <c r="DU126" s="216">
        <f>SUM($I115:DU115)*$D$29</f>
        <v>139663.99999999997</v>
      </c>
      <c r="DV126" s="216">
        <f>SUM($I115:DV115)*$D$29</f>
        <v>139663.99999999997</v>
      </c>
      <c r="DW126" s="216">
        <f>SUM($I115:DW115)*$D$29</f>
        <v>139663.99999999997</v>
      </c>
      <c r="DX126" s="216">
        <f>SUM($I115:DX115)*$D$29</f>
        <v>139663.99999999997</v>
      </c>
      <c r="DY126" s="216">
        <f>SUM($I115:DY115)*$D$29</f>
        <v>139663.99999999997</v>
      </c>
      <c r="DZ126" s="216">
        <f>SUM($I115:DZ115)*$D$29</f>
        <v>139663.99999999997</v>
      </c>
      <c r="EA126" s="216">
        <f>SUM($I115:EA115)*$D$29</f>
        <v>139663.99999999997</v>
      </c>
      <c r="EB126" s="216">
        <f>SUM($I115:EB115)*$D$29</f>
        <v>139663.99999999997</v>
      </c>
      <c r="EC126" s="216">
        <f>SUM($I115:EC115)*$D$29</f>
        <v>139663.99999999997</v>
      </c>
      <c r="ED126" s="216">
        <f>SUM($I115:ED115)*$D$29</f>
        <v>139663.99999999997</v>
      </c>
      <c r="EE126" s="216">
        <f>SUM($I115:EE115)*$D$29</f>
        <v>139663.99999999997</v>
      </c>
      <c r="EF126" s="216">
        <f>SUM($I115:EF115)*$D$29</f>
        <v>139663.99999999997</v>
      </c>
      <c r="EG126" s="216">
        <f>SUM($I115:EG115)*$D$29</f>
        <v>139663.99999999997</v>
      </c>
      <c r="EH126" s="216">
        <f>SUM($I115:EH115)*$D$29</f>
        <v>139663.99999999997</v>
      </c>
      <c r="EI126" s="216">
        <f>SUM($I115:EI115)*$D$29</f>
        <v>139663.99999999997</v>
      </c>
      <c r="EJ126" s="216">
        <f>SUM($I115:EJ115)*$D$29</f>
        <v>139663.99999999997</v>
      </c>
      <c r="EK126" s="216">
        <f>SUM($I115:EK115)*$D$29</f>
        <v>139663.99999999997</v>
      </c>
      <c r="EL126" s="216">
        <f>SUM($I115:EL115)*$D$29</f>
        <v>139663.99999999997</v>
      </c>
      <c r="EM126" s="216">
        <f>SUM($I115:EM115)*$D$29</f>
        <v>139663.99999999997</v>
      </c>
      <c r="EN126" s="216">
        <f>SUM($I115:EN115)*$D$29</f>
        <v>139663.99999999997</v>
      </c>
      <c r="EO126" s="216">
        <f>SUM($I115:EO115)*$D$29</f>
        <v>139663.99999999997</v>
      </c>
      <c r="EP126" s="216">
        <f>SUM($I115:EP115)*$D$29</f>
        <v>139663.99999999997</v>
      </c>
      <c r="EQ126" s="216">
        <f>SUM($I115:EQ115)*$D$29</f>
        <v>139663.99999999997</v>
      </c>
      <c r="ER126" s="216">
        <f>SUM($I115:ER115)*$D$29</f>
        <v>139663.99999999997</v>
      </c>
      <c r="ES126" s="216">
        <f>SUM($I115:ES115)*$D$29</f>
        <v>139663.99999999997</v>
      </c>
      <c r="ET126" s="216">
        <f>SUM($I115:ET115)*$D$29</f>
        <v>139663.99999999997</v>
      </c>
      <c r="EU126" s="216">
        <f>SUM($I115:EU115)*$D$29</f>
        <v>139663.99999999997</v>
      </c>
      <c r="EV126" s="216">
        <f>SUM($I115:EV115)*$D$29</f>
        <v>139663.99999999997</v>
      </c>
      <c r="EW126" s="216">
        <f>SUM($I115:EW115)*$D$29</f>
        <v>139663.99999999997</v>
      </c>
      <c r="EX126" s="216">
        <f>SUM($I115:EX115)*$D$29</f>
        <v>139663.99999999997</v>
      </c>
      <c r="EY126" s="216">
        <f>SUM($I115:EY115)*$D$29</f>
        <v>139663.99999999997</v>
      </c>
      <c r="EZ126" s="216">
        <f>SUM($I115:EZ115)*$D$29</f>
        <v>139663.99999999997</v>
      </c>
      <c r="FA126" s="216">
        <f>SUM($I115:FA115)*$D$29</f>
        <v>139663.99999999997</v>
      </c>
      <c r="FB126" s="216">
        <f>SUM($I115:FB115)*$D$29</f>
        <v>139663.99999999997</v>
      </c>
      <c r="FC126" s="216">
        <f>SUM($I115:FC115)*$D$29</f>
        <v>139663.99999999997</v>
      </c>
      <c r="FD126" s="216">
        <f>SUM($I115:FD115)*$D$29</f>
        <v>139663.99999999997</v>
      </c>
      <c r="FE126" s="216">
        <f>SUM($I115:FE115)*$D$29</f>
        <v>139663.99999999997</v>
      </c>
      <c r="FF126" s="216">
        <f>SUM($I115:FF115)*$D$29</f>
        <v>139663.99999999997</v>
      </c>
      <c r="FG126" s="216">
        <f>SUM($I115:FG115)*$D$29</f>
        <v>139663.99999999997</v>
      </c>
      <c r="FH126" s="216">
        <f>SUM($I115:FH115)*$D$29</f>
        <v>139663.99999999997</v>
      </c>
    </row>
    <row r="127" spans="1:164" x14ac:dyDescent="0.2">
      <c r="A127" s="10"/>
      <c r="B127" s="10"/>
      <c r="C127" s="201" t="s">
        <v>765</v>
      </c>
      <c r="D127" s="194"/>
      <c r="E127" s="194"/>
      <c r="F127" s="194"/>
      <c r="G127" s="194"/>
      <c r="H127" s="216"/>
      <c r="I127" s="216">
        <f t="shared" ref="I127:AN127" si="136">IF(I$6&lt;$D$76,MAX(0,I126-(1-$D$74)*$D$29),0)</f>
        <v>0</v>
      </c>
      <c r="J127" s="216">
        <f t="shared" si="136"/>
        <v>0</v>
      </c>
      <c r="K127" s="216">
        <f t="shared" si="136"/>
        <v>0</v>
      </c>
      <c r="L127" s="216">
        <f t="shared" si="136"/>
        <v>0</v>
      </c>
      <c r="M127" s="216">
        <f t="shared" si="136"/>
        <v>0</v>
      </c>
      <c r="N127" s="216">
        <f t="shared" si="136"/>
        <v>0</v>
      </c>
      <c r="O127" s="216">
        <f t="shared" si="136"/>
        <v>0</v>
      </c>
      <c r="P127" s="216">
        <f t="shared" si="136"/>
        <v>0</v>
      </c>
      <c r="Q127" s="216">
        <f t="shared" si="136"/>
        <v>0</v>
      </c>
      <c r="R127" s="216">
        <f t="shared" si="136"/>
        <v>0</v>
      </c>
      <c r="S127" s="216">
        <f t="shared" si="136"/>
        <v>0</v>
      </c>
      <c r="T127" s="216">
        <f t="shared" si="136"/>
        <v>0</v>
      </c>
      <c r="U127" s="216">
        <f t="shared" si="136"/>
        <v>0</v>
      </c>
      <c r="V127" s="216">
        <f t="shared" si="136"/>
        <v>0</v>
      </c>
      <c r="W127" s="216">
        <f t="shared" si="136"/>
        <v>0</v>
      </c>
      <c r="X127" s="216">
        <f t="shared" si="136"/>
        <v>0</v>
      </c>
      <c r="Y127" s="216">
        <f t="shared" si="136"/>
        <v>0</v>
      </c>
      <c r="Z127" s="216">
        <f t="shared" si="136"/>
        <v>0</v>
      </c>
      <c r="AA127" s="216">
        <f t="shared" si="136"/>
        <v>0</v>
      </c>
      <c r="AB127" s="216">
        <f t="shared" si="136"/>
        <v>0</v>
      </c>
      <c r="AC127" s="216">
        <f t="shared" si="136"/>
        <v>0</v>
      </c>
      <c r="AD127" s="216">
        <f t="shared" si="136"/>
        <v>0</v>
      </c>
      <c r="AE127" s="216">
        <f t="shared" si="136"/>
        <v>0</v>
      </c>
      <c r="AF127" s="216">
        <f t="shared" si="136"/>
        <v>0</v>
      </c>
      <c r="AG127" s="216">
        <f t="shared" si="136"/>
        <v>0</v>
      </c>
      <c r="AH127" s="216">
        <f t="shared" si="136"/>
        <v>0</v>
      </c>
      <c r="AI127" s="216">
        <f t="shared" si="136"/>
        <v>0</v>
      </c>
      <c r="AJ127" s="216">
        <f t="shared" si="136"/>
        <v>0</v>
      </c>
      <c r="AK127" s="216">
        <f t="shared" si="136"/>
        <v>0</v>
      </c>
      <c r="AL127" s="216">
        <f t="shared" si="136"/>
        <v>0</v>
      </c>
      <c r="AM127" s="216">
        <f t="shared" si="136"/>
        <v>0</v>
      </c>
      <c r="AN127" s="216">
        <f t="shared" si="136"/>
        <v>0</v>
      </c>
      <c r="AO127" s="216">
        <f t="shared" ref="AO127:BT127" si="137">IF(AO$6&lt;$D$76,MAX(0,AO126-(1-$D$74)*$D$29),0)</f>
        <v>0</v>
      </c>
      <c r="AP127" s="216">
        <f t="shared" si="137"/>
        <v>1840.200457162915</v>
      </c>
      <c r="AQ127" s="216">
        <f t="shared" si="137"/>
        <v>7880.1401724455282</v>
      </c>
      <c r="AR127" s="216">
        <f t="shared" si="137"/>
        <v>13966.399999999994</v>
      </c>
      <c r="AS127" s="216">
        <f t="shared" si="137"/>
        <v>20052.659827554453</v>
      </c>
      <c r="AT127" s="216">
        <f t="shared" si="137"/>
        <v>26092.599542837066</v>
      </c>
      <c r="AU127" s="216">
        <f t="shared" si="137"/>
        <v>32040.251557599229</v>
      </c>
      <c r="AV127" s="216">
        <f t="shared" si="137"/>
        <v>37850.350648718086</v>
      </c>
      <c r="AW127" s="216">
        <f t="shared" si="137"/>
        <v>43478.678453876506</v>
      </c>
      <c r="AX127" s="216">
        <f t="shared" si="137"/>
        <v>48882.39999999998</v>
      </c>
      <c r="AY127" s="216">
        <f t="shared" si="137"/>
        <v>54020.389703266221</v>
      </c>
      <c r="AZ127" s="216">
        <f t="shared" si="137"/>
        <v>58853.544359630381</v>
      </c>
      <c r="BA127" s="216">
        <f t="shared" si="137"/>
        <v>63345.080743818966</v>
      </c>
      <c r="BB127" s="216">
        <f t="shared" si="137"/>
        <v>67460.815551884443</v>
      </c>
      <c r="BC127" s="216">
        <f t="shared" si="137"/>
        <v>71169.425556788847</v>
      </c>
      <c r="BD127" s="216">
        <f t="shared" si="137"/>
        <v>74442.685997074892</v>
      </c>
      <c r="BE127" s="216">
        <f t="shared" si="137"/>
        <v>77255.68538434332</v>
      </c>
      <c r="BF127" s="216">
        <f t="shared" si="137"/>
        <v>79587.015094721515</v>
      </c>
      <c r="BG127" s="216">
        <f t="shared" si="137"/>
        <v>81418.932301418186</v>
      </c>
      <c r="BH127" s="216">
        <f t="shared" si="137"/>
        <v>82737.495008348487</v>
      </c>
      <c r="BI127" s="216">
        <f t="shared" si="137"/>
        <v>83532.668157142733</v>
      </c>
      <c r="BJ127" s="216">
        <f t="shared" si="137"/>
        <v>83798.399999999965</v>
      </c>
      <c r="BK127" s="216">
        <f t="shared" si="137"/>
        <v>83798.399999999965</v>
      </c>
      <c r="BL127" s="216">
        <f t="shared" si="137"/>
        <v>83798.399999999965</v>
      </c>
      <c r="BM127" s="216">
        <f t="shared" si="137"/>
        <v>83798.399999999965</v>
      </c>
      <c r="BN127" s="216">
        <f t="shared" si="137"/>
        <v>83798.399999999965</v>
      </c>
      <c r="BO127" s="216">
        <f t="shared" si="137"/>
        <v>83798.399999999965</v>
      </c>
      <c r="BP127" s="216">
        <f t="shared" si="137"/>
        <v>83798.399999999965</v>
      </c>
      <c r="BQ127" s="216">
        <f t="shared" si="137"/>
        <v>83798.399999999965</v>
      </c>
      <c r="BR127" s="216">
        <f t="shared" si="137"/>
        <v>83798.399999999965</v>
      </c>
      <c r="BS127" s="216">
        <f t="shared" si="137"/>
        <v>83798.399999999965</v>
      </c>
      <c r="BT127" s="216">
        <f t="shared" si="137"/>
        <v>83798.399999999965</v>
      </c>
      <c r="BU127" s="216">
        <f t="shared" ref="BU127:CZ127" si="138">IF(BU$6&lt;$D$76,MAX(0,BU126-(1-$D$74)*$D$29),0)</f>
        <v>83798.399999999965</v>
      </c>
      <c r="BV127" s="216">
        <f t="shared" si="138"/>
        <v>83798.399999999965</v>
      </c>
      <c r="BW127" s="216">
        <f t="shared" si="138"/>
        <v>83798.399999999965</v>
      </c>
      <c r="BX127" s="216">
        <f t="shared" si="138"/>
        <v>0</v>
      </c>
      <c r="BY127" s="216">
        <f t="shared" si="138"/>
        <v>0</v>
      </c>
      <c r="BZ127" s="216">
        <f t="shared" si="138"/>
        <v>0</v>
      </c>
      <c r="CA127" s="216">
        <f t="shared" si="138"/>
        <v>0</v>
      </c>
      <c r="CB127" s="216">
        <f t="shared" si="138"/>
        <v>0</v>
      </c>
      <c r="CC127" s="216">
        <f t="shared" si="138"/>
        <v>0</v>
      </c>
      <c r="CD127" s="216">
        <f t="shared" si="138"/>
        <v>0</v>
      </c>
      <c r="CE127" s="216">
        <f t="shared" si="138"/>
        <v>0</v>
      </c>
      <c r="CF127" s="216">
        <f t="shared" si="138"/>
        <v>0</v>
      </c>
      <c r="CG127" s="216">
        <f t="shared" si="138"/>
        <v>0</v>
      </c>
      <c r="CH127" s="216">
        <f t="shared" si="138"/>
        <v>0</v>
      </c>
      <c r="CI127" s="216">
        <f t="shared" si="138"/>
        <v>0</v>
      </c>
      <c r="CJ127" s="216">
        <f t="shared" si="138"/>
        <v>0</v>
      </c>
      <c r="CK127" s="216">
        <f t="shared" si="138"/>
        <v>0</v>
      </c>
      <c r="CL127" s="216">
        <f t="shared" si="138"/>
        <v>0</v>
      </c>
      <c r="CM127" s="216">
        <f t="shared" si="138"/>
        <v>0</v>
      </c>
      <c r="CN127" s="216">
        <f t="shared" si="138"/>
        <v>0</v>
      </c>
      <c r="CO127" s="216">
        <f t="shared" si="138"/>
        <v>0</v>
      </c>
      <c r="CP127" s="216">
        <f t="shared" si="138"/>
        <v>0</v>
      </c>
      <c r="CQ127" s="216">
        <f t="shared" si="138"/>
        <v>0</v>
      </c>
      <c r="CR127" s="216">
        <f t="shared" si="138"/>
        <v>0</v>
      </c>
      <c r="CS127" s="216">
        <f t="shared" si="138"/>
        <v>0</v>
      </c>
      <c r="CT127" s="216">
        <f t="shared" si="138"/>
        <v>0</v>
      </c>
      <c r="CU127" s="216">
        <f t="shared" si="138"/>
        <v>0</v>
      </c>
      <c r="CV127" s="216">
        <f t="shared" si="138"/>
        <v>0</v>
      </c>
      <c r="CW127" s="216">
        <f t="shared" si="138"/>
        <v>0</v>
      </c>
      <c r="CX127" s="216">
        <f t="shared" si="138"/>
        <v>0</v>
      </c>
      <c r="CY127" s="216">
        <f t="shared" si="138"/>
        <v>0</v>
      </c>
      <c r="CZ127" s="216">
        <f t="shared" si="138"/>
        <v>0</v>
      </c>
      <c r="DA127" s="216">
        <f t="shared" ref="DA127:EF127" si="139">IF(DA$6&lt;$D$76,MAX(0,DA126-(1-$D$74)*$D$29),0)</f>
        <v>0</v>
      </c>
      <c r="DB127" s="216">
        <f t="shared" si="139"/>
        <v>0</v>
      </c>
      <c r="DC127" s="216">
        <f t="shared" si="139"/>
        <v>0</v>
      </c>
      <c r="DD127" s="216">
        <f t="shared" si="139"/>
        <v>0</v>
      </c>
      <c r="DE127" s="216">
        <f t="shared" si="139"/>
        <v>0</v>
      </c>
      <c r="DF127" s="216">
        <f t="shared" si="139"/>
        <v>0</v>
      </c>
      <c r="DG127" s="216">
        <f t="shared" si="139"/>
        <v>0</v>
      </c>
      <c r="DH127" s="216">
        <f t="shared" si="139"/>
        <v>0</v>
      </c>
      <c r="DI127" s="216">
        <f t="shared" si="139"/>
        <v>0</v>
      </c>
      <c r="DJ127" s="216">
        <f t="shared" si="139"/>
        <v>0</v>
      </c>
      <c r="DK127" s="216">
        <f t="shared" si="139"/>
        <v>0</v>
      </c>
      <c r="DL127" s="216">
        <f t="shared" si="139"/>
        <v>0</v>
      </c>
      <c r="DM127" s="216">
        <f t="shared" si="139"/>
        <v>0</v>
      </c>
      <c r="DN127" s="216">
        <f t="shared" si="139"/>
        <v>0</v>
      </c>
      <c r="DO127" s="216">
        <f t="shared" si="139"/>
        <v>0</v>
      </c>
      <c r="DP127" s="216">
        <f t="shared" si="139"/>
        <v>0</v>
      </c>
      <c r="DQ127" s="216">
        <f t="shared" si="139"/>
        <v>0</v>
      </c>
      <c r="DR127" s="216">
        <f t="shared" si="139"/>
        <v>0</v>
      </c>
      <c r="DS127" s="216">
        <f t="shared" si="139"/>
        <v>0</v>
      </c>
      <c r="DT127" s="216">
        <f t="shared" si="139"/>
        <v>0</v>
      </c>
      <c r="DU127" s="216">
        <f t="shared" si="139"/>
        <v>0</v>
      </c>
      <c r="DV127" s="216">
        <f t="shared" si="139"/>
        <v>0</v>
      </c>
      <c r="DW127" s="216">
        <f t="shared" si="139"/>
        <v>0</v>
      </c>
      <c r="DX127" s="216">
        <f t="shared" si="139"/>
        <v>0</v>
      </c>
      <c r="DY127" s="216">
        <f t="shared" si="139"/>
        <v>0</v>
      </c>
      <c r="DZ127" s="216">
        <f t="shared" si="139"/>
        <v>0</v>
      </c>
      <c r="EA127" s="216">
        <f t="shared" si="139"/>
        <v>0</v>
      </c>
      <c r="EB127" s="216">
        <f t="shared" si="139"/>
        <v>0</v>
      </c>
      <c r="EC127" s="216">
        <f t="shared" si="139"/>
        <v>0</v>
      </c>
      <c r="ED127" s="216">
        <f t="shared" si="139"/>
        <v>0</v>
      </c>
      <c r="EE127" s="216">
        <f t="shared" si="139"/>
        <v>0</v>
      </c>
      <c r="EF127" s="216">
        <f t="shared" si="139"/>
        <v>0</v>
      </c>
      <c r="EG127" s="216">
        <f t="shared" ref="EG127:FH127" si="140">IF(EG$6&lt;$D$76,MAX(0,EG126-(1-$D$74)*$D$29),0)</f>
        <v>0</v>
      </c>
      <c r="EH127" s="216">
        <f t="shared" si="140"/>
        <v>0</v>
      </c>
      <c r="EI127" s="216">
        <f t="shared" si="140"/>
        <v>0</v>
      </c>
      <c r="EJ127" s="216">
        <f t="shared" si="140"/>
        <v>0</v>
      </c>
      <c r="EK127" s="216">
        <f t="shared" si="140"/>
        <v>0</v>
      </c>
      <c r="EL127" s="216">
        <f t="shared" si="140"/>
        <v>0</v>
      </c>
      <c r="EM127" s="216">
        <f t="shared" si="140"/>
        <v>0</v>
      </c>
      <c r="EN127" s="216">
        <f t="shared" si="140"/>
        <v>0</v>
      </c>
      <c r="EO127" s="216">
        <f t="shared" si="140"/>
        <v>0</v>
      </c>
      <c r="EP127" s="216">
        <f t="shared" si="140"/>
        <v>0</v>
      </c>
      <c r="EQ127" s="216">
        <f t="shared" si="140"/>
        <v>0</v>
      </c>
      <c r="ER127" s="216">
        <f t="shared" si="140"/>
        <v>0</v>
      </c>
      <c r="ES127" s="216">
        <f t="shared" si="140"/>
        <v>0</v>
      </c>
      <c r="ET127" s="216">
        <f t="shared" si="140"/>
        <v>0</v>
      </c>
      <c r="EU127" s="216">
        <f t="shared" si="140"/>
        <v>0</v>
      </c>
      <c r="EV127" s="216">
        <f t="shared" si="140"/>
        <v>0</v>
      </c>
      <c r="EW127" s="216">
        <f t="shared" si="140"/>
        <v>0</v>
      </c>
      <c r="EX127" s="216">
        <f t="shared" si="140"/>
        <v>0</v>
      </c>
      <c r="EY127" s="216">
        <f t="shared" si="140"/>
        <v>0</v>
      </c>
      <c r="EZ127" s="216">
        <f t="shared" si="140"/>
        <v>0</v>
      </c>
      <c r="FA127" s="216">
        <f t="shared" si="140"/>
        <v>0</v>
      </c>
      <c r="FB127" s="216">
        <f t="shared" si="140"/>
        <v>0</v>
      </c>
      <c r="FC127" s="216">
        <f t="shared" si="140"/>
        <v>0</v>
      </c>
      <c r="FD127" s="216">
        <f t="shared" si="140"/>
        <v>0</v>
      </c>
      <c r="FE127" s="216">
        <f t="shared" si="140"/>
        <v>0</v>
      </c>
      <c r="FF127" s="216">
        <f t="shared" si="140"/>
        <v>0</v>
      </c>
      <c r="FG127" s="216">
        <f t="shared" si="140"/>
        <v>0</v>
      </c>
      <c r="FH127" s="216">
        <f t="shared" si="140"/>
        <v>0</v>
      </c>
    </row>
    <row r="128" spans="1:164" x14ac:dyDescent="0.2">
      <c r="A128" s="10"/>
      <c r="B128" s="10"/>
      <c r="C128" s="10" t="s">
        <v>766</v>
      </c>
      <c r="D128" s="10"/>
      <c r="E128" s="10"/>
      <c r="F128" s="10"/>
      <c r="G128" s="10"/>
      <c r="H128" s="12"/>
      <c r="I128" s="12">
        <f>0</f>
        <v>0</v>
      </c>
      <c r="J128" s="12">
        <f t="shared" ref="J128:AO128" si="141">I132</f>
        <v>0</v>
      </c>
      <c r="K128" s="12">
        <f t="shared" si="141"/>
        <v>0</v>
      </c>
      <c r="L128" s="12">
        <f t="shared" si="141"/>
        <v>0</v>
      </c>
      <c r="M128" s="12">
        <f t="shared" si="141"/>
        <v>0</v>
      </c>
      <c r="N128" s="12">
        <f t="shared" si="141"/>
        <v>0</v>
      </c>
      <c r="O128" s="12">
        <f t="shared" si="141"/>
        <v>0</v>
      </c>
      <c r="P128" s="12">
        <f t="shared" si="141"/>
        <v>0</v>
      </c>
      <c r="Q128" s="12">
        <f t="shared" si="141"/>
        <v>0</v>
      </c>
      <c r="R128" s="12">
        <f t="shared" si="141"/>
        <v>0</v>
      </c>
      <c r="S128" s="12">
        <f t="shared" si="141"/>
        <v>0</v>
      </c>
      <c r="T128" s="12">
        <f t="shared" si="141"/>
        <v>0</v>
      </c>
      <c r="U128" s="12">
        <f t="shared" si="141"/>
        <v>0</v>
      </c>
      <c r="V128" s="12">
        <f t="shared" si="141"/>
        <v>0</v>
      </c>
      <c r="W128" s="12">
        <f t="shared" si="141"/>
        <v>0</v>
      </c>
      <c r="X128" s="12">
        <f t="shared" si="141"/>
        <v>0</v>
      </c>
      <c r="Y128" s="12">
        <f t="shared" si="141"/>
        <v>0</v>
      </c>
      <c r="Z128" s="12">
        <f t="shared" si="141"/>
        <v>0</v>
      </c>
      <c r="AA128" s="12">
        <f t="shared" si="141"/>
        <v>0</v>
      </c>
      <c r="AB128" s="12">
        <f t="shared" si="141"/>
        <v>0</v>
      </c>
      <c r="AC128" s="12">
        <f t="shared" si="141"/>
        <v>0</v>
      </c>
      <c r="AD128" s="12">
        <f t="shared" si="141"/>
        <v>0</v>
      </c>
      <c r="AE128" s="12">
        <f t="shared" si="141"/>
        <v>0</v>
      </c>
      <c r="AF128" s="12">
        <f t="shared" si="141"/>
        <v>0</v>
      </c>
      <c r="AG128" s="12">
        <f t="shared" si="141"/>
        <v>0</v>
      </c>
      <c r="AH128" s="12">
        <f t="shared" si="141"/>
        <v>0</v>
      </c>
      <c r="AI128" s="12">
        <f t="shared" si="141"/>
        <v>0</v>
      </c>
      <c r="AJ128" s="12">
        <f t="shared" si="141"/>
        <v>0</v>
      </c>
      <c r="AK128" s="12">
        <f t="shared" si="141"/>
        <v>0</v>
      </c>
      <c r="AL128" s="12">
        <f t="shared" si="141"/>
        <v>0</v>
      </c>
      <c r="AM128" s="12">
        <f t="shared" si="141"/>
        <v>0</v>
      </c>
      <c r="AN128" s="12">
        <f t="shared" si="141"/>
        <v>0</v>
      </c>
      <c r="AO128" s="12">
        <f t="shared" si="141"/>
        <v>0</v>
      </c>
      <c r="AP128" s="12">
        <f t="shared" ref="AP128:BU128" si="142">AO132</f>
        <v>0</v>
      </c>
      <c r="AQ128" s="12">
        <f t="shared" si="142"/>
        <v>1840.200457162915</v>
      </c>
      <c r="AR128" s="12">
        <f t="shared" si="142"/>
        <v>7880.1401724455282</v>
      </c>
      <c r="AS128" s="12">
        <f t="shared" si="142"/>
        <v>13966.399999999994</v>
      </c>
      <c r="AT128" s="12">
        <f t="shared" si="142"/>
        <v>20052.659827554453</v>
      </c>
      <c r="AU128" s="12">
        <f t="shared" si="142"/>
        <v>26092.599542837066</v>
      </c>
      <c r="AV128" s="12">
        <f t="shared" si="142"/>
        <v>32040.251557599229</v>
      </c>
      <c r="AW128" s="12">
        <f t="shared" si="142"/>
        <v>37850.350648718086</v>
      </c>
      <c r="AX128" s="12">
        <f t="shared" si="142"/>
        <v>43478.678453876506</v>
      </c>
      <c r="AY128" s="12">
        <f t="shared" si="142"/>
        <v>48882.39999999998</v>
      </c>
      <c r="AZ128" s="12">
        <f t="shared" si="142"/>
        <v>54020.389703266221</v>
      </c>
      <c r="BA128" s="12">
        <f t="shared" si="142"/>
        <v>58853.544359630381</v>
      </c>
      <c r="BB128" s="12">
        <f t="shared" si="142"/>
        <v>63345.080743818966</v>
      </c>
      <c r="BC128" s="12">
        <f t="shared" si="142"/>
        <v>67460.815551884443</v>
      </c>
      <c r="BD128" s="12">
        <f t="shared" si="142"/>
        <v>71169.425556788847</v>
      </c>
      <c r="BE128" s="12">
        <f t="shared" si="142"/>
        <v>74442.685997074892</v>
      </c>
      <c r="BF128" s="12">
        <f t="shared" si="142"/>
        <v>77255.68538434332</v>
      </c>
      <c r="BG128" s="12">
        <f t="shared" si="142"/>
        <v>79587.015094721515</v>
      </c>
      <c r="BH128" s="12">
        <f t="shared" si="142"/>
        <v>81418.932301418186</v>
      </c>
      <c r="BI128" s="12">
        <f t="shared" si="142"/>
        <v>82737.495008348487</v>
      </c>
      <c r="BJ128" s="12">
        <f t="shared" si="142"/>
        <v>83532.668157142733</v>
      </c>
      <c r="BK128" s="12">
        <f t="shared" si="142"/>
        <v>83798.399999999965</v>
      </c>
      <c r="BL128" s="12">
        <f t="shared" si="142"/>
        <v>83798.399999999965</v>
      </c>
      <c r="BM128" s="12">
        <f t="shared" si="142"/>
        <v>83798.399999999965</v>
      </c>
      <c r="BN128" s="12">
        <f t="shared" si="142"/>
        <v>83798.399999999965</v>
      </c>
      <c r="BO128" s="12">
        <f t="shared" si="142"/>
        <v>83798.399999999965</v>
      </c>
      <c r="BP128" s="12">
        <f t="shared" si="142"/>
        <v>83798.399999999965</v>
      </c>
      <c r="BQ128" s="12">
        <f t="shared" si="142"/>
        <v>83798.399999999965</v>
      </c>
      <c r="BR128" s="12">
        <f t="shared" si="142"/>
        <v>83798.399999999965</v>
      </c>
      <c r="BS128" s="12">
        <f t="shared" si="142"/>
        <v>83798.399999999965</v>
      </c>
      <c r="BT128" s="12">
        <f t="shared" si="142"/>
        <v>83798.399999999965</v>
      </c>
      <c r="BU128" s="12">
        <f t="shared" si="142"/>
        <v>83798.399999999965</v>
      </c>
      <c r="BV128" s="12">
        <f t="shared" ref="BV128:DA128" si="143">BU132</f>
        <v>83798.399999999965</v>
      </c>
      <c r="BW128" s="12">
        <f t="shared" si="143"/>
        <v>83798.399999999965</v>
      </c>
      <c r="BX128" s="12">
        <f t="shared" si="143"/>
        <v>83798.399999999965</v>
      </c>
      <c r="BY128" s="12">
        <f t="shared" si="143"/>
        <v>0</v>
      </c>
      <c r="BZ128" s="12">
        <f t="shared" si="143"/>
        <v>0</v>
      </c>
      <c r="CA128" s="12">
        <f t="shared" si="143"/>
        <v>0</v>
      </c>
      <c r="CB128" s="12">
        <f t="shared" si="143"/>
        <v>0</v>
      </c>
      <c r="CC128" s="12">
        <f t="shared" si="143"/>
        <v>0</v>
      </c>
      <c r="CD128" s="12">
        <f t="shared" si="143"/>
        <v>0</v>
      </c>
      <c r="CE128" s="12">
        <f t="shared" si="143"/>
        <v>0</v>
      </c>
      <c r="CF128" s="12">
        <f t="shared" si="143"/>
        <v>0</v>
      </c>
      <c r="CG128" s="12">
        <f t="shared" si="143"/>
        <v>0</v>
      </c>
      <c r="CH128" s="12">
        <f t="shared" si="143"/>
        <v>0</v>
      </c>
      <c r="CI128" s="12">
        <f t="shared" si="143"/>
        <v>0</v>
      </c>
      <c r="CJ128" s="12">
        <f t="shared" si="143"/>
        <v>0</v>
      </c>
      <c r="CK128" s="12">
        <f t="shared" si="143"/>
        <v>0</v>
      </c>
      <c r="CL128" s="12">
        <f t="shared" si="143"/>
        <v>0</v>
      </c>
      <c r="CM128" s="12">
        <f t="shared" si="143"/>
        <v>0</v>
      </c>
      <c r="CN128" s="12">
        <f t="shared" si="143"/>
        <v>0</v>
      </c>
      <c r="CO128" s="12">
        <f t="shared" si="143"/>
        <v>0</v>
      </c>
      <c r="CP128" s="12">
        <f t="shared" si="143"/>
        <v>0</v>
      </c>
      <c r="CQ128" s="12">
        <f t="shared" si="143"/>
        <v>0</v>
      </c>
      <c r="CR128" s="12">
        <f t="shared" si="143"/>
        <v>0</v>
      </c>
      <c r="CS128" s="12">
        <f t="shared" si="143"/>
        <v>0</v>
      </c>
      <c r="CT128" s="12">
        <f t="shared" si="143"/>
        <v>0</v>
      </c>
      <c r="CU128" s="12">
        <f t="shared" si="143"/>
        <v>0</v>
      </c>
      <c r="CV128" s="12">
        <f t="shared" si="143"/>
        <v>0</v>
      </c>
      <c r="CW128" s="12">
        <f t="shared" si="143"/>
        <v>0</v>
      </c>
      <c r="CX128" s="12">
        <f t="shared" si="143"/>
        <v>0</v>
      </c>
      <c r="CY128" s="12">
        <f t="shared" si="143"/>
        <v>0</v>
      </c>
      <c r="CZ128" s="12">
        <f t="shared" si="143"/>
        <v>0</v>
      </c>
      <c r="DA128" s="12">
        <f t="shared" si="143"/>
        <v>0</v>
      </c>
      <c r="DB128" s="12">
        <f t="shared" ref="DB128:EG128" si="144">DA132</f>
        <v>0</v>
      </c>
      <c r="DC128" s="12">
        <f t="shared" si="144"/>
        <v>0</v>
      </c>
      <c r="DD128" s="12">
        <f t="shared" si="144"/>
        <v>0</v>
      </c>
      <c r="DE128" s="12">
        <f t="shared" si="144"/>
        <v>0</v>
      </c>
      <c r="DF128" s="12">
        <f t="shared" si="144"/>
        <v>0</v>
      </c>
      <c r="DG128" s="12">
        <f t="shared" si="144"/>
        <v>0</v>
      </c>
      <c r="DH128" s="12">
        <f t="shared" si="144"/>
        <v>0</v>
      </c>
      <c r="DI128" s="12">
        <f t="shared" si="144"/>
        <v>0</v>
      </c>
      <c r="DJ128" s="12">
        <f t="shared" si="144"/>
        <v>0</v>
      </c>
      <c r="DK128" s="12">
        <f t="shared" si="144"/>
        <v>0</v>
      </c>
      <c r="DL128" s="12">
        <f t="shared" si="144"/>
        <v>0</v>
      </c>
      <c r="DM128" s="12">
        <f t="shared" si="144"/>
        <v>0</v>
      </c>
      <c r="DN128" s="12">
        <f t="shared" si="144"/>
        <v>0</v>
      </c>
      <c r="DO128" s="12">
        <f t="shared" si="144"/>
        <v>0</v>
      </c>
      <c r="DP128" s="12">
        <f t="shared" si="144"/>
        <v>0</v>
      </c>
      <c r="DQ128" s="12">
        <f t="shared" si="144"/>
        <v>0</v>
      </c>
      <c r="DR128" s="12">
        <f t="shared" si="144"/>
        <v>0</v>
      </c>
      <c r="DS128" s="12">
        <f t="shared" si="144"/>
        <v>0</v>
      </c>
      <c r="DT128" s="12">
        <f t="shared" si="144"/>
        <v>0</v>
      </c>
      <c r="DU128" s="12">
        <f t="shared" si="144"/>
        <v>0</v>
      </c>
      <c r="DV128" s="12">
        <f t="shared" si="144"/>
        <v>0</v>
      </c>
      <c r="DW128" s="12">
        <f t="shared" si="144"/>
        <v>0</v>
      </c>
      <c r="DX128" s="12">
        <f t="shared" si="144"/>
        <v>0</v>
      </c>
      <c r="DY128" s="12">
        <f t="shared" si="144"/>
        <v>0</v>
      </c>
      <c r="DZ128" s="12">
        <f t="shared" si="144"/>
        <v>0</v>
      </c>
      <c r="EA128" s="12">
        <f t="shared" si="144"/>
        <v>0</v>
      </c>
      <c r="EB128" s="12">
        <f t="shared" si="144"/>
        <v>0</v>
      </c>
      <c r="EC128" s="12">
        <f t="shared" si="144"/>
        <v>0</v>
      </c>
      <c r="ED128" s="12">
        <f t="shared" si="144"/>
        <v>0</v>
      </c>
      <c r="EE128" s="12">
        <f t="shared" si="144"/>
        <v>0</v>
      </c>
      <c r="EF128" s="12">
        <f t="shared" si="144"/>
        <v>0</v>
      </c>
      <c r="EG128" s="12">
        <f t="shared" si="144"/>
        <v>0</v>
      </c>
      <c r="EH128" s="12">
        <f t="shared" ref="EH128:FH128" si="145">EG132</f>
        <v>0</v>
      </c>
      <c r="EI128" s="12">
        <f t="shared" si="145"/>
        <v>0</v>
      </c>
      <c r="EJ128" s="12">
        <f t="shared" si="145"/>
        <v>0</v>
      </c>
      <c r="EK128" s="12">
        <f t="shared" si="145"/>
        <v>0</v>
      </c>
      <c r="EL128" s="12">
        <f t="shared" si="145"/>
        <v>0</v>
      </c>
      <c r="EM128" s="12">
        <f t="shared" si="145"/>
        <v>0</v>
      </c>
      <c r="EN128" s="12">
        <f t="shared" si="145"/>
        <v>0</v>
      </c>
      <c r="EO128" s="12">
        <f t="shared" si="145"/>
        <v>0</v>
      </c>
      <c r="EP128" s="12">
        <f t="shared" si="145"/>
        <v>0</v>
      </c>
      <c r="EQ128" s="12">
        <f t="shared" si="145"/>
        <v>0</v>
      </c>
      <c r="ER128" s="12">
        <f t="shared" si="145"/>
        <v>0</v>
      </c>
      <c r="ES128" s="12">
        <f t="shared" si="145"/>
        <v>0</v>
      </c>
      <c r="ET128" s="12">
        <f t="shared" si="145"/>
        <v>0</v>
      </c>
      <c r="EU128" s="12">
        <f t="shared" si="145"/>
        <v>0</v>
      </c>
      <c r="EV128" s="12">
        <f t="shared" si="145"/>
        <v>0</v>
      </c>
      <c r="EW128" s="12">
        <f t="shared" si="145"/>
        <v>0</v>
      </c>
      <c r="EX128" s="12">
        <f t="shared" si="145"/>
        <v>0</v>
      </c>
      <c r="EY128" s="12">
        <f t="shared" si="145"/>
        <v>0</v>
      </c>
      <c r="EZ128" s="12">
        <f t="shared" si="145"/>
        <v>0</v>
      </c>
      <c r="FA128" s="12">
        <f t="shared" si="145"/>
        <v>0</v>
      </c>
      <c r="FB128" s="12">
        <f t="shared" si="145"/>
        <v>0</v>
      </c>
      <c r="FC128" s="12">
        <f t="shared" si="145"/>
        <v>0</v>
      </c>
      <c r="FD128" s="12">
        <f t="shared" si="145"/>
        <v>0</v>
      </c>
      <c r="FE128" s="12">
        <f t="shared" si="145"/>
        <v>0</v>
      </c>
      <c r="FF128" s="12">
        <f t="shared" si="145"/>
        <v>0</v>
      </c>
      <c r="FG128" s="12">
        <f t="shared" si="145"/>
        <v>0</v>
      </c>
      <c r="FH128" s="12">
        <f t="shared" si="145"/>
        <v>0</v>
      </c>
    </row>
    <row r="129" spans="1:164" x14ac:dyDescent="0.2">
      <c r="A129" s="10"/>
      <c r="B129" s="10"/>
      <c r="C129" s="10" t="s">
        <v>767</v>
      </c>
      <c r="D129" s="10"/>
      <c r="E129" s="10"/>
      <c r="F129" s="10"/>
      <c r="G129" s="10"/>
      <c r="H129" s="12">
        <f>SUM(I129:FH129)</f>
        <v>83798.399999999965</v>
      </c>
      <c r="I129" s="12">
        <f>MAX(0,I127)</f>
        <v>0</v>
      </c>
      <c r="J129" s="12">
        <f t="shared" ref="J129:AO129" si="146">MAX(0,J127-I127)</f>
        <v>0</v>
      </c>
      <c r="K129" s="12">
        <f t="shared" si="146"/>
        <v>0</v>
      </c>
      <c r="L129" s="12">
        <f t="shared" si="146"/>
        <v>0</v>
      </c>
      <c r="M129" s="12">
        <f t="shared" si="146"/>
        <v>0</v>
      </c>
      <c r="N129" s="12">
        <f t="shared" si="146"/>
        <v>0</v>
      </c>
      <c r="O129" s="12">
        <f t="shared" si="146"/>
        <v>0</v>
      </c>
      <c r="P129" s="12">
        <f t="shared" si="146"/>
        <v>0</v>
      </c>
      <c r="Q129" s="12">
        <f t="shared" si="146"/>
        <v>0</v>
      </c>
      <c r="R129" s="12">
        <f t="shared" si="146"/>
        <v>0</v>
      </c>
      <c r="S129" s="12">
        <f t="shared" si="146"/>
        <v>0</v>
      </c>
      <c r="T129" s="12">
        <f t="shared" si="146"/>
        <v>0</v>
      </c>
      <c r="U129" s="12">
        <f t="shared" si="146"/>
        <v>0</v>
      </c>
      <c r="V129" s="12">
        <f t="shared" si="146"/>
        <v>0</v>
      </c>
      <c r="W129" s="12">
        <f t="shared" si="146"/>
        <v>0</v>
      </c>
      <c r="X129" s="12">
        <f t="shared" si="146"/>
        <v>0</v>
      </c>
      <c r="Y129" s="12">
        <f t="shared" si="146"/>
        <v>0</v>
      </c>
      <c r="Z129" s="12">
        <f t="shared" si="146"/>
        <v>0</v>
      </c>
      <c r="AA129" s="12">
        <f t="shared" si="146"/>
        <v>0</v>
      </c>
      <c r="AB129" s="12">
        <f t="shared" si="146"/>
        <v>0</v>
      </c>
      <c r="AC129" s="12">
        <f t="shared" si="146"/>
        <v>0</v>
      </c>
      <c r="AD129" s="12">
        <f t="shared" si="146"/>
        <v>0</v>
      </c>
      <c r="AE129" s="12">
        <f t="shared" si="146"/>
        <v>0</v>
      </c>
      <c r="AF129" s="12">
        <f t="shared" si="146"/>
        <v>0</v>
      </c>
      <c r="AG129" s="12">
        <f t="shared" si="146"/>
        <v>0</v>
      </c>
      <c r="AH129" s="12">
        <f t="shared" si="146"/>
        <v>0</v>
      </c>
      <c r="AI129" s="12">
        <f t="shared" si="146"/>
        <v>0</v>
      </c>
      <c r="AJ129" s="12">
        <f t="shared" si="146"/>
        <v>0</v>
      </c>
      <c r="AK129" s="12">
        <f t="shared" si="146"/>
        <v>0</v>
      </c>
      <c r="AL129" s="12">
        <f t="shared" si="146"/>
        <v>0</v>
      </c>
      <c r="AM129" s="12">
        <f t="shared" si="146"/>
        <v>0</v>
      </c>
      <c r="AN129" s="12">
        <f t="shared" si="146"/>
        <v>0</v>
      </c>
      <c r="AO129" s="12">
        <f t="shared" si="146"/>
        <v>0</v>
      </c>
      <c r="AP129" s="12">
        <f t="shared" ref="AP129:BU129" si="147">MAX(0,AP127-AO127)</f>
        <v>1840.200457162915</v>
      </c>
      <c r="AQ129" s="12">
        <f t="shared" si="147"/>
        <v>6039.9397152826132</v>
      </c>
      <c r="AR129" s="12">
        <f t="shared" si="147"/>
        <v>6086.259827554466</v>
      </c>
      <c r="AS129" s="12">
        <f t="shared" si="147"/>
        <v>6086.2598275544588</v>
      </c>
      <c r="AT129" s="12">
        <f t="shared" si="147"/>
        <v>6039.9397152826132</v>
      </c>
      <c r="AU129" s="12">
        <f t="shared" si="147"/>
        <v>5947.6520147621632</v>
      </c>
      <c r="AV129" s="12">
        <f t="shared" si="147"/>
        <v>5810.0990911188564</v>
      </c>
      <c r="AW129" s="12">
        <f t="shared" si="147"/>
        <v>5628.3278051584202</v>
      </c>
      <c r="AX129" s="12">
        <f t="shared" si="147"/>
        <v>5403.7215461234737</v>
      </c>
      <c r="AY129" s="12">
        <f t="shared" si="147"/>
        <v>5137.9897032662411</v>
      </c>
      <c r="AZ129" s="12">
        <f t="shared" si="147"/>
        <v>4833.1546563641605</v>
      </c>
      <c r="BA129" s="12">
        <f t="shared" si="147"/>
        <v>4491.5363841885846</v>
      </c>
      <c r="BB129" s="12">
        <f t="shared" si="147"/>
        <v>4115.7348080654774</v>
      </c>
      <c r="BC129" s="12">
        <f t="shared" si="147"/>
        <v>3708.6100049044035</v>
      </c>
      <c r="BD129" s="12">
        <f t="shared" si="147"/>
        <v>3273.2604402860452</v>
      </c>
      <c r="BE129" s="12">
        <f t="shared" si="147"/>
        <v>2812.9993872684281</v>
      </c>
      <c r="BF129" s="12">
        <f t="shared" si="147"/>
        <v>2331.3297103781952</v>
      </c>
      <c r="BG129" s="12">
        <f t="shared" si="147"/>
        <v>1831.9172066966712</v>
      </c>
      <c r="BH129" s="12">
        <f t="shared" si="147"/>
        <v>1318.5627069303009</v>
      </c>
      <c r="BI129" s="12">
        <f t="shared" si="147"/>
        <v>795.17314879424521</v>
      </c>
      <c r="BJ129" s="12">
        <f t="shared" si="147"/>
        <v>265.73184285723255</v>
      </c>
      <c r="BK129" s="12">
        <f t="shared" si="147"/>
        <v>0</v>
      </c>
      <c r="BL129" s="12">
        <f t="shared" si="147"/>
        <v>0</v>
      </c>
      <c r="BM129" s="12">
        <f t="shared" si="147"/>
        <v>0</v>
      </c>
      <c r="BN129" s="12">
        <f t="shared" si="147"/>
        <v>0</v>
      </c>
      <c r="BO129" s="12">
        <f t="shared" si="147"/>
        <v>0</v>
      </c>
      <c r="BP129" s="12">
        <f t="shared" si="147"/>
        <v>0</v>
      </c>
      <c r="BQ129" s="12">
        <f t="shared" si="147"/>
        <v>0</v>
      </c>
      <c r="BR129" s="12">
        <f t="shared" si="147"/>
        <v>0</v>
      </c>
      <c r="BS129" s="12">
        <f t="shared" si="147"/>
        <v>0</v>
      </c>
      <c r="BT129" s="12">
        <f t="shared" si="147"/>
        <v>0</v>
      </c>
      <c r="BU129" s="12">
        <f t="shared" si="147"/>
        <v>0</v>
      </c>
      <c r="BV129" s="12">
        <f t="shared" ref="BV129:DA129" si="148">MAX(0,BV127-BU127)</f>
        <v>0</v>
      </c>
      <c r="BW129" s="12">
        <f t="shared" si="148"/>
        <v>0</v>
      </c>
      <c r="BX129" s="12">
        <f t="shared" si="148"/>
        <v>0</v>
      </c>
      <c r="BY129" s="12">
        <f t="shared" si="148"/>
        <v>0</v>
      </c>
      <c r="BZ129" s="12">
        <f t="shared" si="148"/>
        <v>0</v>
      </c>
      <c r="CA129" s="12">
        <f t="shared" si="148"/>
        <v>0</v>
      </c>
      <c r="CB129" s="12">
        <f t="shared" si="148"/>
        <v>0</v>
      </c>
      <c r="CC129" s="12">
        <f t="shared" si="148"/>
        <v>0</v>
      </c>
      <c r="CD129" s="12">
        <f t="shared" si="148"/>
        <v>0</v>
      </c>
      <c r="CE129" s="12">
        <f t="shared" si="148"/>
        <v>0</v>
      </c>
      <c r="CF129" s="12">
        <f t="shared" si="148"/>
        <v>0</v>
      </c>
      <c r="CG129" s="12">
        <f t="shared" si="148"/>
        <v>0</v>
      </c>
      <c r="CH129" s="12">
        <f t="shared" si="148"/>
        <v>0</v>
      </c>
      <c r="CI129" s="12">
        <f t="shared" si="148"/>
        <v>0</v>
      </c>
      <c r="CJ129" s="12">
        <f t="shared" si="148"/>
        <v>0</v>
      </c>
      <c r="CK129" s="12">
        <f t="shared" si="148"/>
        <v>0</v>
      </c>
      <c r="CL129" s="12">
        <f t="shared" si="148"/>
        <v>0</v>
      </c>
      <c r="CM129" s="12">
        <f t="shared" si="148"/>
        <v>0</v>
      </c>
      <c r="CN129" s="12">
        <f t="shared" si="148"/>
        <v>0</v>
      </c>
      <c r="CO129" s="12">
        <f t="shared" si="148"/>
        <v>0</v>
      </c>
      <c r="CP129" s="12">
        <f t="shared" si="148"/>
        <v>0</v>
      </c>
      <c r="CQ129" s="12">
        <f t="shared" si="148"/>
        <v>0</v>
      </c>
      <c r="CR129" s="12">
        <f t="shared" si="148"/>
        <v>0</v>
      </c>
      <c r="CS129" s="12">
        <f t="shared" si="148"/>
        <v>0</v>
      </c>
      <c r="CT129" s="12">
        <f t="shared" si="148"/>
        <v>0</v>
      </c>
      <c r="CU129" s="12">
        <f t="shared" si="148"/>
        <v>0</v>
      </c>
      <c r="CV129" s="12">
        <f t="shared" si="148"/>
        <v>0</v>
      </c>
      <c r="CW129" s="12">
        <f t="shared" si="148"/>
        <v>0</v>
      </c>
      <c r="CX129" s="12">
        <f t="shared" si="148"/>
        <v>0</v>
      </c>
      <c r="CY129" s="12">
        <f t="shared" si="148"/>
        <v>0</v>
      </c>
      <c r="CZ129" s="12">
        <f t="shared" si="148"/>
        <v>0</v>
      </c>
      <c r="DA129" s="12">
        <f t="shared" si="148"/>
        <v>0</v>
      </c>
      <c r="DB129" s="12">
        <f t="shared" ref="DB129:EG129" si="149">MAX(0,DB127-DA127)</f>
        <v>0</v>
      </c>
      <c r="DC129" s="12">
        <f t="shared" si="149"/>
        <v>0</v>
      </c>
      <c r="DD129" s="12">
        <f t="shared" si="149"/>
        <v>0</v>
      </c>
      <c r="DE129" s="12">
        <f t="shared" si="149"/>
        <v>0</v>
      </c>
      <c r="DF129" s="12">
        <f t="shared" si="149"/>
        <v>0</v>
      </c>
      <c r="DG129" s="12">
        <f t="shared" si="149"/>
        <v>0</v>
      </c>
      <c r="DH129" s="12">
        <f t="shared" si="149"/>
        <v>0</v>
      </c>
      <c r="DI129" s="12">
        <f t="shared" si="149"/>
        <v>0</v>
      </c>
      <c r="DJ129" s="12">
        <f t="shared" si="149"/>
        <v>0</v>
      </c>
      <c r="DK129" s="12">
        <f t="shared" si="149"/>
        <v>0</v>
      </c>
      <c r="DL129" s="12">
        <f t="shared" si="149"/>
        <v>0</v>
      </c>
      <c r="DM129" s="12">
        <f t="shared" si="149"/>
        <v>0</v>
      </c>
      <c r="DN129" s="12">
        <f t="shared" si="149"/>
        <v>0</v>
      </c>
      <c r="DO129" s="12">
        <f t="shared" si="149"/>
        <v>0</v>
      </c>
      <c r="DP129" s="12">
        <f t="shared" si="149"/>
        <v>0</v>
      </c>
      <c r="DQ129" s="12">
        <f t="shared" si="149"/>
        <v>0</v>
      </c>
      <c r="DR129" s="12">
        <f t="shared" si="149"/>
        <v>0</v>
      </c>
      <c r="DS129" s="12">
        <f t="shared" si="149"/>
        <v>0</v>
      </c>
      <c r="DT129" s="12">
        <f t="shared" si="149"/>
        <v>0</v>
      </c>
      <c r="DU129" s="12">
        <f t="shared" si="149"/>
        <v>0</v>
      </c>
      <c r="DV129" s="12">
        <f t="shared" si="149"/>
        <v>0</v>
      </c>
      <c r="DW129" s="12">
        <f t="shared" si="149"/>
        <v>0</v>
      </c>
      <c r="DX129" s="12">
        <f t="shared" si="149"/>
        <v>0</v>
      </c>
      <c r="DY129" s="12">
        <f t="shared" si="149"/>
        <v>0</v>
      </c>
      <c r="DZ129" s="12">
        <f t="shared" si="149"/>
        <v>0</v>
      </c>
      <c r="EA129" s="12">
        <f t="shared" si="149"/>
        <v>0</v>
      </c>
      <c r="EB129" s="12">
        <f t="shared" si="149"/>
        <v>0</v>
      </c>
      <c r="EC129" s="12">
        <f t="shared" si="149"/>
        <v>0</v>
      </c>
      <c r="ED129" s="12">
        <f t="shared" si="149"/>
        <v>0</v>
      </c>
      <c r="EE129" s="12">
        <f t="shared" si="149"/>
        <v>0</v>
      </c>
      <c r="EF129" s="12">
        <f t="shared" si="149"/>
        <v>0</v>
      </c>
      <c r="EG129" s="12">
        <f t="shared" si="149"/>
        <v>0</v>
      </c>
      <c r="EH129" s="12">
        <f t="shared" ref="EH129:FH129" si="150">MAX(0,EH127-EG127)</f>
        <v>0</v>
      </c>
      <c r="EI129" s="12">
        <f t="shared" si="150"/>
        <v>0</v>
      </c>
      <c r="EJ129" s="12">
        <f t="shared" si="150"/>
        <v>0</v>
      </c>
      <c r="EK129" s="12">
        <f t="shared" si="150"/>
        <v>0</v>
      </c>
      <c r="EL129" s="12">
        <f t="shared" si="150"/>
        <v>0</v>
      </c>
      <c r="EM129" s="12">
        <f t="shared" si="150"/>
        <v>0</v>
      </c>
      <c r="EN129" s="12">
        <f t="shared" si="150"/>
        <v>0</v>
      </c>
      <c r="EO129" s="12">
        <f t="shared" si="150"/>
        <v>0</v>
      </c>
      <c r="EP129" s="12">
        <f t="shared" si="150"/>
        <v>0</v>
      </c>
      <c r="EQ129" s="12">
        <f t="shared" si="150"/>
        <v>0</v>
      </c>
      <c r="ER129" s="12">
        <f t="shared" si="150"/>
        <v>0</v>
      </c>
      <c r="ES129" s="12">
        <f t="shared" si="150"/>
        <v>0</v>
      </c>
      <c r="ET129" s="12">
        <f t="shared" si="150"/>
        <v>0</v>
      </c>
      <c r="EU129" s="12">
        <f t="shared" si="150"/>
        <v>0</v>
      </c>
      <c r="EV129" s="12">
        <f t="shared" si="150"/>
        <v>0</v>
      </c>
      <c r="EW129" s="12">
        <f t="shared" si="150"/>
        <v>0</v>
      </c>
      <c r="EX129" s="12">
        <f t="shared" si="150"/>
        <v>0</v>
      </c>
      <c r="EY129" s="12">
        <f t="shared" si="150"/>
        <v>0</v>
      </c>
      <c r="EZ129" s="12">
        <f t="shared" si="150"/>
        <v>0</v>
      </c>
      <c r="FA129" s="12">
        <f t="shared" si="150"/>
        <v>0</v>
      </c>
      <c r="FB129" s="12">
        <f t="shared" si="150"/>
        <v>0</v>
      </c>
      <c r="FC129" s="12">
        <f t="shared" si="150"/>
        <v>0</v>
      </c>
      <c r="FD129" s="12">
        <f t="shared" si="150"/>
        <v>0</v>
      </c>
      <c r="FE129" s="12">
        <f t="shared" si="150"/>
        <v>0</v>
      </c>
      <c r="FF129" s="12">
        <f t="shared" si="150"/>
        <v>0</v>
      </c>
      <c r="FG129" s="12">
        <f t="shared" si="150"/>
        <v>0</v>
      </c>
      <c r="FH129" s="12">
        <f t="shared" si="150"/>
        <v>0</v>
      </c>
    </row>
    <row r="130" spans="1:164" x14ac:dyDescent="0.2">
      <c r="A130" s="10"/>
      <c r="B130" s="10"/>
      <c r="C130" s="10" t="s">
        <v>768</v>
      </c>
      <c r="D130" s="10"/>
      <c r="E130" s="10"/>
      <c r="F130" s="10"/>
      <c r="G130" s="10"/>
      <c r="H130" s="12">
        <f>SUM(I130:FH130)</f>
        <v>-20866.662386267017</v>
      </c>
      <c r="I130" s="12">
        <f t="shared" ref="I130:AN130" si="151">-I128*((1+$D$75)^(1/12)-1)</f>
        <v>0</v>
      </c>
      <c r="J130" s="12">
        <f t="shared" si="151"/>
        <v>0</v>
      </c>
      <c r="K130" s="12">
        <f t="shared" si="151"/>
        <v>0</v>
      </c>
      <c r="L130" s="12">
        <f t="shared" si="151"/>
        <v>0</v>
      </c>
      <c r="M130" s="12">
        <f t="shared" si="151"/>
        <v>0</v>
      </c>
      <c r="N130" s="12">
        <f t="shared" si="151"/>
        <v>0</v>
      </c>
      <c r="O130" s="12">
        <f t="shared" si="151"/>
        <v>0</v>
      </c>
      <c r="P130" s="12">
        <f t="shared" si="151"/>
        <v>0</v>
      </c>
      <c r="Q130" s="12">
        <f t="shared" si="151"/>
        <v>0</v>
      </c>
      <c r="R130" s="12">
        <f t="shared" si="151"/>
        <v>0</v>
      </c>
      <c r="S130" s="12">
        <f t="shared" si="151"/>
        <v>0</v>
      </c>
      <c r="T130" s="12">
        <f t="shared" si="151"/>
        <v>0</v>
      </c>
      <c r="U130" s="12">
        <f t="shared" si="151"/>
        <v>0</v>
      </c>
      <c r="V130" s="12">
        <f t="shared" si="151"/>
        <v>0</v>
      </c>
      <c r="W130" s="12">
        <f t="shared" si="151"/>
        <v>0</v>
      </c>
      <c r="X130" s="12">
        <f t="shared" si="151"/>
        <v>0</v>
      </c>
      <c r="Y130" s="12">
        <f t="shared" si="151"/>
        <v>0</v>
      </c>
      <c r="Z130" s="12">
        <f t="shared" si="151"/>
        <v>0</v>
      </c>
      <c r="AA130" s="12">
        <f t="shared" si="151"/>
        <v>0</v>
      </c>
      <c r="AB130" s="12">
        <f t="shared" si="151"/>
        <v>0</v>
      </c>
      <c r="AC130" s="12">
        <f t="shared" si="151"/>
        <v>0</v>
      </c>
      <c r="AD130" s="12">
        <f t="shared" si="151"/>
        <v>0</v>
      </c>
      <c r="AE130" s="12">
        <f t="shared" si="151"/>
        <v>0</v>
      </c>
      <c r="AF130" s="12">
        <f t="shared" si="151"/>
        <v>0</v>
      </c>
      <c r="AG130" s="12">
        <f t="shared" si="151"/>
        <v>0</v>
      </c>
      <c r="AH130" s="12">
        <f t="shared" si="151"/>
        <v>0</v>
      </c>
      <c r="AI130" s="12">
        <f t="shared" si="151"/>
        <v>0</v>
      </c>
      <c r="AJ130" s="12">
        <f t="shared" si="151"/>
        <v>0</v>
      </c>
      <c r="AK130" s="12">
        <f t="shared" si="151"/>
        <v>0</v>
      </c>
      <c r="AL130" s="12">
        <f t="shared" si="151"/>
        <v>0</v>
      </c>
      <c r="AM130" s="12">
        <f t="shared" si="151"/>
        <v>0</v>
      </c>
      <c r="AN130" s="12">
        <f t="shared" si="151"/>
        <v>0</v>
      </c>
      <c r="AO130" s="12">
        <f t="shared" ref="AO130:BT130" si="152">-AO128*((1+$D$75)^(1/12)-1)</f>
        <v>0</v>
      </c>
      <c r="AP130" s="12">
        <f t="shared" si="152"/>
        <v>0</v>
      </c>
      <c r="AQ130" s="12">
        <f t="shared" si="152"/>
        <v>-17.46128109614396</v>
      </c>
      <c r="AR130" s="12">
        <f t="shared" si="152"/>
        <v>-74.773018391825147</v>
      </c>
      <c r="AS130" s="12">
        <f t="shared" si="152"/>
        <v>-132.52427764156059</v>
      </c>
      <c r="AT130" s="12">
        <f t="shared" si="152"/>
        <v>-190.27553689129596</v>
      </c>
      <c r="AU130" s="12">
        <f t="shared" si="152"/>
        <v>-247.58727418697717</v>
      </c>
      <c r="AV130" s="12">
        <f t="shared" si="152"/>
        <v>-304.023312602011</v>
      </c>
      <c r="AW130" s="12">
        <f t="shared" si="152"/>
        <v>-359.15413980704699</v>
      </c>
      <c r="AX130" s="12">
        <f t="shared" si="152"/>
        <v>-412.56017691815151</v>
      </c>
      <c r="AY130" s="12">
        <f t="shared" si="152"/>
        <v>-463.8349717454621</v>
      </c>
      <c r="AZ130" s="12">
        <f t="shared" si="152"/>
        <v>-512.58829213977526</v>
      </c>
      <c r="BA130" s="12">
        <f t="shared" si="152"/>
        <v>-558.44909589483063</v>
      </c>
      <c r="BB130" s="12">
        <f t="shared" si="152"/>
        <v>-601.06835460254194</v>
      </c>
      <c r="BC130" s="12">
        <f t="shared" si="152"/>
        <v>-640.1217099699312</v>
      </c>
      <c r="BD130" s="12">
        <f t="shared" si="152"/>
        <v>-675.31194238159208</v>
      </c>
      <c r="BE130" s="12">
        <f t="shared" si="152"/>
        <v>-706.3712329204285</v>
      </c>
      <c r="BF130" s="12">
        <f t="shared" si="152"/>
        <v>-733.06320163132762</v>
      </c>
      <c r="BG130" s="12">
        <f t="shared" si="152"/>
        <v>-755.18470651534767</v>
      </c>
      <c r="BH130" s="12">
        <f t="shared" si="152"/>
        <v>-772.56738956299216</v>
      </c>
      <c r="BI130" s="12">
        <f t="shared" si="152"/>
        <v>-785.07895806031718</v>
      </c>
      <c r="BJ130" s="12">
        <f t="shared" si="152"/>
        <v>-792.6241914163661</v>
      </c>
      <c r="BK130" s="12">
        <f t="shared" si="152"/>
        <v>-795.14566584936358</v>
      </c>
      <c r="BL130" s="12">
        <f t="shared" si="152"/>
        <v>-795.14566584936358</v>
      </c>
      <c r="BM130" s="12">
        <f t="shared" si="152"/>
        <v>-795.14566584936358</v>
      </c>
      <c r="BN130" s="12">
        <f t="shared" si="152"/>
        <v>-795.14566584936358</v>
      </c>
      <c r="BO130" s="12">
        <f t="shared" si="152"/>
        <v>-795.14566584936358</v>
      </c>
      <c r="BP130" s="12">
        <f t="shared" si="152"/>
        <v>-795.14566584936358</v>
      </c>
      <c r="BQ130" s="12">
        <f t="shared" si="152"/>
        <v>-795.14566584936358</v>
      </c>
      <c r="BR130" s="12">
        <f t="shared" si="152"/>
        <v>-795.14566584936358</v>
      </c>
      <c r="BS130" s="12">
        <f t="shared" si="152"/>
        <v>-795.14566584936358</v>
      </c>
      <c r="BT130" s="12">
        <f t="shared" si="152"/>
        <v>-795.14566584936358</v>
      </c>
      <c r="BU130" s="12">
        <f t="shared" ref="BU130:CZ130" si="153">-BU128*((1+$D$75)^(1/12)-1)</f>
        <v>-795.14566584936358</v>
      </c>
      <c r="BV130" s="12">
        <f t="shared" si="153"/>
        <v>-795.14566584936358</v>
      </c>
      <c r="BW130" s="12">
        <f t="shared" si="153"/>
        <v>-795.14566584936358</v>
      </c>
      <c r="BX130" s="12">
        <f t="shared" si="153"/>
        <v>-795.14566584936358</v>
      </c>
      <c r="BY130" s="12">
        <f t="shared" si="153"/>
        <v>0</v>
      </c>
      <c r="BZ130" s="12">
        <f t="shared" si="153"/>
        <v>0</v>
      </c>
      <c r="CA130" s="12">
        <f t="shared" si="153"/>
        <v>0</v>
      </c>
      <c r="CB130" s="12">
        <f t="shared" si="153"/>
        <v>0</v>
      </c>
      <c r="CC130" s="12">
        <f t="shared" si="153"/>
        <v>0</v>
      </c>
      <c r="CD130" s="12">
        <f t="shared" si="153"/>
        <v>0</v>
      </c>
      <c r="CE130" s="12">
        <f t="shared" si="153"/>
        <v>0</v>
      </c>
      <c r="CF130" s="12">
        <f t="shared" si="153"/>
        <v>0</v>
      </c>
      <c r="CG130" s="12">
        <f t="shared" si="153"/>
        <v>0</v>
      </c>
      <c r="CH130" s="12">
        <f t="shared" si="153"/>
        <v>0</v>
      </c>
      <c r="CI130" s="12">
        <f t="shared" si="153"/>
        <v>0</v>
      </c>
      <c r="CJ130" s="12">
        <f t="shared" si="153"/>
        <v>0</v>
      </c>
      <c r="CK130" s="12">
        <f t="shared" si="153"/>
        <v>0</v>
      </c>
      <c r="CL130" s="12">
        <f t="shared" si="153"/>
        <v>0</v>
      </c>
      <c r="CM130" s="12">
        <f t="shared" si="153"/>
        <v>0</v>
      </c>
      <c r="CN130" s="12">
        <f t="shared" si="153"/>
        <v>0</v>
      </c>
      <c r="CO130" s="12">
        <f t="shared" si="153"/>
        <v>0</v>
      </c>
      <c r="CP130" s="12">
        <f t="shared" si="153"/>
        <v>0</v>
      </c>
      <c r="CQ130" s="12">
        <f t="shared" si="153"/>
        <v>0</v>
      </c>
      <c r="CR130" s="12">
        <f t="shared" si="153"/>
        <v>0</v>
      </c>
      <c r="CS130" s="12">
        <f t="shared" si="153"/>
        <v>0</v>
      </c>
      <c r="CT130" s="12">
        <f t="shared" si="153"/>
        <v>0</v>
      </c>
      <c r="CU130" s="12">
        <f t="shared" si="153"/>
        <v>0</v>
      </c>
      <c r="CV130" s="12">
        <f t="shared" si="153"/>
        <v>0</v>
      </c>
      <c r="CW130" s="12">
        <f t="shared" si="153"/>
        <v>0</v>
      </c>
      <c r="CX130" s="12">
        <f t="shared" si="153"/>
        <v>0</v>
      </c>
      <c r="CY130" s="12">
        <f t="shared" si="153"/>
        <v>0</v>
      </c>
      <c r="CZ130" s="12">
        <f t="shared" si="153"/>
        <v>0</v>
      </c>
      <c r="DA130" s="12">
        <f t="shared" ref="DA130:EF130" si="154">-DA128*((1+$D$75)^(1/12)-1)</f>
        <v>0</v>
      </c>
      <c r="DB130" s="12">
        <f t="shared" si="154"/>
        <v>0</v>
      </c>
      <c r="DC130" s="12">
        <f t="shared" si="154"/>
        <v>0</v>
      </c>
      <c r="DD130" s="12">
        <f t="shared" si="154"/>
        <v>0</v>
      </c>
      <c r="DE130" s="12">
        <f t="shared" si="154"/>
        <v>0</v>
      </c>
      <c r="DF130" s="12">
        <f t="shared" si="154"/>
        <v>0</v>
      </c>
      <c r="DG130" s="12">
        <f t="shared" si="154"/>
        <v>0</v>
      </c>
      <c r="DH130" s="12">
        <f t="shared" si="154"/>
        <v>0</v>
      </c>
      <c r="DI130" s="12">
        <f t="shared" si="154"/>
        <v>0</v>
      </c>
      <c r="DJ130" s="12">
        <f t="shared" si="154"/>
        <v>0</v>
      </c>
      <c r="DK130" s="12">
        <f t="shared" si="154"/>
        <v>0</v>
      </c>
      <c r="DL130" s="12">
        <f t="shared" si="154"/>
        <v>0</v>
      </c>
      <c r="DM130" s="12">
        <f t="shared" si="154"/>
        <v>0</v>
      </c>
      <c r="DN130" s="12">
        <f t="shared" si="154"/>
        <v>0</v>
      </c>
      <c r="DO130" s="12">
        <f t="shared" si="154"/>
        <v>0</v>
      </c>
      <c r="DP130" s="12">
        <f t="shared" si="154"/>
        <v>0</v>
      </c>
      <c r="DQ130" s="12">
        <f t="shared" si="154"/>
        <v>0</v>
      </c>
      <c r="DR130" s="12">
        <f t="shared" si="154"/>
        <v>0</v>
      </c>
      <c r="DS130" s="12">
        <f t="shared" si="154"/>
        <v>0</v>
      </c>
      <c r="DT130" s="12">
        <f t="shared" si="154"/>
        <v>0</v>
      </c>
      <c r="DU130" s="12">
        <f t="shared" si="154"/>
        <v>0</v>
      </c>
      <c r="DV130" s="12">
        <f t="shared" si="154"/>
        <v>0</v>
      </c>
      <c r="DW130" s="12">
        <f t="shared" si="154"/>
        <v>0</v>
      </c>
      <c r="DX130" s="12">
        <f t="shared" si="154"/>
        <v>0</v>
      </c>
      <c r="DY130" s="12">
        <f t="shared" si="154"/>
        <v>0</v>
      </c>
      <c r="DZ130" s="12">
        <f t="shared" si="154"/>
        <v>0</v>
      </c>
      <c r="EA130" s="12">
        <f t="shared" si="154"/>
        <v>0</v>
      </c>
      <c r="EB130" s="12">
        <f t="shared" si="154"/>
        <v>0</v>
      </c>
      <c r="EC130" s="12">
        <f t="shared" si="154"/>
        <v>0</v>
      </c>
      <c r="ED130" s="12">
        <f t="shared" si="154"/>
        <v>0</v>
      </c>
      <c r="EE130" s="12">
        <f t="shared" si="154"/>
        <v>0</v>
      </c>
      <c r="EF130" s="12">
        <f t="shared" si="154"/>
        <v>0</v>
      </c>
      <c r="EG130" s="12">
        <f t="shared" ref="EG130:FH130" si="155">-EG128*((1+$D$75)^(1/12)-1)</f>
        <v>0</v>
      </c>
      <c r="EH130" s="12">
        <f t="shared" si="155"/>
        <v>0</v>
      </c>
      <c r="EI130" s="12">
        <f t="shared" si="155"/>
        <v>0</v>
      </c>
      <c r="EJ130" s="12">
        <f t="shared" si="155"/>
        <v>0</v>
      </c>
      <c r="EK130" s="12">
        <f t="shared" si="155"/>
        <v>0</v>
      </c>
      <c r="EL130" s="12">
        <f t="shared" si="155"/>
        <v>0</v>
      </c>
      <c r="EM130" s="12">
        <f t="shared" si="155"/>
        <v>0</v>
      </c>
      <c r="EN130" s="12">
        <f t="shared" si="155"/>
        <v>0</v>
      </c>
      <c r="EO130" s="12">
        <f t="shared" si="155"/>
        <v>0</v>
      </c>
      <c r="EP130" s="12">
        <f t="shared" si="155"/>
        <v>0</v>
      </c>
      <c r="EQ130" s="12">
        <f t="shared" si="155"/>
        <v>0</v>
      </c>
      <c r="ER130" s="12">
        <f t="shared" si="155"/>
        <v>0</v>
      </c>
      <c r="ES130" s="12">
        <f t="shared" si="155"/>
        <v>0</v>
      </c>
      <c r="ET130" s="12">
        <f t="shared" si="155"/>
        <v>0</v>
      </c>
      <c r="EU130" s="12">
        <f t="shared" si="155"/>
        <v>0</v>
      </c>
      <c r="EV130" s="12">
        <f t="shared" si="155"/>
        <v>0</v>
      </c>
      <c r="EW130" s="12">
        <f t="shared" si="155"/>
        <v>0</v>
      </c>
      <c r="EX130" s="12">
        <f t="shared" si="155"/>
        <v>0</v>
      </c>
      <c r="EY130" s="12">
        <f t="shared" si="155"/>
        <v>0</v>
      </c>
      <c r="EZ130" s="12">
        <f t="shared" si="155"/>
        <v>0</v>
      </c>
      <c r="FA130" s="12">
        <f t="shared" si="155"/>
        <v>0</v>
      </c>
      <c r="FB130" s="12">
        <f t="shared" si="155"/>
        <v>0</v>
      </c>
      <c r="FC130" s="12">
        <f t="shared" si="155"/>
        <v>0</v>
      </c>
      <c r="FD130" s="12">
        <f t="shared" si="155"/>
        <v>0</v>
      </c>
      <c r="FE130" s="12">
        <f t="shared" si="155"/>
        <v>0</v>
      </c>
      <c r="FF130" s="12">
        <f t="shared" si="155"/>
        <v>0</v>
      </c>
      <c r="FG130" s="12">
        <f t="shared" si="155"/>
        <v>0</v>
      </c>
      <c r="FH130" s="12">
        <f t="shared" si="155"/>
        <v>0</v>
      </c>
    </row>
    <row r="131" spans="1:164" x14ac:dyDescent="0.2">
      <c r="A131" s="10"/>
      <c r="B131" s="10"/>
      <c r="C131" s="10" t="s">
        <v>338</v>
      </c>
      <c r="D131" s="10"/>
      <c r="E131" s="10"/>
      <c r="F131" s="10"/>
      <c r="G131" s="10"/>
      <c r="H131" s="12">
        <f>SUM(I131:FH131)</f>
        <v>-83798.399999999965</v>
      </c>
      <c r="I131" s="12">
        <f t="shared" ref="I131:AN131" si="156">IF(I$6=$D$76,-(I128+I129),0)</f>
        <v>0</v>
      </c>
      <c r="J131" s="12">
        <f t="shared" si="156"/>
        <v>0</v>
      </c>
      <c r="K131" s="12">
        <f t="shared" si="156"/>
        <v>0</v>
      </c>
      <c r="L131" s="12">
        <f t="shared" si="156"/>
        <v>0</v>
      </c>
      <c r="M131" s="12">
        <f t="shared" si="156"/>
        <v>0</v>
      </c>
      <c r="N131" s="12">
        <f t="shared" si="156"/>
        <v>0</v>
      </c>
      <c r="O131" s="12">
        <f t="shared" si="156"/>
        <v>0</v>
      </c>
      <c r="P131" s="12">
        <f t="shared" si="156"/>
        <v>0</v>
      </c>
      <c r="Q131" s="12">
        <f t="shared" si="156"/>
        <v>0</v>
      </c>
      <c r="R131" s="12">
        <f t="shared" si="156"/>
        <v>0</v>
      </c>
      <c r="S131" s="12">
        <f t="shared" si="156"/>
        <v>0</v>
      </c>
      <c r="T131" s="12">
        <f t="shared" si="156"/>
        <v>0</v>
      </c>
      <c r="U131" s="12">
        <f t="shared" si="156"/>
        <v>0</v>
      </c>
      <c r="V131" s="12">
        <f t="shared" si="156"/>
        <v>0</v>
      </c>
      <c r="W131" s="12">
        <f t="shared" si="156"/>
        <v>0</v>
      </c>
      <c r="X131" s="12">
        <f t="shared" si="156"/>
        <v>0</v>
      </c>
      <c r="Y131" s="12">
        <f t="shared" si="156"/>
        <v>0</v>
      </c>
      <c r="Z131" s="12">
        <f t="shared" si="156"/>
        <v>0</v>
      </c>
      <c r="AA131" s="12">
        <f t="shared" si="156"/>
        <v>0</v>
      </c>
      <c r="AB131" s="12">
        <f t="shared" si="156"/>
        <v>0</v>
      </c>
      <c r="AC131" s="12">
        <f t="shared" si="156"/>
        <v>0</v>
      </c>
      <c r="AD131" s="12">
        <f t="shared" si="156"/>
        <v>0</v>
      </c>
      <c r="AE131" s="12">
        <f t="shared" si="156"/>
        <v>0</v>
      </c>
      <c r="AF131" s="12">
        <f t="shared" si="156"/>
        <v>0</v>
      </c>
      <c r="AG131" s="12">
        <f t="shared" si="156"/>
        <v>0</v>
      </c>
      <c r="AH131" s="12">
        <f t="shared" si="156"/>
        <v>0</v>
      </c>
      <c r="AI131" s="12">
        <f t="shared" si="156"/>
        <v>0</v>
      </c>
      <c r="AJ131" s="12">
        <f t="shared" si="156"/>
        <v>0</v>
      </c>
      <c r="AK131" s="12">
        <f t="shared" si="156"/>
        <v>0</v>
      </c>
      <c r="AL131" s="12">
        <f t="shared" si="156"/>
        <v>0</v>
      </c>
      <c r="AM131" s="12">
        <f t="shared" si="156"/>
        <v>0</v>
      </c>
      <c r="AN131" s="12">
        <f t="shared" si="156"/>
        <v>0</v>
      </c>
      <c r="AO131" s="12">
        <f t="shared" ref="AO131:BT131" si="157">IF(AO$6=$D$76,-(AO128+AO129),0)</f>
        <v>0</v>
      </c>
      <c r="AP131" s="12">
        <f t="shared" si="157"/>
        <v>0</v>
      </c>
      <c r="AQ131" s="12">
        <f t="shared" si="157"/>
        <v>0</v>
      </c>
      <c r="AR131" s="12">
        <f t="shared" si="157"/>
        <v>0</v>
      </c>
      <c r="AS131" s="12">
        <f t="shared" si="157"/>
        <v>0</v>
      </c>
      <c r="AT131" s="12">
        <f t="shared" si="157"/>
        <v>0</v>
      </c>
      <c r="AU131" s="12">
        <f t="shared" si="157"/>
        <v>0</v>
      </c>
      <c r="AV131" s="12">
        <f t="shared" si="157"/>
        <v>0</v>
      </c>
      <c r="AW131" s="12">
        <f t="shared" si="157"/>
        <v>0</v>
      </c>
      <c r="AX131" s="12">
        <f t="shared" si="157"/>
        <v>0</v>
      </c>
      <c r="AY131" s="12">
        <f t="shared" si="157"/>
        <v>0</v>
      </c>
      <c r="AZ131" s="12">
        <f t="shared" si="157"/>
        <v>0</v>
      </c>
      <c r="BA131" s="12">
        <f t="shared" si="157"/>
        <v>0</v>
      </c>
      <c r="BB131" s="12">
        <f t="shared" si="157"/>
        <v>0</v>
      </c>
      <c r="BC131" s="12">
        <f t="shared" si="157"/>
        <v>0</v>
      </c>
      <c r="BD131" s="12">
        <f t="shared" si="157"/>
        <v>0</v>
      </c>
      <c r="BE131" s="12">
        <f t="shared" si="157"/>
        <v>0</v>
      </c>
      <c r="BF131" s="12">
        <f t="shared" si="157"/>
        <v>0</v>
      </c>
      <c r="BG131" s="12">
        <f t="shared" si="157"/>
        <v>0</v>
      </c>
      <c r="BH131" s="12">
        <f t="shared" si="157"/>
        <v>0</v>
      </c>
      <c r="BI131" s="12">
        <f t="shared" si="157"/>
        <v>0</v>
      </c>
      <c r="BJ131" s="12">
        <f t="shared" si="157"/>
        <v>0</v>
      </c>
      <c r="BK131" s="12">
        <f t="shared" si="157"/>
        <v>0</v>
      </c>
      <c r="BL131" s="12">
        <f t="shared" si="157"/>
        <v>0</v>
      </c>
      <c r="BM131" s="12">
        <f t="shared" si="157"/>
        <v>0</v>
      </c>
      <c r="BN131" s="12">
        <f t="shared" si="157"/>
        <v>0</v>
      </c>
      <c r="BO131" s="12">
        <f t="shared" si="157"/>
        <v>0</v>
      </c>
      <c r="BP131" s="12">
        <f t="shared" si="157"/>
        <v>0</v>
      </c>
      <c r="BQ131" s="12">
        <f t="shared" si="157"/>
        <v>0</v>
      </c>
      <c r="BR131" s="12">
        <f t="shared" si="157"/>
        <v>0</v>
      </c>
      <c r="BS131" s="12">
        <f t="shared" si="157"/>
        <v>0</v>
      </c>
      <c r="BT131" s="12">
        <f t="shared" si="157"/>
        <v>0</v>
      </c>
      <c r="BU131" s="12">
        <f t="shared" ref="BU131:CZ131" si="158">IF(BU$6=$D$76,-(BU128+BU129),0)</f>
        <v>0</v>
      </c>
      <c r="BV131" s="12">
        <f t="shared" si="158"/>
        <v>0</v>
      </c>
      <c r="BW131" s="12">
        <f t="shared" si="158"/>
        <v>0</v>
      </c>
      <c r="BX131" s="12">
        <f t="shared" si="158"/>
        <v>-83798.399999999965</v>
      </c>
      <c r="BY131" s="12">
        <f t="shared" si="158"/>
        <v>0</v>
      </c>
      <c r="BZ131" s="12">
        <f t="shared" si="158"/>
        <v>0</v>
      </c>
      <c r="CA131" s="12">
        <f t="shared" si="158"/>
        <v>0</v>
      </c>
      <c r="CB131" s="12">
        <f t="shared" si="158"/>
        <v>0</v>
      </c>
      <c r="CC131" s="12">
        <f t="shared" si="158"/>
        <v>0</v>
      </c>
      <c r="CD131" s="12">
        <f t="shared" si="158"/>
        <v>0</v>
      </c>
      <c r="CE131" s="12">
        <f t="shared" si="158"/>
        <v>0</v>
      </c>
      <c r="CF131" s="12">
        <f t="shared" si="158"/>
        <v>0</v>
      </c>
      <c r="CG131" s="12">
        <f t="shared" si="158"/>
        <v>0</v>
      </c>
      <c r="CH131" s="12">
        <f t="shared" si="158"/>
        <v>0</v>
      </c>
      <c r="CI131" s="12">
        <f t="shared" si="158"/>
        <v>0</v>
      </c>
      <c r="CJ131" s="12">
        <f t="shared" si="158"/>
        <v>0</v>
      </c>
      <c r="CK131" s="12">
        <f t="shared" si="158"/>
        <v>0</v>
      </c>
      <c r="CL131" s="12">
        <f t="shared" si="158"/>
        <v>0</v>
      </c>
      <c r="CM131" s="12">
        <f t="shared" si="158"/>
        <v>0</v>
      </c>
      <c r="CN131" s="12">
        <f t="shared" si="158"/>
        <v>0</v>
      </c>
      <c r="CO131" s="12">
        <f t="shared" si="158"/>
        <v>0</v>
      </c>
      <c r="CP131" s="12">
        <f t="shared" si="158"/>
        <v>0</v>
      </c>
      <c r="CQ131" s="12">
        <f t="shared" si="158"/>
        <v>0</v>
      </c>
      <c r="CR131" s="12">
        <f t="shared" si="158"/>
        <v>0</v>
      </c>
      <c r="CS131" s="12">
        <f t="shared" si="158"/>
        <v>0</v>
      </c>
      <c r="CT131" s="12">
        <f t="shared" si="158"/>
        <v>0</v>
      </c>
      <c r="CU131" s="12">
        <f t="shared" si="158"/>
        <v>0</v>
      </c>
      <c r="CV131" s="12">
        <f t="shared" si="158"/>
        <v>0</v>
      </c>
      <c r="CW131" s="12">
        <f t="shared" si="158"/>
        <v>0</v>
      </c>
      <c r="CX131" s="12">
        <f t="shared" si="158"/>
        <v>0</v>
      </c>
      <c r="CY131" s="12">
        <f t="shared" si="158"/>
        <v>0</v>
      </c>
      <c r="CZ131" s="12">
        <f t="shared" si="158"/>
        <v>0</v>
      </c>
      <c r="DA131" s="12">
        <f t="shared" ref="DA131:EF131" si="159">IF(DA$6=$D$76,-(DA128+DA129),0)</f>
        <v>0</v>
      </c>
      <c r="DB131" s="12">
        <f t="shared" si="159"/>
        <v>0</v>
      </c>
      <c r="DC131" s="12">
        <f t="shared" si="159"/>
        <v>0</v>
      </c>
      <c r="DD131" s="12">
        <f t="shared" si="159"/>
        <v>0</v>
      </c>
      <c r="DE131" s="12">
        <f t="shared" si="159"/>
        <v>0</v>
      </c>
      <c r="DF131" s="12">
        <f t="shared" si="159"/>
        <v>0</v>
      </c>
      <c r="DG131" s="12">
        <f t="shared" si="159"/>
        <v>0</v>
      </c>
      <c r="DH131" s="12">
        <f t="shared" si="159"/>
        <v>0</v>
      </c>
      <c r="DI131" s="12">
        <f t="shared" si="159"/>
        <v>0</v>
      </c>
      <c r="DJ131" s="12">
        <f t="shared" si="159"/>
        <v>0</v>
      </c>
      <c r="DK131" s="12">
        <f t="shared" si="159"/>
        <v>0</v>
      </c>
      <c r="DL131" s="12">
        <f t="shared" si="159"/>
        <v>0</v>
      </c>
      <c r="DM131" s="12">
        <f t="shared" si="159"/>
        <v>0</v>
      </c>
      <c r="DN131" s="12">
        <f t="shared" si="159"/>
        <v>0</v>
      </c>
      <c r="DO131" s="12">
        <f t="shared" si="159"/>
        <v>0</v>
      </c>
      <c r="DP131" s="12">
        <f t="shared" si="159"/>
        <v>0</v>
      </c>
      <c r="DQ131" s="12">
        <f t="shared" si="159"/>
        <v>0</v>
      </c>
      <c r="DR131" s="12">
        <f t="shared" si="159"/>
        <v>0</v>
      </c>
      <c r="DS131" s="12">
        <f t="shared" si="159"/>
        <v>0</v>
      </c>
      <c r="DT131" s="12">
        <f t="shared" si="159"/>
        <v>0</v>
      </c>
      <c r="DU131" s="12">
        <f t="shared" si="159"/>
        <v>0</v>
      </c>
      <c r="DV131" s="12">
        <f t="shared" si="159"/>
        <v>0</v>
      </c>
      <c r="DW131" s="12">
        <f t="shared" si="159"/>
        <v>0</v>
      </c>
      <c r="DX131" s="12">
        <f t="shared" si="159"/>
        <v>0</v>
      </c>
      <c r="DY131" s="12">
        <f t="shared" si="159"/>
        <v>0</v>
      </c>
      <c r="DZ131" s="12">
        <f t="shared" si="159"/>
        <v>0</v>
      </c>
      <c r="EA131" s="12">
        <f t="shared" si="159"/>
        <v>0</v>
      </c>
      <c r="EB131" s="12">
        <f t="shared" si="159"/>
        <v>0</v>
      </c>
      <c r="EC131" s="12">
        <f t="shared" si="159"/>
        <v>0</v>
      </c>
      <c r="ED131" s="12">
        <f t="shared" si="159"/>
        <v>0</v>
      </c>
      <c r="EE131" s="12">
        <f t="shared" si="159"/>
        <v>0</v>
      </c>
      <c r="EF131" s="12">
        <f t="shared" si="159"/>
        <v>0</v>
      </c>
      <c r="EG131" s="12">
        <f t="shared" ref="EG131:FH131" si="160">IF(EG$6=$D$76,-(EG128+EG129),0)</f>
        <v>0</v>
      </c>
      <c r="EH131" s="12">
        <f t="shared" si="160"/>
        <v>0</v>
      </c>
      <c r="EI131" s="12">
        <f t="shared" si="160"/>
        <v>0</v>
      </c>
      <c r="EJ131" s="12">
        <f t="shared" si="160"/>
        <v>0</v>
      </c>
      <c r="EK131" s="12">
        <f t="shared" si="160"/>
        <v>0</v>
      </c>
      <c r="EL131" s="12">
        <f t="shared" si="160"/>
        <v>0</v>
      </c>
      <c r="EM131" s="12">
        <f t="shared" si="160"/>
        <v>0</v>
      </c>
      <c r="EN131" s="12">
        <f t="shared" si="160"/>
        <v>0</v>
      </c>
      <c r="EO131" s="12">
        <f t="shared" si="160"/>
        <v>0</v>
      </c>
      <c r="EP131" s="12">
        <f t="shared" si="160"/>
        <v>0</v>
      </c>
      <c r="EQ131" s="12">
        <f t="shared" si="160"/>
        <v>0</v>
      </c>
      <c r="ER131" s="12">
        <f t="shared" si="160"/>
        <v>0</v>
      </c>
      <c r="ES131" s="12">
        <f t="shared" si="160"/>
        <v>0</v>
      </c>
      <c r="ET131" s="12">
        <f t="shared" si="160"/>
        <v>0</v>
      </c>
      <c r="EU131" s="12">
        <f t="shared" si="160"/>
        <v>0</v>
      </c>
      <c r="EV131" s="12">
        <f t="shared" si="160"/>
        <v>0</v>
      </c>
      <c r="EW131" s="12">
        <f t="shared" si="160"/>
        <v>0</v>
      </c>
      <c r="EX131" s="12">
        <f t="shared" si="160"/>
        <v>0</v>
      </c>
      <c r="EY131" s="12">
        <f t="shared" si="160"/>
        <v>0</v>
      </c>
      <c r="EZ131" s="12">
        <f t="shared" si="160"/>
        <v>0</v>
      </c>
      <c r="FA131" s="12">
        <f t="shared" si="160"/>
        <v>0</v>
      </c>
      <c r="FB131" s="12">
        <f t="shared" si="160"/>
        <v>0</v>
      </c>
      <c r="FC131" s="12">
        <f t="shared" si="160"/>
        <v>0</v>
      </c>
      <c r="FD131" s="12">
        <f t="shared" si="160"/>
        <v>0</v>
      </c>
      <c r="FE131" s="12">
        <f t="shared" si="160"/>
        <v>0</v>
      </c>
      <c r="FF131" s="12">
        <f t="shared" si="160"/>
        <v>0</v>
      </c>
      <c r="FG131" s="12">
        <f t="shared" si="160"/>
        <v>0</v>
      </c>
      <c r="FH131" s="12">
        <f t="shared" si="160"/>
        <v>0</v>
      </c>
    </row>
    <row r="132" spans="1:164" x14ac:dyDescent="0.2">
      <c r="A132" s="10"/>
      <c r="B132" s="10"/>
      <c r="C132" s="10" t="s">
        <v>769</v>
      </c>
      <c r="D132" s="10"/>
      <c r="E132" s="10"/>
      <c r="F132" s="10"/>
      <c r="G132" s="10"/>
      <c r="H132" s="12"/>
      <c r="I132" s="12">
        <f t="shared" ref="I132:AN132" si="161">I128+I129+I131</f>
        <v>0</v>
      </c>
      <c r="J132" s="12">
        <f t="shared" si="161"/>
        <v>0</v>
      </c>
      <c r="K132" s="12">
        <f t="shared" si="161"/>
        <v>0</v>
      </c>
      <c r="L132" s="12">
        <f t="shared" si="161"/>
        <v>0</v>
      </c>
      <c r="M132" s="12">
        <f t="shared" si="161"/>
        <v>0</v>
      </c>
      <c r="N132" s="12">
        <f t="shared" si="161"/>
        <v>0</v>
      </c>
      <c r="O132" s="12">
        <f t="shared" si="161"/>
        <v>0</v>
      </c>
      <c r="P132" s="12">
        <f t="shared" si="161"/>
        <v>0</v>
      </c>
      <c r="Q132" s="12">
        <f t="shared" si="161"/>
        <v>0</v>
      </c>
      <c r="R132" s="12">
        <f t="shared" si="161"/>
        <v>0</v>
      </c>
      <c r="S132" s="12">
        <f t="shared" si="161"/>
        <v>0</v>
      </c>
      <c r="T132" s="12">
        <f t="shared" si="161"/>
        <v>0</v>
      </c>
      <c r="U132" s="12">
        <f t="shared" si="161"/>
        <v>0</v>
      </c>
      <c r="V132" s="12">
        <f t="shared" si="161"/>
        <v>0</v>
      </c>
      <c r="W132" s="12">
        <f t="shared" si="161"/>
        <v>0</v>
      </c>
      <c r="X132" s="12">
        <f t="shared" si="161"/>
        <v>0</v>
      </c>
      <c r="Y132" s="12">
        <f t="shared" si="161"/>
        <v>0</v>
      </c>
      <c r="Z132" s="12">
        <f t="shared" si="161"/>
        <v>0</v>
      </c>
      <c r="AA132" s="12">
        <f t="shared" si="161"/>
        <v>0</v>
      </c>
      <c r="AB132" s="12">
        <f t="shared" si="161"/>
        <v>0</v>
      </c>
      <c r="AC132" s="12">
        <f t="shared" si="161"/>
        <v>0</v>
      </c>
      <c r="AD132" s="12">
        <f t="shared" si="161"/>
        <v>0</v>
      </c>
      <c r="AE132" s="12">
        <f t="shared" si="161"/>
        <v>0</v>
      </c>
      <c r="AF132" s="12">
        <f t="shared" si="161"/>
        <v>0</v>
      </c>
      <c r="AG132" s="12">
        <f t="shared" si="161"/>
        <v>0</v>
      </c>
      <c r="AH132" s="12">
        <f t="shared" si="161"/>
        <v>0</v>
      </c>
      <c r="AI132" s="12">
        <f t="shared" si="161"/>
        <v>0</v>
      </c>
      <c r="AJ132" s="12">
        <f t="shared" si="161"/>
        <v>0</v>
      </c>
      <c r="AK132" s="12">
        <f t="shared" si="161"/>
        <v>0</v>
      </c>
      <c r="AL132" s="12">
        <f t="shared" si="161"/>
        <v>0</v>
      </c>
      <c r="AM132" s="12">
        <f t="shared" si="161"/>
        <v>0</v>
      </c>
      <c r="AN132" s="12">
        <f t="shared" si="161"/>
        <v>0</v>
      </c>
      <c r="AO132" s="12">
        <f t="shared" ref="AO132:BT132" si="162">AO128+AO129+AO131</f>
        <v>0</v>
      </c>
      <c r="AP132" s="12">
        <f t="shared" si="162"/>
        <v>1840.200457162915</v>
      </c>
      <c r="AQ132" s="12">
        <f t="shared" si="162"/>
        <v>7880.1401724455282</v>
      </c>
      <c r="AR132" s="12">
        <f t="shared" si="162"/>
        <v>13966.399999999994</v>
      </c>
      <c r="AS132" s="12">
        <f t="shared" si="162"/>
        <v>20052.659827554453</v>
      </c>
      <c r="AT132" s="12">
        <f t="shared" si="162"/>
        <v>26092.599542837066</v>
      </c>
      <c r="AU132" s="12">
        <f t="shared" si="162"/>
        <v>32040.251557599229</v>
      </c>
      <c r="AV132" s="12">
        <f t="shared" si="162"/>
        <v>37850.350648718086</v>
      </c>
      <c r="AW132" s="12">
        <f t="shared" si="162"/>
        <v>43478.678453876506</v>
      </c>
      <c r="AX132" s="12">
        <f t="shared" si="162"/>
        <v>48882.39999999998</v>
      </c>
      <c r="AY132" s="12">
        <f t="shared" si="162"/>
        <v>54020.389703266221</v>
      </c>
      <c r="AZ132" s="12">
        <f t="shared" si="162"/>
        <v>58853.544359630381</v>
      </c>
      <c r="BA132" s="12">
        <f t="shared" si="162"/>
        <v>63345.080743818966</v>
      </c>
      <c r="BB132" s="12">
        <f t="shared" si="162"/>
        <v>67460.815551884443</v>
      </c>
      <c r="BC132" s="12">
        <f t="shared" si="162"/>
        <v>71169.425556788847</v>
      </c>
      <c r="BD132" s="12">
        <f t="shared" si="162"/>
        <v>74442.685997074892</v>
      </c>
      <c r="BE132" s="12">
        <f t="shared" si="162"/>
        <v>77255.68538434332</v>
      </c>
      <c r="BF132" s="12">
        <f t="shared" si="162"/>
        <v>79587.015094721515</v>
      </c>
      <c r="BG132" s="12">
        <f t="shared" si="162"/>
        <v>81418.932301418186</v>
      </c>
      <c r="BH132" s="12">
        <f t="shared" si="162"/>
        <v>82737.495008348487</v>
      </c>
      <c r="BI132" s="12">
        <f t="shared" si="162"/>
        <v>83532.668157142733</v>
      </c>
      <c r="BJ132" s="12">
        <f t="shared" si="162"/>
        <v>83798.399999999965</v>
      </c>
      <c r="BK132" s="12">
        <f t="shared" si="162"/>
        <v>83798.399999999965</v>
      </c>
      <c r="BL132" s="12">
        <f t="shared" si="162"/>
        <v>83798.399999999965</v>
      </c>
      <c r="BM132" s="12">
        <f t="shared" si="162"/>
        <v>83798.399999999965</v>
      </c>
      <c r="BN132" s="12">
        <f t="shared" si="162"/>
        <v>83798.399999999965</v>
      </c>
      <c r="BO132" s="12">
        <f t="shared" si="162"/>
        <v>83798.399999999965</v>
      </c>
      <c r="BP132" s="12">
        <f t="shared" si="162"/>
        <v>83798.399999999965</v>
      </c>
      <c r="BQ132" s="12">
        <f t="shared" si="162"/>
        <v>83798.399999999965</v>
      </c>
      <c r="BR132" s="12">
        <f t="shared" si="162"/>
        <v>83798.399999999965</v>
      </c>
      <c r="BS132" s="12">
        <f t="shared" si="162"/>
        <v>83798.399999999965</v>
      </c>
      <c r="BT132" s="12">
        <f t="shared" si="162"/>
        <v>83798.399999999965</v>
      </c>
      <c r="BU132" s="12">
        <f t="shared" ref="BU132:CZ132" si="163">BU128+BU129+BU131</f>
        <v>83798.399999999965</v>
      </c>
      <c r="BV132" s="12">
        <f t="shared" si="163"/>
        <v>83798.399999999965</v>
      </c>
      <c r="BW132" s="12">
        <f t="shared" si="163"/>
        <v>83798.399999999965</v>
      </c>
      <c r="BX132" s="12">
        <f t="shared" si="163"/>
        <v>0</v>
      </c>
      <c r="BY132" s="12">
        <f t="shared" si="163"/>
        <v>0</v>
      </c>
      <c r="BZ132" s="12">
        <f t="shared" si="163"/>
        <v>0</v>
      </c>
      <c r="CA132" s="12">
        <f t="shared" si="163"/>
        <v>0</v>
      </c>
      <c r="CB132" s="12">
        <f t="shared" si="163"/>
        <v>0</v>
      </c>
      <c r="CC132" s="12">
        <f t="shared" si="163"/>
        <v>0</v>
      </c>
      <c r="CD132" s="12">
        <f t="shared" si="163"/>
        <v>0</v>
      </c>
      <c r="CE132" s="12">
        <f t="shared" si="163"/>
        <v>0</v>
      </c>
      <c r="CF132" s="12">
        <f t="shared" si="163"/>
        <v>0</v>
      </c>
      <c r="CG132" s="12">
        <f t="shared" si="163"/>
        <v>0</v>
      </c>
      <c r="CH132" s="12">
        <f t="shared" si="163"/>
        <v>0</v>
      </c>
      <c r="CI132" s="12">
        <f t="shared" si="163"/>
        <v>0</v>
      </c>
      <c r="CJ132" s="12">
        <f t="shared" si="163"/>
        <v>0</v>
      </c>
      <c r="CK132" s="12">
        <f t="shared" si="163"/>
        <v>0</v>
      </c>
      <c r="CL132" s="12">
        <f t="shared" si="163"/>
        <v>0</v>
      </c>
      <c r="CM132" s="12">
        <f t="shared" si="163"/>
        <v>0</v>
      </c>
      <c r="CN132" s="12">
        <f t="shared" si="163"/>
        <v>0</v>
      </c>
      <c r="CO132" s="12">
        <f t="shared" si="163"/>
        <v>0</v>
      </c>
      <c r="CP132" s="12">
        <f t="shared" si="163"/>
        <v>0</v>
      </c>
      <c r="CQ132" s="12">
        <f t="shared" si="163"/>
        <v>0</v>
      </c>
      <c r="CR132" s="12">
        <f t="shared" si="163"/>
        <v>0</v>
      </c>
      <c r="CS132" s="12">
        <f t="shared" si="163"/>
        <v>0</v>
      </c>
      <c r="CT132" s="12">
        <f t="shared" si="163"/>
        <v>0</v>
      </c>
      <c r="CU132" s="12">
        <f t="shared" si="163"/>
        <v>0</v>
      </c>
      <c r="CV132" s="12">
        <f t="shared" si="163"/>
        <v>0</v>
      </c>
      <c r="CW132" s="12">
        <f t="shared" si="163"/>
        <v>0</v>
      </c>
      <c r="CX132" s="12">
        <f t="shared" si="163"/>
        <v>0</v>
      </c>
      <c r="CY132" s="12">
        <f t="shared" si="163"/>
        <v>0</v>
      </c>
      <c r="CZ132" s="12">
        <f t="shared" si="163"/>
        <v>0</v>
      </c>
      <c r="DA132" s="12">
        <f t="shared" ref="DA132:EF132" si="164">DA128+DA129+DA131</f>
        <v>0</v>
      </c>
      <c r="DB132" s="12">
        <f t="shared" si="164"/>
        <v>0</v>
      </c>
      <c r="DC132" s="12">
        <f t="shared" si="164"/>
        <v>0</v>
      </c>
      <c r="DD132" s="12">
        <f t="shared" si="164"/>
        <v>0</v>
      </c>
      <c r="DE132" s="12">
        <f t="shared" si="164"/>
        <v>0</v>
      </c>
      <c r="DF132" s="12">
        <f t="shared" si="164"/>
        <v>0</v>
      </c>
      <c r="DG132" s="12">
        <f t="shared" si="164"/>
        <v>0</v>
      </c>
      <c r="DH132" s="12">
        <f t="shared" si="164"/>
        <v>0</v>
      </c>
      <c r="DI132" s="12">
        <f t="shared" si="164"/>
        <v>0</v>
      </c>
      <c r="DJ132" s="12">
        <f t="shared" si="164"/>
        <v>0</v>
      </c>
      <c r="DK132" s="12">
        <f t="shared" si="164"/>
        <v>0</v>
      </c>
      <c r="DL132" s="12">
        <f t="shared" si="164"/>
        <v>0</v>
      </c>
      <c r="DM132" s="12">
        <f t="shared" si="164"/>
        <v>0</v>
      </c>
      <c r="DN132" s="12">
        <f t="shared" si="164"/>
        <v>0</v>
      </c>
      <c r="DO132" s="12">
        <f t="shared" si="164"/>
        <v>0</v>
      </c>
      <c r="DP132" s="12">
        <f t="shared" si="164"/>
        <v>0</v>
      </c>
      <c r="DQ132" s="12">
        <f t="shared" si="164"/>
        <v>0</v>
      </c>
      <c r="DR132" s="12">
        <f t="shared" si="164"/>
        <v>0</v>
      </c>
      <c r="DS132" s="12">
        <f t="shared" si="164"/>
        <v>0</v>
      </c>
      <c r="DT132" s="12">
        <f t="shared" si="164"/>
        <v>0</v>
      </c>
      <c r="DU132" s="12">
        <f t="shared" si="164"/>
        <v>0</v>
      </c>
      <c r="DV132" s="12">
        <f t="shared" si="164"/>
        <v>0</v>
      </c>
      <c r="DW132" s="12">
        <f t="shared" si="164"/>
        <v>0</v>
      </c>
      <c r="DX132" s="12">
        <f t="shared" si="164"/>
        <v>0</v>
      </c>
      <c r="DY132" s="12">
        <f t="shared" si="164"/>
        <v>0</v>
      </c>
      <c r="DZ132" s="12">
        <f t="shared" si="164"/>
        <v>0</v>
      </c>
      <c r="EA132" s="12">
        <f t="shared" si="164"/>
        <v>0</v>
      </c>
      <c r="EB132" s="12">
        <f t="shared" si="164"/>
        <v>0</v>
      </c>
      <c r="EC132" s="12">
        <f t="shared" si="164"/>
        <v>0</v>
      </c>
      <c r="ED132" s="12">
        <f t="shared" si="164"/>
        <v>0</v>
      </c>
      <c r="EE132" s="12">
        <f t="shared" si="164"/>
        <v>0</v>
      </c>
      <c r="EF132" s="12">
        <f t="shared" si="164"/>
        <v>0</v>
      </c>
      <c r="EG132" s="12">
        <f t="shared" ref="EG132:FH132" si="165">EG128+EG129+EG131</f>
        <v>0</v>
      </c>
      <c r="EH132" s="12">
        <f t="shared" si="165"/>
        <v>0</v>
      </c>
      <c r="EI132" s="12">
        <f t="shared" si="165"/>
        <v>0</v>
      </c>
      <c r="EJ132" s="12">
        <f t="shared" si="165"/>
        <v>0</v>
      </c>
      <c r="EK132" s="12">
        <f t="shared" si="165"/>
        <v>0</v>
      </c>
      <c r="EL132" s="12">
        <f t="shared" si="165"/>
        <v>0</v>
      </c>
      <c r="EM132" s="12">
        <f t="shared" si="165"/>
        <v>0</v>
      </c>
      <c r="EN132" s="12">
        <f t="shared" si="165"/>
        <v>0</v>
      </c>
      <c r="EO132" s="12">
        <f t="shared" si="165"/>
        <v>0</v>
      </c>
      <c r="EP132" s="12">
        <f t="shared" si="165"/>
        <v>0</v>
      </c>
      <c r="EQ132" s="12">
        <f t="shared" si="165"/>
        <v>0</v>
      </c>
      <c r="ER132" s="12">
        <f t="shared" si="165"/>
        <v>0</v>
      </c>
      <c r="ES132" s="12">
        <f t="shared" si="165"/>
        <v>0</v>
      </c>
      <c r="ET132" s="12">
        <f t="shared" si="165"/>
        <v>0</v>
      </c>
      <c r="EU132" s="12">
        <f t="shared" si="165"/>
        <v>0</v>
      </c>
      <c r="EV132" s="12">
        <f t="shared" si="165"/>
        <v>0</v>
      </c>
      <c r="EW132" s="12">
        <f t="shared" si="165"/>
        <v>0</v>
      </c>
      <c r="EX132" s="12">
        <f t="shared" si="165"/>
        <v>0</v>
      </c>
      <c r="EY132" s="12">
        <f t="shared" si="165"/>
        <v>0</v>
      </c>
      <c r="EZ132" s="12">
        <f t="shared" si="165"/>
        <v>0</v>
      </c>
      <c r="FA132" s="12">
        <f t="shared" si="165"/>
        <v>0</v>
      </c>
      <c r="FB132" s="12">
        <f t="shared" si="165"/>
        <v>0</v>
      </c>
      <c r="FC132" s="12">
        <f t="shared" si="165"/>
        <v>0</v>
      </c>
      <c r="FD132" s="12">
        <f t="shared" si="165"/>
        <v>0</v>
      </c>
      <c r="FE132" s="12">
        <f t="shared" si="165"/>
        <v>0</v>
      </c>
      <c r="FF132" s="12">
        <f t="shared" si="165"/>
        <v>0</v>
      </c>
      <c r="FG132" s="12">
        <f t="shared" si="165"/>
        <v>0</v>
      </c>
      <c r="FH132" s="12">
        <f t="shared" si="165"/>
        <v>0</v>
      </c>
    </row>
    <row r="133" spans="1:164" x14ac:dyDescent="0.2">
      <c r="A133" s="10"/>
      <c r="B133" s="31" t="s">
        <v>917</v>
      </c>
      <c r="C133" s="31"/>
      <c r="D133" s="31"/>
      <c r="E133" s="31"/>
      <c r="F133" s="31"/>
      <c r="G133" s="31"/>
      <c r="H133" s="32">
        <f>SUM(I133:FH133)</f>
        <v>60628.697613733093</v>
      </c>
      <c r="I133" s="32">
        <f t="shared" ref="I133:AN133" si="166">I124+I129+I130+I131</f>
        <v>0</v>
      </c>
      <c r="J133" s="32">
        <f t="shared" si="166"/>
        <v>0</v>
      </c>
      <c r="K133" s="32">
        <f t="shared" si="166"/>
        <v>0</v>
      </c>
      <c r="L133" s="32">
        <f t="shared" si="166"/>
        <v>0</v>
      </c>
      <c r="M133" s="32">
        <f t="shared" si="166"/>
        <v>0</v>
      </c>
      <c r="N133" s="32">
        <f t="shared" si="166"/>
        <v>0</v>
      </c>
      <c r="O133" s="32">
        <f t="shared" si="166"/>
        <v>-349.16</v>
      </c>
      <c r="P133" s="32">
        <f t="shared" si="166"/>
        <v>-349.16</v>
      </c>
      <c r="Q133" s="32">
        <f t="shared" si="166"/>
        <v>-349.16</v>
      </c>
      <c r="R133" s="32">
        <f t="shared" si="166"/>
        <v>-656.84888888888895</v>
      </c>
      <c r="S133" s="32">
        <f t="shared" si="166"/>
        <v>-656.84888888888895</v>
      </c>
      <c r="T133" s="32">
        <f t="shared" si="166"/>
        <v>-656.84888888888895</v>
      </c>
      <c r="U133" s="32">
        <f t="shared" si="166"/>
        <v>43.363111111111039</v>
      </c>
      <c r="V133" s="32">
        <f t="shared" si="166"/>
        <v>136.57033062330606</v>
      </c>
      <c r="W133" s="32">
        <f t="shared" si="166"/>
        <v>232.10773062330622</v>
      </c>
      <c r="X133" s="32">
        <f t="shared" si="166"/>
        <v>330.09480754638298</v>
      </c>
      <c r="Y133" s="32">
        <f t="shared" si="166"/>
        <v>430.66049175690932</v>
      </c>
      <c r="Z133" s="32">
        <f t="shared" si="166"/>
        <v>533.94416743258512</v>
      </c>
      <c r="AA133" s="32">
        <f t="shared" si="166"/>
        <v>190.32644785233936</v>
      </c>
      <c r="AB133" s="32">
        <f t="shared" si="166"/>
        <v>-337.5570051910139</v>
      </c>
      <c r="AC133" s="32">
        <f t="shared" si="166"/>
        <v>-857.92005712131299</v>
      </c>
      <c r="AD133" s="32">
        <f t="shared" si="166"/>
        <v>-1366.4524191337503</v>
      </c>
      <c r="AE133" s="32">
        <f t="shared" si="166"/>
        <v>-1858.919118540995</v>
      </c>
      <c r="AF133" s="32">
        <f t="shared" si="166"/>
        <v>-2331.1914046565798</v>
      </c>
      <c r="AG133" s="32">
        <f t="shared" si="166"/>
        <v>-2779.2766632061557</v>
      </c>
      <c r="AH133" s="32">
        <f t="shared" si="166"/>
        <v>-3199.347077570168</v>
      </c>
      <c r="AI133" s="32">
        <f t="shared" si="166"/>
        <v>-3587.7667767321304</v>
      </c>
      <c r="AJ133" s="32">
        <f t="shared" si="166"/>
        <v>-3633.4283222059994</v>
      </c>
      <c r="AK133" s="32">
        <f t="shared" si="166"/>
        <v>-3948.5316086740322</v>
      </c>
      <c r="AL133" s="32">
        <f t="shared" si="166"/>
        <v>-4222.4715845220644</v>
      </c>
      <c r="AM133" s="32">
        <f t="shared" si="166"/>
        <v>-4452.6123041023102</v>
      </c>
      <c r="AN133" s="32">
        <f t="shared" si="166"/>
        <v>-4636.6137012976315</v>
      </c>
      <c r="AO133" s="32">
        <f t="shared" ref="AO133:BT133" si="167">AO124+AO129+AO130+AO131</f>
        <v>-4772.4441208117287</v>
      </c>
      <c r="AP133" s="32">
        <f t="shared" si="167"/>
        <v>-3018.1889313658321</v>
      </c>
      <c r="AQ133" s="32">
        <f t="shared" si="167"/>
        <v>1129.4203954124382</v>
      </c>
      <c r="AR133" s="32">
        <f t="shared" si="167"/>
        <v>1136.1045746513223</v>
      </c>
      <c r="AS133" s="32">
        <f t="shared" si="167"/>
        <v>1149.1217598460246</v>
      </c>
      <c r="AT133" s="32">
        <f t="shared" si="167"/>
        <v>1169.3496676530619</v>
      </c>
      <c r="AU133" s="32">
        <f t="shared" si="167"/>
        <v>1197.7249800822146</v>
      </c>
      <c r="AV133" s="32">
        <f t="shared" si="167"/>
        <v>1235.2620857408922</v>
      </c>
      <c r="AW133" s="32">
        <f t="shared" si="167"/>
        <v>1283.0798466349727</v>
      </c>
      <c r="AX133" s="32">
        <f t="shared" si="167"/>
        <v>1342.4400246073199</v>
      </c>
      <c r="AY133" s="32">
        <f t="shared" si="167"/>
        <v>1414.8031065030214</v>
      </c>
      <c r="AZ133" s="32">
        <f t="shared" si="167"/>
        <v>1501.9109041455699</v>
      </c>
      <c r="BA133" s="32">
        <f t="shared" si="167"/>
        <v>1605.9118531445095</v>
      </c>
      <c r="BB133" s="32">
        <f t="shared" si="167"/>
        <v>1729.5573045282995</v>
      </c>
      <c r="BC133" s="32">
        <f t="shared" si="167"/>
        <v>1876.5218451617975</v>
      </c>
      <c r="BD133" s="32">
        <f t="shared" si="167"/>
        <v>2051.9537038751018</v>
      </c>
      <c r="BE133" s="32">
        <f t="shared" si="167"/>
        <v>2263.4850188682253</v>
      </c>
      <c r="BF133" s="32">
        <f t="shared" si="167"/>
        <v>2523.2534142213876</v>
      </c>
      <c r="BG133" s="32">
        <f t="shared" si="167"/>
        <v>2852.4513550630872</v>
      </c>
      <c r="BH133" s="32">
        <f t="shared" si="167"/>
        <v>3293.4581706251461</v>
      </c>
      <c r="BI133" s="32">
        <f t="shared" si="167"/>
        <v>3952.3017429808901</v>
      </c>
      <c r="BJ133" s="32">
        <f t="shared" si="167"/>
        <v>5253.4258567311826</v>
      </c>
      <c r="BK133" s="32">
        <f t="shared" si="167"/>
        <v>22133.830334150654</v>
      </c>
      <c r="BL133" s="32">
        <f t="shared" si="167"/>
        <v>155.61300081730292</v>
      </c>
      <c r="BM133" s="32">
        <f t="shared" si="167"/>
        <v>155.61300081730292</v>
      </c>
      <c r="BN133" s="32">
        <f t="shared" si="167"/>
        <v>155.61300081730292</v>
      </c>
      <c r="BO133" s="32">
        <f t="shared" si="167"/>
        <v>155.61300081730292</v>
      </c>
      <c r="BP133" s="32">
        <f t="shared" si="167"/>
        <v>155.61300081730292</v>
      </c>
      <c r="BQ133" s="32">
        <f t="shared" si="167"/>
        <v>155.61300081730292</v>
      </c>
      <c r="BR133" s="32">
        <f t="shared" si="167"/>
        <v>155.61300081730292</v>
      </c>
      <c r="BS133" s="32">
        <f t="shared" si="167"/>
        <v>155.61300081730292</v>
      </c>
      <c r="BT133" s="32">
        <f t="shared" si="167"/>
        <v>155.61300081730292</v>
      </c>
      <c r="BU133" s="32">
        <f t="shared" ref="BU133:CZ133" si="168">BU124+BU129+BU130+BU131</f>
        <v>155.61300081730292</v>
      </c>
      <c r="BV133" s="32">
        <f t="shared" si="168"/>
        <v>155.61300081730292</v>
      </c>
      <c r="BW133" s="32">
        <f t="shared" si="168"/>
        <v>155.61300081730292</v>
      </c>
      <c r="BX133" s="32">
        <f t="shared" si="168"/>
        <v>42789.654334150779</v>
      </c>
      <c r="BY133" s="32">
        <f t="shared" si="168"/>
        <v>0</v>
      </c>
      <c r="BZ133" s="32">
        <f t="shared" si="168"/>
        <v>0</v>
      </c>
      <c r="CA133" s="32">
        <f t="shared" si="168"/>
        <v>0</v>
      </c>
      <c r="CB133" s="32">
        <f t="shared" si="168"/>
        <v>0</v>
      </c>
      <c r="CC133" s="32">
        <f t="shared" si="168"/>
        <v>0</v>
      </c>
      <c r="CD133" s="32">
        <f t="shared" si="168"/>
        <v>0</v>
      </c>
      <c r="CE133" s="32">
        <f t="shared" si="168"/>
        <v>0</v>
      </c>
      <c r="CF133" s="32">
        <f t="shared" si="168"/>
        <v>0</v>
      </c>
      <c r="CG133" s="32">
        <f t="shared" si="168"/>
        <v>0</v>
      </c>
      <c r="CH133" s="32">
        <f t="shared" si="168"/>
        <v>0</v>
      </c>
      <c r="CI133" s="32">
        <f t="shared" si="168"/>
        <v>0</v>
      </c>
      <c r="CJ133" s="32">
        <f t="shared" si="168"/>
        <v>0</v>
      </c>
      <c r="CK133" s="32">
        <f t="shared" si="168"/>
        <v>0</v>
      </c>
      <c r="CL133" s="32">
        <f t="shared" si="168"/>
        <v>0</v>
      </c>
      <c r="CM133" s="32">
        <f t="shared" si="168"/>
        <v>0</v>
      </c>
      <c r="CN133" s="32">
        <f t="shared" si="168"/>
        <v>0</v>
      </c>
      <c r="CO133" s="32">
        <f t="shared" si="168"/>
        <v>0</v>
      </c>
      <c r="CP133" s="32">
        <f t="shared" si="168"/>
        <v>0</v>
      </c>
      <c r="CQ133" s="32">
        <f t="shared" si="168"/>
        <v>0</v>
      </c>
      <c r="CR133" s="32">
        <f t="shared" si="168"/>
        <v>0</v>
      </c>
      <c r="CS133" s="32">
        <f t="shared" si="168"/>
        <v>0</v>
      </c>
      <c r="CT133" s="32">
        <f t="shared" si="168"/>
        <v>0</v>
      </c>
      <c r="CU133" s="32">
        <f t="shared" si="168"/>
        <v>0</v>
      </c>
      <c r="CV133" s="32">
        <f t="shared" si="168"/>
        <v>0</v>
      </c>
      <c r="CW133" s="32">
        <f t="shared" si="168"/>
        <v>0</v>
      </c>
      <c r="CX133" s="32">
        <f t="shared" si="168"/>
        <v>0</v>
      </c>
      <c r="CY133" s="32">
        <f t="shared" si="168"/>
        <v>0</v>
      </c>
      <c r="CZ133" s="32">
        <f t="shared" si="168"/>
        <v>0</v>
      </c>
      <c r="DA133" s="32">
        <f t="shared" ref="DA133:EF133" si="169">DA124+DA129+DA130+DA131</f>
        <v>0</v>
      </c>
      <c r="DB133" s="32">
        <f t="shared" si="169"/>
        <v>0</v>
      </c>
      <c r="DC133" s="32">
        <f t="shared" si="169"/>
        <v>0</v>
      </c>
      <c r="DD133" s="32">
        <f t="shared" si="169"/>
        <v>0</v>
      </c>
      <c r="DE133" s="32">
        <f t="shared" si="169"/>
        <v>0</v>
      </c>
      <c r="DF133" s="32">
        <f t="shared" si="169"/>
        <v>0</v>
      </c>
      <c r="DG133" s="32">
        <f t="shared" si="169"/>
        <v>0</v>
      </c>
      <c r="DH133" s="32">
        <f t="shared" si="169"/>
        <v>0</v>
      </c>
      <c r="DI133" s="32">
        <f t="shared" si="169"/>
        <v>0</v>
      </c>
      <c r="DJ133" s="32">
        <f t="shared" si="169"/>
        <v>0</v>
      </c>
      <c r="DK133" s="32">
        <f t="shared" si="169"/>
        <v>0</v>
      </c>
      <c r="DL133" s="32">
        <f t="shared" si="169"/>
        <v>0</v>
      </c>
      <c r="DM133" s="32">
        <f t="shared" si="169"/>
        <v>0</v>
      </c>
      <c r="DN133" s="32">
        <f t="shared" si="169"/>
        <v>0</v>
      </c>
      <c r="DO133" s="32">
        <f t="shared" si="169"/>
        <v>0</v>
      </c>
      <c r="DP133" s="32">
        <f t="shared" si="169"/>
        <v>0</v>
      </c>
      <c r="DQ133" s="32">
        <f t="shared" si="169"/>
        <v>0</v>
      </c>
      <c r="DR133" s="32">
        <f t="shared" si="169"/>
        <v>0</v>
      </c>
      <c r="DS133" s="32">
        <f t="shared" si="169"/>
        <v>0</v>
      </c>
      <c r="DT133" s="32">
        <f t="shared" si="169"/>
        <v>0</v>
      </c>
      <c r="DU133" s="32">
        <f t="shared" si="169"/>
        <v>0</v>
      </c>
      <c r="DV133" s="32">
        <f t="shared" si="169"/>
        <v>0</v>
      </c>
      <c r="DW133" s="32">
        <f t="shared" si="169"/>
        <v>0</v>
      </c>
      <c r="DX133" s="32">
        <f t="shared" si="169"/>
        <v>0</v>
      </c>
      <c r="DY133" s="32">
        <f t="shared" si="169"/>
        <v>0</v>
      </c>
      <c r="DZ133" s="32">
        <f t="shared" si="169"/>
        <v>0</v>
      </c>
      <c r="EA133" s="32">
        <f t="shared" si="169"/>
        <v>0</v>
      </c>
      <c r="EB133" s="32">
        <f t="shared" si="169"/>
        <v>0</v>
      </c>
      <c r="EC133" s="32">
        <f t="shared" si="169"/>
        <v>0</v>
      </c>
      <c r="ED133" s="32">
        <f t="shared" si="169"/>
        <v>0</v>
      </c>
      <c r="EE133" s="32">
        <f t="shared" si="169"/>
        <v>0</v>
      </c>
      <c r="EF133" s="32">
        <f t="shared" si="169"/>
        <v>0</v>
      </c>
      <c r="EG133" s="32">
        <f t="shared" ref="EG133:FH133" si="170">EG124+EG129+EG130+EG131</f>
        <v>0</v>
      </c>
      <c r="EH133" s="32">
        <f t="shared" si="170"/>
        <v>0</v>
      </c>
      <c r="EI133" s="32">
        <f t="shared" si="170"/>
        <v>0</v>
      </c>
      <c r="EJ133" s="32">
        <f t="shared" si="170"/>
        <v>0</v>
      </c>
      <c r="EK133" s="32">
        <f t="shared" si="170"/>
        <v>0</v>
      </c>
      <c r="EL133" s="32">
        <f t="shared" si="170"/>
        <v>0</v>
      </c>
      <c r="EM133" s="32">
        <f t="shared" si="170"/>
        <v>0</v>
      </c>
      <c r="EN133" s="32">
        <f t="shared" si="170"/>
        <v>0</v>
      </c>
      <c r="EO133" s="32">
        <f t="shared" si="170"/>
        <v>0</v>
      </c>
      <c r="EP133" s="32">
        <f t="shared" si="170"/>
        <v>0</v>
      </c>
      <c r="EQ133" s="32">
        <f t="shared" si="170"/>
        <v>0</v>
      </c>
      <c r="ER133" s="32">
        <f t="shared" si="170"/>
        <v>0</v>
      </c>
      <c r="ES133" s="32">
        <f t="shared" si="170"/>
        <v>0</v>
      </c>
      <c r="ET133" s="32">
        <f t="shared" si="170"/>
        <v>0</v>
      </c>
      <c r="EU133" s="32">
        <f t="shared" si="170"/>
        <v>0</v>
      </c>
      <c r="EV133" s="32">
        <f t="shared" si="170"/>
        <v>0</v>
      </c>
      <c r="EW133" s="32">
        <f t="shared" si="170"/>
        <v>0</v>
      </c>
      <c r="EX133" s="32">
        <f t="shared" si="170"/>
        <v>0</v>
      </c>
      <c r="EY133" s="32">
        <f t="shared" si="170"/>
        <v>0</v>
      </c>
      <c r="EZ133" s="32">
        <f t="shared" si="170"/>
        <v>0</v>
      </c>
      <c r="FA133" s="32">
        <f t="shared" si="170"/>
        <v>0</v>
      </c>
      <c r="FB133" s="32">
        <f t="shared" si="170"/>
        <v>0</v>
      </c>
      <c r="FC133" s="32">
        <f t="shared" si="170"/>
        <v>0</v>
      </c>
      <c r="FD133" s="32">
        <f t="shared" si="170"/>
        <v>0</v>
      </c>
      <c r="FE133" s="32">
        <f t="shared" si="170"/>
        <v>0</v>
      </c>
      <c r="FF133" s="32">
        <f t="shared" si="170"/>
        <v>0</v>
      </c>
      <c r="FG133" s="32">
        <f t="shared" si="170"/>
        <v>0</v>
      </c>
      <c r="FH133" s="32">
        <f t="shared" si="170"/>
        <v>0</v>
      </c>
    </row>
    <row r="134" spans="1:164" x14ac:dyDescent="0.2">
      <c r="A134" s="10"/>
      <c r="B134" s="10"/>
      <c r="C134" s="10" t="s">
        <v>918</v>
      </c>
      <c r="D134" s="10"/>
      <c r="E134" s="10"/>
      <c r="F134" s="10"/>
      <c r="G134" s="10"/>
      <c r="H134" s="12"/>
      <c r="I134" s="12">
        <f>I133</f>
        <v>0</v>
      </c>
      <c r="J134" s="12">
        <f t="shared" ref="J134:AO134" si="171">I134+J133</f>
        <v>0</v>
      </c>
      <c r="K134" s="12">
        <f t="shared" si="171"/>
        <v>0</v>
      </c>
      <c r="L134" s="12">
        <f t="shared" si="171"/>
        <v>0</v>
      </c>
      <c r="M134" s="12">
        <f t="shared" si="171"/>
        <v>0</v>
      </c>
      <c r="N134" s="12">
        <f t="shared" si="171"/>
        <v>0</v>
      </c>
      <c r="O134" s="12">
        <f t="shared" si="171"/>
        <v>-349.16</v>
      </c>
      <c r="P134" s="12">
        <f t="shared" si="171"/>
        <v>-698.32</v>
      </c>
      <c r="Q134" s="12">
        <f t="shared" si="171"/>
        <v>-1047.48</v>
      </c>
      <c r="R134" s="12">
        <f t="shared" si="171"/>
        <v>-1704.328888888889</v>
      </c>
      <c r="S134" s="12">
        <f t="shared" si="171"/>
        <v>-2361.1777777777779</v>
      </c>
      <c r="T134" s="12">
        <f t="shared" si="171"/>
        <v>-3018.0266666666666</v>
      </c>
      <c r="U134" s="12">
        <f t="shared" si="171"/>
        <v>-2974.6635555555558</v>
      </c>
      <c r="V134" s="12">
        <f t="shared" si="171"/>
        <v>-2838.0932249322495</v>
      </c>
      <c r="W134" s="12">
        <f t="shared" si="171"/>
        <v>-2605.9854943089431</v>
      </c>
      <c r="X134" s="12">
        <f t="shared" si="171"/>
        <v>-2275.8906867625601</v>
      </c>
      <c r="Y134" s="12">
        <f t="shared" si="171"/>
        <v>-1845.2301950056508</v>
      </c>
      <c r="Z134" s="12">
        <f t="shared" si="171"/>
        <v>-1311.2860275730657</v>
      </c>
      <c r="AA134" s="12">
        <f t="shared" si="171"/>
        <v>-1120.9595797207262</v>
      </c>
      <c r="AB134" s="12">
        <f t="shared" si="171"/>
        <v>-1458.5165849117402</v>
      </c>
      <c r="AC134" s="12">
        <f t="shared" si="171"/>
        <v>-2316.4366420330534</v>
      </c>
      <c r="AD134" s="12">
        <f t="shared" si="171"/>
        <v>-3682.8890611668039</v>
      </c>
      <c r="AE134" s="12">
        <f t="shared" si="171"/>
        <v>-5541.8081797077994</v>
      </c>
      <c r="AF134" s="12">
        <f t="shared" si="171"/>
        <v>-7872.9995843643792</v>
      </c>
      <c r="AG134" s="12">
        <f t="shared" si="171"/>
        <v>-10652.276247570535</v>
      </c>
      <c r="AH134" s="12">
        <f t="shared" si="171"/>
        <v>-13851.623325140703</v>
      </c>
      <c r="AI134" s="12">
        <f t="shared" si="171"/>
        <v>-17439.390101872832</v>
      </c>
      <c r="AJ134" s="12">
        <f t="shared" si="171"/>
        <v>-21072.818424078832</v>
      </c>
      <c r="AK134" s="12">
        <f t="shared" si="171"/>
        <v>-25021.350032752864</v>
      </c>
      <c r="AL134" s="12">
        <f t="shared" si="171"/>
        <v>-29243.821617274927</v>
      </c>
      <c r="AM134" s="12">
        <f t="shared" si="171"/>
        <v>-33696.43392137724</v>
      </c>
      <c r="AN134" s="12">
        <f t="shared" si="171"/>
        <v>-38333.047622674872</v>
      </c>
      <c r="AO134" s="12">
        <f t="shared" si="171"/>
        <v>-43105.4917434866</v>
      </c>
      <c r="AP134" s="12">
        <f t="shared" ref="AP134:BU134" si="172">AO134+AP133</f>
        <v>-46123.680674852432</v>
      </c>
      <c r="AQ134" s="12">
        <f t="shared" si="172"/>
        <v>-44994.260279439994</v>
      </c>
      <c r="AR134" s="12">
        <f t="shared" si="172"/>
        <v>-43858.155704788674</v>
      </c>
      <c r="AS134" s="12">
        <f t="shared" si="172"/>
        <v>-42709.033944942646</v>
      </c>
      <c r="AT134" s="12">
        <f t="shared" si="172"/>
        <v>-41539.684277289583</v>
      </c>
      <c r="AU134" s="12">
        <f t="shared" si="172"/>
        <v>-40341.959297207366</v>
      </c>
      <c r="AV134" s="12">
        <f t="shared" si="172"/>
        <v>-39106.697211466475</v>
      </c>
      <c r="AW134" s="12">
        <f t="shared" si="172"/>
        <v>-37823.617364831502</v>
      </c>
      <c r="AX134" s="12">
        <f t="shared" si="172"/>
        <v>-36481.177340224182</v>
      </c>
      <c r="AY134" s="12">
        <f t="shared" si="172"/>
        <v>-35066.374233721159</v>
      </c>
      <c r="AZ134" s="12">
        <f t="shared" si="172"/>
        <v>-33564.463329575592</v>
      </c>
      <c r="BA134" s="12">
        <f t="shared" si="172"/>
        <v>-31958.551476431083</v>
      </c>
      <c r="BB134" s="12">
        <f t="shared" si="172"/>
        <v>-30228.994171902785</v>
      </c>
      <c r="BC134" s="12">
        <f t="shared" si="172"/>
        <v>-28352.472326740986</v>
      </c>
      <c r="BD134" s="12">
        <f t="shared" si="172"/>
        <v>-26300.518622865886</v>
      </c>
      <c r="BE134" s="12">
        <f t="shared" si="172"/>
        <v>-24037.033603997661</v>
      </c>
      <c r="BF134" s="12">
        <f t="shared" si="172"/>
        <v>-21513.780189776273</v>
      </c>
      <c r="BG134" s="12">
        <f t="shared" si="172"/>
        <v>-18661.328834713186</v>
      </c>
      <c r="BH134" s="12">
        <f t="shared" si="172"/>
        <v>-15367.870664088039</v>
      </c>
      <c r="BI134" s="12">
        <f t="shared" si="172"/>
        <v>-11415.568921107149</v>
      </c>
      <c r="BJ134" s="12">
        <f t="shared" si="172"/>
        <v>-6162.1430643759668</v>
      </c>
      <c r="BK134" s="12">
        <f t="shared" si="172"/>
        <v>15971.687269774688</v>
      </c>
      <c r="BL134" s="12">
        <f t="shared" si="172"/>
        <v>16127.30027059199</v>
      </c>
      <c r="BM134" s="12">
        <f t="shared" si="172"/>
        <v>16282.913271409292</v>
      </c>
      <c r="BN134" s="12">
        <f t="shared" si="172"/>
        <v>16438.526272226594</v>
      </c>
      <c r="BO134" s="12">
        <f t="shared" si="172"/>
        <v>16594.139273043897</v>
      </c>
      <c r="BP134" s="12">
        <f t="shared" si="172"/>
        <v>16749.752273861199</v>
      </c>
      <c r="BQ134" s="12">
        <f t="shared" si="172"/>
        <v>16905.365274678501</v>
      </c>
      <c r="BR134" s="12">
        <f t="shared" si="172"/>
        <v>17060.978275495803</v>
      </c>
      <c r="BS134" s="12">
        <f t="shared" si="172"/>
        <v>17216.591276313105</v>
      </c>
      <c r="BT134" s="12">
        <f t="shared" si="172"/>
        <v>17372.204277130408</v>
      </c>
      <c r="BU134" s="12">
        <f t="shared" si="172"/>
        <v>17527.81727794771</v>
      </c>
      <c r="BV134" s="12">
        <f t="shared" ref="BV134:DA134" si="173">BU134+BV133</f>
        <v>17683.430278765012</v>
      </c>
      <c r="BW134" s="12">
        <f t="shared" si="173"/>
        <v>17839.043279582314</v>
      </c>
      <c r="BX134" s="12">
        <f t="shared" si="173"/>
        <v>60628.697613733093</v>
      </c>
      <c r="BY134" s="12">
        <f t="shared" si="173"/>
        <v>60628.697613733093</v>
      </c>
      <c r="BZ134" s="12">
        <f t="shared" si="173"/>
        <v>60628.697613733093</v>
      </c>
      <c r="CA134" s="12">
        <f t="shared" si="173"/>
        <v>60628.697613733093</v>
      </c>
      <c r="CB134" s="12">
        <f t="shared" si="173"/>
        <v>60628.697613733093</v>
      </c>
      <c r="CC134" s="12">
        <f t="shared" si="173"/>
        <v>60628.697613733093</v>
      </c>
      <c r="CD134" s="12">
        <f t="shared" si="173"/>
        <v>60628.697613733093</v>
      </c>
      <c r="CE134" s="12">
        <f t="shared" si="173"/>
        <v>60628.697613733093</v>
      </c>
      <c r="CF134" s="12">
        <f t="shared" si="173"/>
        <v>60628.697613733093</v>
      </c>
      <c r="CG134" s="12">
        <f t="shared" si="173"/>
        <v>60628.697613733093</v>
      </c>
      <c r="CH134" s="12">
        <f t="shared" si="173"/>
        <v>60628.697613733093</v>
      </c>
      <c r="CI134" s="12">
        <f t="shared" si="173"/>
        <v>60628.697613733093</v>
      </c>
      <c r="CJ134" s="12">
        <f t="shared" si="173"/>
        <v>60628.697613733093</v>
      </c>
      <c r="CK134" s="12">
        <f t="shared" si="173"/>
        <v>60628.697613733093</v>
      </c>
      <c r="CL134" s="12">
        <f t="shared" si="173"/>
        <v>60628.697613733093</v>
      </c>
      <c r="CM134" s="12">
        <f t="shared" si="173"/>
        <v>60628.697613733093</v>
      </c>
      <c r="CN134" s="12">
        <f t="shared" si="173"/>
        <v>60628.697613733093</v>
      </c>
      <c r="CO134" s="12">
        <f t="shared" si="173"/>
        <v>60628.697613733093</v>
      </c>
      <c r="CP134" s="12">
        <f t="shared" si="173"/>
        <v>60628.697613733093</v>
      </c>
      <c r="CQ134" s="12">
        <f t="shared" si="173"/>
        <v>60628.697613733093</v>
      </c>
      <c r="CR134" s="12">
        <f t="shared" si="173"/>
        <v>60628.697613733093</v>
      </c>
      <c r="CS134" s="12">
        <f t="shared" si="173"/>
        <v>60628.697613733093</v>
      </c>
      <c r="CT134" s="12">
        <f t="shared" si="173"/>
        <v>60628.697613733093</v>
      </c>
      <c r="CU134" s="12">
        <f t="shared" si="173"/>
        <v>60628.697613733093</v>
      </c>
      <c r="CV134" s="12">
        <f t="shared" si="173"/>
        <v>60628.697613733093</v>
      </c>
      <c r="CW134" s="12">
        <f t="shared" si="173"/>
        <v>60628.697613733093</v>
      </c>
      <c r="CX134" s="12">
        <f t="shared" si="173"/>
        <v>60628.697613733093</v>
      </c>
      <c r="CY134" s="12">
        <f t="shared" si="173"/>
        <v>60628.697613733093</v>
      </c>
      <c r="CZ134" s="12">
        <f t="shared" si="173"/>
        <v>60628.697613733093</v>
      </c>
      <c r="DA134" s="12">
        <f t="shared" si="173"/>
        <v>60628.697613733093</v>
      </c>
      <c r="DB134" s="12">
        <f t="shared" ref="DB134:EG134" si="174">DA134+DB133</f>
        <v>60628.697613733093</v>
      </c>
      <c r="DC134" s="12">
        <f t="shared" si="174"/>
        <v>60628.697613733093</v>
      </c>
      <c r="DD134" s="12">
        <f t="shared" si="174"/>
        <v>60628.697613733093</v>
      </c>
      <c r="DE134" s="12">
        <f t="shared" si="174"/>
        <v>60628.697613733093</v>
      </c>
      <c r="DF134" s="12">
        <f t="shared" si="174"/>
        <v>60628.697613733093</v>
      </c>
      <c r="DG134" s="12">
        <f t="shared" si="174"/>
        <v>60628.697613733093</v>
      </c>
      <c r="DH134" s="12">
        <f t="shared" si="174"/>
        <v>60628.697613733093</v>
      </c>
      <c r="DI134" s="12">
        <f t="shared" si="174"/>
        <v>60628.697613733093</v>
      </c>
      <c r="DJ134" s="12">
        <f t="shared" si="174"/>
        <v>60628.697613733093</v>
      </c>
      <c r="DK134" s="12">
        <f t="shared" si="174"/>
        <v>60628.697613733093</v>
      </c>
      <c r="DL134" s="12">
        <f t="shared" si="174"/>
        <v>60628.697613733093</v>
      </c>
      <c r="DM134" s="12">
        <f t="shared" si="174"/>
        <v>60628.697613733093</v>
      </c>
      <c r="DN134" s="12">
        <f t="shared" si="174"/>
        <v>60628.697613733093</v>
      </c>
      <c r="DO134" s="12">
        <f t="shared" si="174"/>
        <v>60628.697613733093</v>
      </c>
      <c r="DP134" s="12">
        <f t="shared" si="174"/>
        <v>60628.697613733093</v>
      </c>
      <c r="DQ134" s="12">
        <f t="shared" si="174"/>
        <v>60628.697613733093</v>
      </c>
      <c r="DR134" s="12">
        <f t="shared" si="174"/>
        <v>60628.697613733093</v>
      </c>
      <c r="DS134" s="12">
        <f t="shared" si="174"/>
        <v>60628.697613733093</v>
      </c>
      <c r="DT134" s="12">
        <f t="shared" si="174"/>
        <v>60628.697613733093</v>
      </c>
      <c r="DU134" s="12">
        <f t="shared" si="174"/>
        <v>60628.697613733093</v>
      </c>
      <c r="DV134" s="12">
        <f t="shared" si="174"/>
        <v>60628.697613733093</v>
      </c>
      <c r="DW134" s="12">
        <f t="shared" si="174"/>
        <v>60628.697613733093</v>
      </c>
      <c r="DX134" s="12">
        <f t="shared" si="174"/>
        <v>60628.697613733093</v>
      </c>
      <c r="DY134" s="12">
        <f t="shared" si="174"/>
        <v>60628.697613733093</v>
      </c>
      <c r="DZ134" s="12">
        <f t="shared" si="174"/>
        <v>60628.697613733093</v>
      </c>
      <c r="EA134" s="12">
        <f t="shared" si="174"/>
        <v>60628.697613733093</v>
      </c>
      <c r="EB134" s="12">
        <f t="shared" si="174"/>
        <v>60628.697613733093</v>
      </c>
      <c r="EC134" s="12">
        <f t="shared" si="174"/>
        <v>60628.697613733093</v>
      </c>
      <c r="ED134" s="12">
        <f t="shared" si="174"/>
        <v>60628.697613733093</v>
      </c>
      <c r="EE134" s="12">
        <f t="shared" si="174"/>
        <v>60628.697613733093</v>
      </c>
      <c r="EF134" s="12">
        <f t="shared" si="174"/>
        <v>60628.697613733093</v>
      </c>
      <c r="EG134" s="12">
        <f t="shared" si="174"/>
        <v>60628.697613733093</v>
      </c>
      <c r="EH134" s="12">
        <f t="shared" ref="EH134:FH134" si="175">EG134+EH133</f>
        <v>60628.697613733093</v>
      </c>
      <c r="EI134" s="12">
        <f t="shared" si="175"/>
        <v>60628.697613733093</v>
      </c>
      <c r="EJ134" s="12">
        <f t="shared" si="175"/>
        <v>60628.697613733093</v>
      </c>
      <c r="EK134" s="12">
        <f t="shared" si="175"/>
        <v>60628.697613733093</v>
      </c>
      <c r="EL134" s="12">
        <f t="shared" si="175"/>
        <v>60628.697613733093</v>
      </c>
      <c r="EM134" s="12">
        <f t="shared" si="175"/>
        <v>60628.697613733093</v>
      </c>
      <c r="EN134" s="12">
        <f t="shared" si="175"/>
        <v>60628.697613733093</v>
      </c>
      <c r="EO134" s="12">
        <f t="shared" si="175"/>
        <v>60628.697613733093</v>
      </c>
      <c r="EP134" s="12">
        <f t="shared" si="175"/>
        <v>60628.697613733093</v>
      </c>
      <c r="EQ134" s="12">
        <f t="shared" si="175"/>
        <v>60628.697613733093</v>
      </c>
      <c r="ER134" s="12">
        <f t="shared" si="175"/>
        <v>60628.697613733093</v>
      </c>
      <c r="ES134" s="12">
        <f t="shared" si="175"/>
        <v>60628.697613733093</v>
      </c>
      <c r="ET134" s="12">
        <f t="shared" si="175"/>
        <v>60628.697613733093</v>
      </c>
      <c r="EU134" s="12">
        <f t="shared" si="175"/>
        <v>60628.697613733093</v>
      </c>
      <c r="EV134" s="12">
        <f t="shared" si="175"/>
        <v>60628.697613733093</v>
      </c>
      <c r="EW134" s="12">
        <f t="shared" si="175"/>
        <v>60628.697613733093</v>
      </c>
      <c r="EX134" s="12">
        <f t="shared" si="175"/>
        <v>60628.697613733093</v>
      </c>
      <c r="EY134" s="12">
        <f t="shared" si="175"/>
        <v>60628.697613733093</v>
      </c>
      <c r="EZ134" s="12">
        <f t="shared" si="175"/>
        <v>60628.697613733093</v>
      </c>
      <c r="FA134" s="12">
        <f t="shared" si="175"/>
        <v>60628.697613733093</v>
      </c>
      <c r="FB134" s="12">
        <f t="shared" si="175"/>
        <v>60628.697613733093</v>
      </c>
      <c r="FC134" s="12">
        <f t="shared" si="175"/>
        <v>60628.697613733093</v>
      </c>
      <c r="FD134" s="12">
        <f t="shared" si="175"/>
        <v>60628.697613733093</v>
      </c>
      <c r="FE134" s="12">
        <f t="shared" si="175"/>
        <v>60628.697613733093</v>
      </c>
      <c r="FF134" s="12">
        <f t="shared" si="175"/>
        <v>60628.697613733093</v>
      </c>
      <c r="FG134" s="12">
        <f t="shared" si="175"/>
        <v>60628.697613733093</v>
      </c>
      <c r="FH134" s="12">
        <f t="shared" si="175"/>
        <v>60628.697613733093</v>
      </c>
    </row>
    <row r="135" spans="1:164" x14ac:dyDescent="0.2">
      <c r="A135" s="10"/>
      <c r="B135" s="10"/>
      <c r="C135" s="70" t="s">
        <v>919</v>
      </c>
      <c r="D135" s="70"/>
      <c r="E135" s="70"/>
      <c r="F135" s="70"/>
      <c r="G135" s="70"/>
      <c r="H135" s="56">
        <f>SUM(I135:FH135)</f>
        <v>60628.697613733093</v>
      </c>
      <c r="I135" s="56">
        <f t="shared" ref="I135:AN135" si="176">IF($D$14="Levered",I133,I124)</f>
        <v>0</v>
      </c>
      <c r="J135" s="56">
        <f t="shared" si="176"/>
        <v>0</v>
      </c>
      <c r="K135" s="56">
        <f t="shared" si="176"/>
        <v>0</v>
      </c>
      <c r="L135" s="56">
        <f t="shared" si="176"/>
        <v>0</v>
      </c>
      <c r="M135" s="56">
        <f t="shared" si="176"/>
        <v>0</v>
      </c>
      <c r="N135" s="56">
        <f t="shared" si="176"/>
        <v>0</v>
      </c>
      <c r="O135" s="56">
        <f t="shared" si="176"/>
        <v>-349.16</v>
      </c>
      <c r="P135" s="56">
        <f t="shared" si="176"/>
        <v>-349.16</v>
      </c>
      <c r="Q135" s="56">
        <f t="shared" si="176"/>
        <v>-349.16</v>
      </c>
      <c r="R135" s="56">
        <f t="shared" si="176"/>
        <v>-656.84888888888895</v>
      </c>
      <c r="S135" s="56">
        <f t="shared" si="176"/>
        <v>-656.84888888888895</v>
      </c>
      <c r="T135" s="56">
        <f t="shared" si="176"/>
        <v>-656.84888888888895</v>
      </c>
      <c r="U135" s="56">
        <f t="shared" si="176"/>
        <v>43.363111111111039</v>
      </c>
      <c r="V135" s="56">
        <f t="shared" si="176"/>
        <v>136.57033062330606</v>
      </c>
      <c r="W135" s="56">
        <f t="shared" si="176"/>
        <v>232.10773062330622</v>
      </c>
      <c r="X135" s="56">
        <f t="shared" si="176"/>
        <v>330.09480754638298</v>
      </c>
      <c r="Y135" s="56">
        <f t="shared" si="176"/>
        <v>430.66049175690932</v>
      </c>
      <c r="Z135" s="56">
        <f t="shared" si="176"/>
        <v>533.94416743258512</v>
      </c>
      <c r="AA135" s="56">
        <f t="shared" si="176"/>
        <v>190.32644785233936</v>
      </c>
      <c r="AB135" s="56">
        <f t="shared" si="176"/>
        <v>-337.5570051910139</v>
      </c>
      <c r="AC135" s="56">
        <f t="shared" si="176"/>
        <v>-857.92005712131299</v>
      </c>
      <c r="AD135" s="56">
        <f t="shared" si="176"/>
        <v>-1366.4524191337503</v>
      </c>
      <c r="AE135" s="56">
        <f t="shared" si="176"/>
        <v>-1858.919118540995</v>
      </c>
      <c r="AF135" s="56">
        <f t="shared" si="176"/>
        <v>-2331.1914046565798</v>
      </c>
      <c r="AG135" s="56">
        <f t="shared" si="176"/>
        <v>-2779.2766632061557</v>
      </c>
      <c r="AH135" s="56">
        <f t="shared" si="176"/>
        <v>-3199.347077570168</v>
      </c>
      <c r="AI135" s="56">
        <f t="shared" si="176"/>
        <v>-3587.7667767321304</v>
      </c>
      <c r="AJ135" s="56">
        <f t="shared" si="176"/>
        <v>-3633.4283222059994</v>
      </c>
      <c r="AK135" s="56">
        <f t="shared" si="176"/>
        <v>-3948.5316086740322</v>
      </c>
      <c r="AL135" s="56">
        <f t="shared" si="176"/>
        <v>-4222.4715845220644</v>
      </c>
      <c r="AM135" s="56">
        <f t="shared" si="176"/>
        <v>-4452.6123041023102</v>
      </c>
      <c r="AN135" s="56">
        <f t="shared" si="176"/>
        <v>-4636.6137012976315</v>
      </c>
      <c r="AO135" s="56">
        <f t="shared" ref="AO135:BT135" si="177">IF($D$14="Levered",AO133,AO124)</f>
        <v>-4772.4441208117287</v>
      </c>
      <c r="AP135" s="56">
        <f t="shared" si="177"/>
        <v>-3018.1889313658321</v>
      </c>
      <c r="AQ135" s="56">
        <f t="shared" si="177"/>
        <v>1129.4203954124382</v>
      </c>
      <c r="AR135" s="56">
        <f t="shared" si="177"/>
        <v>1136.1045746513223</v>
      </c>
      <c r="AS135" s="56">
        <f t="shared" si="177"/>
        <v>1149.1217598460246</v>
      </c>
      <c r="AT135" s="56">
        <f t="shared" si="177"/>
        <v>1169.3496676530619</v>
      </c>
      <c r="AU135" s="56">
        <f t="shared" si="177"/>
        <v>1197.7249800822146</v>
      </c>
      <c r="AV135" s="56">
        <f t="shared" si="177"/>
        <v>1235.2620857408922</v>
      </c>
      <c r="AW135" s="56">
        <f t="shared" si="177"/>
        <v>1283.0798466349727</v>
      </c>
      <c r="AX135" s="56">
        <f t="shared" si="177"/>
        <v>1342.4400246073199</v>
      </c>
      <c r="AY135" s="56">
        <f t="shared" si="177"/>
        <v>1414.8031065030214</v>
      </c>
      <c r="AZ135" s="56">
        <f t="shared" si="177"/>
        <v>1501.9109041455699</v>
      </c>
      <c r="BA135" s="56">
        <f t="shared" si="177"/>
        <v>1605.9118531445095</v>
      </c>
      <c r="BB135" s="56">
        <f t="shared" si="177"/>
        <v>1729.5573045282995</v>
      </c>
      <c r="BC135" s="56">
        <f t="shared" si="177"/>
        <v>1876.5218451617975</v>
      </c>
      <c r="BD135" s="56">
        <f t="shared" si="177"/>
        <v>2051.9537038751018</v>
      </c>
      <c r="BE135" s="56">
        <f t="shared" si="177"/>
        <v>2263.4850188682253</v>
      </c>
      <c r="BF135" s="56">
        <f t="shared" si="177"/>
        <v>2523.2534142213876</v>
      </c>
      <c r="BG135" s="56">
        <f t="shared" si="177"/>
        <v>2852.4513550630872</v>
      </c>
      <c r="BH135" s="56">
        <f t="shared" si="177"/>
        <v>3293.4581706251461</v>
      </c>
      <c r="BI135" s="56">
        <f t="shared" si="177"/>
        <v>3952.3017429808901</v>
      </c>
      <c r="BJ135" s="56">
        <f t="shared" si="177"/>
        <v>5253.4258567311826</v>
      </c>
      <c r="BK135" s="56">
        <f t="shared" si="177"/>
        <v>22133.830334150654</v>
      </c>
      <c r="BL135" s="56">
        <f t="shared" si="177"/>
        <v>155.61300081730292</v>
      </c>
      <c r="BM135" s="56">
        <f t="shared" si="177"/>
        <v>155.61300081730292</v>
      </c>
      <c r="BN135" s="56">
        <f t="shared" si="177"/>
        <v>155.61300081730292</v>
      </c>
      <c r="BO135" s="56">
        <f t="shared" si="177"/>
        <v>155.61300081730292</v>
      </c>
      <c r="BP135" s="56">
        <f t="shared" si="177"/>
        <v>155.61300081730292</v>
      </c>
      <c r="BQ135" s="56">
        <f t="shared" si="177"/>
        <v>155.61300081730292</v>
      </c>
      <c r="BR135" s="56">
        <f t="shared" si="177"/>
        <v>155.61300081730292</v>
      </c>
      <c r="BS135" s="56">
        <f t="shared" si="177"/>
        <v>155.61300081730292</v>
      </c>
      <c r="BT135" s="56">
        <f t="shared" si="177"/>
        <v>155.61300081730292</v>
      </c>
      <c r="BU135" s="56">
        <f t="shared" ref="BU135:CZ135" si="178">IF($D$14="Levered",BU133,BU124)</f>
        <v>155.61300081730292</v>
      </c>
      <c r="BV135" s="56">
        <f t="shared" si="178"/>
        <v>155.61300081730292</v>
      </c>
      <c r="BW135" s="56">
        <f t="shared" si="178"/>
        <v>155.61300081730292</v>
      </c>
      <c r="BX135" s="56">
        <f t="shared" si="178"/>
        <v>42789.654334150779</v>
      </c>
      <c r="BY135" s="56">
        <f t="shared" si="178"/>
        <v>0</v>
      </c>
      <c r="BZ135" s="56">
        <f t="shared" si="178"/>
        <v>0</v>
      </c>
      <c r="CA135" s="56">
        <f t="shared" si="178"/>
        <v>0</v>
      </c>
      <c r="CB135" s="56">
        <f t="shared" si="178"/>
        <v>0</v>
      </c>
      <c r="CC135" s="56">
        <f t="shared" si="178"/>
        <v>0</v>
      </c>
      <c r="CD135" s="56">
        <f t="shared" si="178"/>
        <v>0</v>
      </c>
      <c r="CE135" s="56">
        <f t="shared" si="178"/>
        <v>0</v>
      </c>
      <c r="CF135" s="56">
        <f t="shared" si="178"/>
        <v>0</v>
      </c>
      <c r="CG135" s="56">
        <f t="shared" si="178"/>
        <v>0</v>
      </c>
      <c r="CH135" s="56">
        <f t="shared" si="178"/>
        <v>0</v>
      </c>
      <c r="CI135" s="56">
        <f t="shared" si="178"/>
        <v>0</v>
      </c>
      <c r="CJ135" s="56">
        <f t="shared" si="178"/>
        <v>0</v>
      </c>
      <c r="CK135" s="56">
        <f t="shared" si="178"/>
        <v>0</v>
      </c>
      <c r="CL135" s="56">
        <f t="shared" si="178"/>
        <v>0</v>
      </c>
      <c r="CM135" s="56">
        <f t="shared" si="178"/>
        <v>0</v>
      </c>
      <c r="CN135" s="56">
        <f t="shared" si="178"/>
        <v>0</v>
      </c>
      <c r="CO135" s="56">
        <f t="shared" si="178"/>
        <v>0</v>
      </c>
      <c r="CP135" s="56">
        <f t="shared" si="178"/>
        <v>0</v>
      </c>
      <c r="CQ135" s="56">
        <f t="shared" si="178"/>
        <v>0</v>
      </c>
      <c r="CR135" s="56">
        <f t="shared" si="178"/>
        <v>0</v>
      </c>
      <c r="CS135" s="56">
        <f t="shared" si="178"/>
        <v>0</v>
      </c>
      <c r="CT135" s="56">
        <f t="shared" si="178"/>
        <v>0</v>
      </c>
      <c r="CU135" s="56">
        <f t="shared" si="178"/>
        <v>0</v>
      </c>
      <c r="CV135" s="56">
        <f t="shared" si="178"/>
        <v>0</v>
      </c>
      <c r="CW135" s="56">
        <f t="shared" si="178"/>
        <v>0</v>
      </c>
      <c r="CX135" s="56">
        <f t="shared" si="178"/>
        <v>0</v>
      </c>
      <c r="CY135" s="56">
        <f t="shared" si="178"/>
        <v>0</v>
      </c>
      <c r="CZ135" s="56">
        <f t="shared" si="178"/>
        <v>0</v>
      </c>
      <c r="DA135" s="56">
        <f t="shared" ref="DA135:EF135" si="179">IF($D$14="Levered",DA133,DA124)</f>
        <v>0</v>
      </c>
      <c r="DB135" s="56">
        <f t="shared" si="179"/>
        <v>0</v>
      </c>
      <c r="DC135" s="56">
        <f t="shared" si="179"/>
        <v>0</v>
      </c>
      <c r="DD135" s="56">
        <f t="shared" si="179"/>
        <v>0</v>
      </c>
      <c r="DE135" s="56">
        <f t="shared" si="179"/>
        <v>0</v>
      </c>
      <c r="DF135" s="56">
        <f t="shared" si="179"/>
        <v>0</v>
      </c>
      <c r="DG135" s="56">
        <f t="shared" si="179"/>
        <v>0</v>
      </c>
      <c r="DH135" s="56">
        <f t="shared" si="179"/>
        <v>0</v>
      </c>
      <c r="DI135" s="56">
        <f t="shared" si="179"/>
        <v>0</v>
      </c>
      <c r="DJ135" s="56">
        <f t="shared" si="179"/>
        <v>0</v>
      </c>
      <c r="DK135" s="56">
        <f t="shared" si="179"/>
        <v>0</v>
      </c>
      <c r="DL135" s="56">
        <f t="shared" si="179"/>
        <v>0</v>
      </c>
      <c r="DM135" s="56">
        <f t="shared" si="179"/>
        <v>0</v>
      </c>
      <c r="DN135" s="56">
        <f t="shared" si="179"/>
        <v>0</v>
      </c>
      <c r="DO135" s="56">
        <f t="shared" si="179"/>
        <v>0</v>
      </c>
      <c r="DP135" s="56">
        <f t="shared" si="179"/>
        <v>0</v>
      </c>
      <c r="DQ135" s="56">
        <f t="shared" si="179"/>
        <v>0</v>
      </c>
      <c r="DR135" s="56">
        <f t="shared" si="179"/>
        <v>0</v>
      </c>
      <c r="DS135" s="56">
        <f t="shared" si="179"/>
        <v>0</v>
      </c>
      <c r="DT135" s="56">
        <f t="shared" si="179"/>
        <v>0</v>
      </c>
      <c r="DU135" s="56">
        <f t="shared" si="179"/>
        <v>0</v>
      </c>
      <c r="DV135" s="56">
        <f t="shared" si="179"/>
        <v>0</v>
      </c>
      <c r="DW135" s="56">
        <f t="shared" si="179"/>
        <v>0</v>
      </c>
      <c r="DX135" s="56">
        <f t="shared" si="179"/>
        <v>0</v>
      </c>
      <c r="DY135" s="56">
        <f t="shared" si="179"/>
        <v>0</v>
      </c>
      <c r="DZ135" s="56">
        <f t="shared" si="179"/>
        <v>0</v>
      </c>
      <c r="EA135" s="56">
        <f t="shared" si="179"/>
        <v>0</v>
      </c>
      <c r="EB135" s="56">
        <f t="shared" si="179"/>
        <v>0</v>
      </c>
      <c r="EC135" s="56">
        <f t="shared" si="179"/>
        <v>0</v>
      </c>
      <c r="ED135" s="56">
        <f t="shared" si="179"/>
        <v>0</v>
      </c>
      <c r="EE135" s="56">
        <f t="shared" si="179"/>
        <v>0</v>
      </c>
      <c r="EF135" s="56">
        <f t="shared" si="179"/>
        <v>0</v>
      </c>
      <c r="EG135" s="56">
        <f t="shared" ref="EG135:FH135" si="180">IF($D$14="Levered",EG133,EG124)</f>
        <v>0</v>
      </c>
      <c r="EH135" s="56">
        <f t="shared" si="180"/>
        <v>0</v>
      </c>
      <c r="EI135" s="56">
        <f t="shared" si="180"/>
        <v>0</v>
      </c>
      <c r="EJ135" s="56">
        <f t="shared" si="180"/>
        <v>0</v>
      </c>
      <c r="EK135" s="56">
        <f t="shared" si="180"/>
        <v>0</v>
      </c>
      <c r="EL135" s="56">
        <f t="shared" si="180"/>
        <v>0</v>
      </c>
      <c r="EM135" s="56">
        <f t="shared" si="180"/>
        <v>0</v>
      </c>
      <c r="EN135" s="56">
        <f t="shared" si="180"/>
        <v>0</v>
      </c>
      <c r="EO135" s="56">
        <f t="shared" si="180"/>
        <v>0</v>
      </c>
      <c r="EP135" s="56">
        <f t="shared" si="180"/>
        <v>0</v>
      </c>
      <c r="EQ135" s="56">
        <f t="shared" si="180"/>
        <v>0</v>
      </c>
      <c r="ER135" s="56">
        <f t="shared" si="180"/>
        <v>0</v>
      </c>
      <c r="ES135" s="56">
        <f t="shared" si="180"/>
        <v>0</v>
      </c>
      <c r="ET135" s="56">
        <f t="shared" si="180"/>
        <v>0</v>
      </c>
      <c r="EU135" s="56">
        <f t="shared" si="180"/>
        <v>0</v>
      </c>
      <c r="EV135" s="56">
        <f t="shared" si="180"/>
        <v>0</v>
      </c>
      <c r="EW135" s="56">
        <f t="shared" si="180"/>
        <v>0</v>
      </c>
      <c r="EX135" s="56">
        <f t="shared" si="180"/>
        <v>0</v>
      </c>
      <c r="EY135" s="56">
        <f t="shared" si="180"/>
        <v>0</v>
      </c>
      <c r="EZ135" s="56">
        <f t="shared" si="180"/>
        <v>0</v>
      </c>
      <c r="FA135" s="56">
        <f t="shared" si="180"/>
        <v>0</v>
      </c>
      <c r="FB135" s="56">
        <f t="shared" si="180"/>
        <v>0</v>
      </c>
      <c r="FC135" s="56">
        <f t="shared" si="180"/>
        <v>0</v>
      </c>
      <c r="FD135" s="56">
        <f t="shared" si="180"/>
        <v>0</v>
      </c>
      <c r="FE135" s="56">
        <f t="shared" si="180"/>
        <v>0</v>
      </c>
      <c r="FF135" s="56">
        <f t="shared" si="180"/>
        <v>0</v>
      </c>
      <c r="FG135" s="56">
        <f t="shared" si="180"/>
        <v>0</v>
      </c>
      <c r="FH135" s="56">
        <f t="shared" si="180"/>
        <v>0</v>
      </c>
    </row>
    <row r="136" spans="1:164" x14ac:dyDescent="0.2">
      <c r="A136" s="10"/>
      <c r="B136" s="10"/>
      <c r="C136" s="10"/>
      <c r="D136" s="10"/>
      <c r="E136" s="10"/>
      <c r="F136" s="10"/>
      <c r="G136" s="10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</row>
    <row r="137" spans="1:164" x14ac:dyDescent="0.2">
      <c r="A137" s="10"/>
      <c r="B137" s="49" t="s">
        <v>920</v>
      </c>
      <c r="C137" s="237" t="str">
        <f>"Launch "&amp;TEXT($E$32,"mmm/yy")&amp;" · construction "&amp;TEXT($E$34,"mmm/yy")&amp;"–"&amp;TEXT(EDATE($E$35,-1),"mmm/yy")&amp;" · keys "&amp;TEXT($E$35,"mmm/yy")</f>
        <v>Lançamento jan/30 · obra jul/30–jun/33 · chaves jul/33</v>
      </c>
      <c r="D137" s="49"/>
      <c r="E137" s="49"/>
      <c r="F137" s="49"/>
      <c r="G137" s="49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50"/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0"/>
      <c r="FF137" s="50"/>
      <c r="FG137" s="50"/>
      <c r="FH137" s="50"/>
    </row>
    <row r="138" spans="1:164" x14ac:dyDescent="0.2">
      <c r="A138" s="10"/>
      <c r="B138" s="10"/>
      <c r="C138" s="10" t="s">
        <v>742</v>
      </c>
      <c r="D138" s="10"/>
      <c r="E138" s="10"/>
      <c r="F138" s="10"/>
      <c r="G138" s="10"/>
      <c r="H138" s="18">
        <f>SUM(I138:FH138)</f>
        <v>1.0000000000000009</v>
      </c>
      <c r="I138" s="51">
        <f t="shared" ref="I138:AN138" si="181">IFERROR(IF(AND(I$6&gt;=$E$32,I$6&lt;EDATE($E$32,$E$39)),$E$38/$E$39,IF(AND(I$6&gt;=$E$43,I$6&lt;$E$35),$E$42/$E$44,IF(AND(I$6&gt;=$E$45,I$6&lt;$E$46),$E$40/$E$41,0))),0)</f>
        <v>0</v>
      </c>
      <c r="J138" s="51">
        <f t="shared" si="181"/>
        <v>0</v>
      </c>
      <c r="K138" s="51">
        <f t="shared" si="181"/>
        <v>0</v>
      </c>
      <c r="L138" s="51">
        <f t="shared" si="181"/>
        <v>0</v>
      </c>
      <c r="M138" s="51">
        <f t="shared" si="181"/>
        <v>0</v>
      </c>
      <c r="N138" s="51">
        <f t="shared" si="181"/>
        <v>0</v>
      </c>
      <c r="O138" s="51">
        <f t="shared" si="181"/>
        <v>0</v>
      </c>
      <c r="P138" s="51">
        <f t="shared" si="181"/>
        <v>0</v>
      </c>
      <c r="Q138" s="51">
        <f t="shared" si="181"/>
        <v>0</v>
      </c>
      <c r="R138" s="51">
        <f t="shared" si="181"/>
        <v>0</v>
      </c>
      <c r="S138" s="51">
        <f t="shared" si="181"/>
        <v>0</v>
      </c>
      <c r="T138" s="51">
        <f t="shared" si="181"/>
        <v>0</v>
      </c>
      <c r="U138" s="51">
        <f t="shared" si="181"/>
        <v>0</v>
      </c>
      <c r="V138" s="51">
        <f t="shared" si="181"/>
        <v>0</v>
      </c>
      <c r="W138" s="51">
        <f t="shared" si="181"/>
        <v>0</v>
      </c>
      <c r="X138" s="51">
        <f t="shared" si="181"/>
        <v>0</v>
      </c>
      <c r="Y138" s="51">
        <f t="shared" si="181"/>
        <v>0</v>
      </c>
      <c r="Z138" s="51">
        <f t="shared" si="181"/>
        <v>0</v>
      </c>
      <c r="AA138" s="51">
        <f t="shared" si="181"/>
        <v>0</v>
      </c>
      <c r="AB138" s="51">
        <f t="shared" si="181"/>
        <v>0</v>
      </c>
      <c r="AC138" s="51">
        <f t="shared" si="181"/>
        <v>0</v>
      </c>
      <c r="AD138" s="51">
        <f t="shared" si="181"/>
        <v>0</v>
      </c>
      <c r="AE138" s="51">
        <f t="shared" si="181"/>
        <v>0</v>
      </c>
      <c r="AF138" s="51">
        <f t="shared" si="181"/>
        <v>0</v>
      </c>
      <c r="AG138" s="51">
        <f t="shared" si="181"/>
        <v>0</v>
      </c>
      <c r="AH138" s="51">
        <f t="shared" si="181"/>
        <v>0</v>
      </c>
      <c r="AI138" s="51">
        <f t="shared" si="181"/>
        <v>0</v>
      </c>
      <c r="AJ138" s="51">
        <f t="shared" si="181"/>
        <v>0</v>
      </c>
      <c r="AK138" s="51">
        <f t="shared" si="181"/>
        <v>0</v>
      </c>
      <c r="AL138" s="51">
        <f t="shared" si="181"/>
        <v>0</v>
      </c>
      <c r="AM138" s="51">
        <f t="shared" si="181"/>
        <v>0</v>
      </c>
      <c r="AN138" s="51">
        <f t="shared" si="181"/>
        <v>0</v>
      </c>
      <c r="AO138" s="51">
        <f t="shared" ref="AO138:BT138" si="182">IFERROR(IF(AND(AO$6&gt;=$E$32,AO$6&lt;EDATE($E$32,$E$39)),$E$38/$E$39,IF(AND(AO$6&gt;=$E$43,AO$6&lt;$E$35),$E$42/$E$44,IF(AND(AO$6&gt;=$E$45,AO$6&lt;$E$46),$E$40/$E$41,0))),0)</f>
        <v>0</v>
      </c>
      <c r="AP138" s="51">
        <f t="shared" si="182"/>
        <v>0</v>
      </c>
      <c r="AQ138" s="51">
        <f t="shared" si="182"/>
        <v>0</v>
      </c>
      <c r="AR138" s="51">
        <f t="shared" si="182"/>
        <v>0</v>
      </c>
      <c r="AS138" s="51">
        <f t="shared" si="182"/>
        <v>4.9999999999999996E-2</v>
      </c>
      <c r="AT138" s="51">
        <f t="shared" si="182"/>
        <v>4.9999999999999996E-2</v>
      </c>
      <c r="AU138" s="51">
        <f t="shared" si="182"/>
        <v>4.9999999999999996E-2</v>
      </c>
      <c r="AV138" s="51">
        <f t="shared" si="182"/>
        <v>4.9999999999999996E-2</v>
      </c>
      <c r="AW138" s="51">
        <f t="shared" si="182"/>
        <v>4.9999999999999996E-2</v>
      </c>
      <c r="AX138" s="51">
        <f t="shared" si="182"/>
        <v>4.9999999999999996E-2</v>
      </c>
      <c r="AY138" s="51">
        <f t="shared" si="182"/>
        <v>1.6666666666666666E-2</v>
      </c>
      <c r="AZ138" s="51">
        <f t="shared" si="182"/>
        <v>1.6666666666666666E-2</v>
      </c>
      <c r="BA138" s="51">
        <f t="shared" si="182"/>
        <v>1.6666666666666666E-2</v>
      </c>
      <c r="BB138" s="51">
        <f t="shared" si="182"/>
        <v>1.6666666666666666E-2</v>
      </c>
      <c r="BC138" s="51">
        <f t="shared" si="182"/>
        <v>1.6666666666666666E-2</v>
      </c>
      <c r="BD138" s="51">
        <f t="shared" si="182"/>
        <v>1.6666666666666666E-2</v>
      </c>
      <c r="BE138" s="51">
        <f t="shared" si="182"/>
        <v>1.6666666666666666E-2</v>
      </c>
      <c r="BF138" s="51">
        <f t="shared" si="182"/>
        <v>1.6666666666666666E-2</v>
      </c>
      <c r="BG138" s="51">
        <f t="shared" si="182"/>
        <v>1.6666666666666666E-2</v>
      </c>
      <c r="BH138" s="51">
        <f t="shared" si="182"/>
        <v>1.6666666666666666E-2</v>
      </c>
      <c r="BI138" s="51">
        <f t="shared" si="182"/>
        <v>1.6666666666666666E-2</v>
      </c>
      <c r="BJ138" s="51">
        <f t="shared" si="182"/>
        <v>1.6666666666666666E-2</v>
      </c>
      <c r="BK138" s="51">
        <f t="shared" si="182"/>
        <v>1.6666666666666666E-2</v>
      </c>
      <c r="BL138" s="51">
        <f t="shared" si="182"/>
        <v>1.6666666666666666E-2</v>
      </c>
      <c r="BM138" s="51">
        <f t="shared" si="182"/>
        <v>1.6666666666666666E-2</v>
      </c>
      <c r="BN138" s="51">
        <f t="shared" si="182"/>
        <v>1.6666666666666666E-2</v>
      </c>
      <c r="BO138" s="51">
        <f t="shared" si="182"/>
        <v>1.6666666666666666E-2</v>
      </c>
      <c r="BP138" s="51">
        <f t="shared" si="182"/>
        <v>1.6666666666666666E-2</v>
      </c>
      <c r="BQ138" s="51">
        <f t="shared" si="182"/>
        <v>1.6666666666666666E-2</v>
      </c>
      <c r="BR138" s="51">
        <f t="shared" si="182"/>
        <v>1.6666666666666666E-2</v>
      </c>
      <c r="BS138" s="51">
        <f t="shared" si="182"/>
        <v>1.6666666666666666E-2</v>
      </c>
      <c r="BT138" s="51">
        <f t="shared" si="182"/>
        <v>1.6666666666666666E-2</v>
      </c>
      <c r="BU138" s="51">
        <f t="shared" ref="BU138:CZ138" si="183">IFERROR(IF(AND(BU$6&gt;=$E$32,BU$6&lt;EDATE($E$32,$E$39)),$E$38/$E$39,IF(AND(BU$6&gt;=$E$43,BU$6&lt;$E$35),$E$42/$E$44,IF(AND(BU$6&gt;=$E$45,BU$6&lt;$E$46),$E$40/$E$41,0))),0)</f>
        <v>1.6666666666666666E-2</v>
      </c>
      <c r="BV138" s="51">
        <f t="shared" si="183"/>
        <v>1.6666666666666666E-2</v>
      </c>
      <c r="BW138" s="51">
        <f t="shared" si="183"/>
        <v>1.6666666666666666E-2</v>
      </c>
      <c r="BX138" s="51">
        <f t="shared" si="183"/>
        <v>1.6666666666666666E-2</v>
      </c>
      <c r="BY138" s="51">
        <f t="shared" si="183"/>
        <v>1.6666666666666666E-2</v>
      </c>
      <c r="BZ138" s="51">
        <f t="shared" si="183"/>
        <v>1.6666666666666666E-2</v>
      </c>
      <c r="CA138" s="51">
        <f t="shared" si="183"/>
        <v>1.6666666666666666E-2</v>
      </c>
      <c r="CB138" s="51">
        <f t="shared" si="183"/>
        <v>1.6666666666666666E-2</v>
      </c>
      <c r="CC138" s="51">
        <f t="shared" si="183"/>
        <v>1.6666666666666666E-2</v>
      </c>
      <c r="CD138" s="51">
        <f t="shared" si="183"/>
        <v>1.6666666666666666E-2</v>
      </c>
      <c r="CE138" s="51">
        <f t="shared" si="183"/>
        <v>1.6666666666666666E-2</v>
      </c>
      <c r="CF138" s="51">
        <f t="shared" si="183"/>
        <v>1.6666666666666666E-2</v>
      </c>
      <c r="CG138" s="51">
        <f t="shared" si="183"/>
        <v>1.6666666666666666E-2</v>
      </c>
      <c r="CH138" s="51">
        <f t="shared" si="183"/>
        <v>1.6666666666666666E-2</v>
      </c>
      <c r="CI138" s="51">
        <f t="shared" si="183"/>
        <v>0</v>
      </c>
      <c r="CJ138" s="51">
        <f t="shared" si="183"/>
        <v>8.3333333333333332E-3</v>
      </c>
      <c r="CK138" s="51">
        <f t="shared" si="183"/>
        <v>8.3333333333333332E-3</v>
      </c>
      <c r="CL138" s="51">
        <f t="shared" si="183"/>
        <v>8.3333333333333332E-3</v>
      </c>
      <c r="CM138" s="51">
        <f t="shared" si="183"/>
        <v>8.3333333333333332E-3</v>
      </c>
      <c r="CN138" s="51">
        <f t="shared" si="183"/>
        <v>8.3333333333333332E-3</v>
      </c>
      <c r="CO138" s="51">
        <f t="shared" si="183"/>
        <v>8.3333333333333332E-3</v>
      </c>
      <c r="CP138" s="51">
        <f t="shared" si="183"/>
        <v>8.3333333333333332E-3</v>
      </c>
      <c r="CQ138" s="51">
        <f t="shared" si="183"/>
        <v>8.3333333333333332E-3</v>
      </c>
      <c r="CR138" s="51">
        <f t="shared" si="183"/>
        <v>8.3333333333333332E-3</v>
      </c>
      <c r="CS138" s="51">
        <f t="shared" si="183"/>
        <v>8.3333333333333332E-3</v>
      </c>
      <c r="CT138" s="51">
        <f t="shared" si="183"/>
        <v>8.3333333333333332E-3</v>
      </c>
      <c r="CU138" s="51">
        <f t="shared" si="183"/>
        <v>8.3333333333333332E-3</v>
      </c>
      <c r="CV138" s="51">
        <f t="shared" si="183"/>
        <v>0</v>
      </c>
      <c r="CW138" s="51">
        <f t="shared" si="183"/>
        <v>0</v>
      </c>
      <c r="CX138" s="51">
        <f t="shared" si="183"/>
        <v>0</v>
      </c>
      <c r="CY138" s="51">
        <f t="shared" si="183"/>
        <v>0</v>
      </c>
      <c r="CZ138" s="51">
        <f t="shared" si="183"/>
        <v>0</v>
      </c>
      <c r="DA138" s="51">
        <f t="shared" ref="DA138:EF138" si="184">IFERROR(IF(AND(DA$6&gt;=$E$32,DA$6&lt;EDATE($E$32,$E$39)),$E$38/$E$39,IF(AND(DA$6&gt;=$E$43,DA$6&lt;$E$35),$E$42/$E$44,IF(AND(DA$6&gt;=$E$45,DA$6&lt;$E$46),$E$40/$E$41,0))),0)</f>
        <v>0</v>
      </c>
      <c r="DB138" s="51">
        <f t="shared" si="184"/>
        <v>0</v>
      </c>
      <c r="DC138" s="51">
        <f t="shared" si="184"/>
        <v>0</v>
      </c>
      <c r="DD138" s="51">
        <f t="shared" si="184"/>
        <v>0</v>
      </c>
      <c r="DE138" s="51">
        <f t="shared" si="184"/>
        <v>0</v>
      </c>
      <c r="DF138" s="51">
        <f t="shared" si="184"/>
        <v>0</v>
      </c>
      <c r="DG138" s="51">
        <f t="shared" si="184"/>
        <v>0</v>
      </c>
      <c r="DH138" s="51">
        <f t="shared" si="184"/>
        <v>0</v>
      </c>
      <c r="DI138" s="51">
        <f t="shared" si="184"/>
        <v>0</v>
      </c>
      <c r="DJ138" s="51">
        <f t="shared" si="184"/>
        <v>0</v>
      </c>
      <c r="DK138" s="51">
        <f t="shared" si="184"/>
        <v>0</v>
      </c>
      <c r="DL138" s="51">
        <f t="shared" si="184"/>
        <v>0</v>
      </c>
      <c r="DM138" s="51">
        <f t="shared" si="184"/>
        <v>0</v>
      </c>
      <c r="DN138" s="51">
        <f t="shared" si="184"/>
        <v>0</v>
      </c>
      <c r="DO138" s="51">
        <f t="shared" si="184"/>
        <v>0</v>
      </c>
      <c r="DP138" s="51">
        <f t="shared" si="184"/>
        <v>0</v>
      </c>
      <c r="DQ138" s="51">
        <f t="shared" si="184"/>
        <v>0</v>
      </c>
      <c r="DR138" s="51">
        <f t="shared" si="184"/>
        <v>0</v>
      </c>
      <c r="DS138" s="51">
        <f t="shared" si="184"/>
        <v>0</v>
      </c>
      <c r="DT138" s="51">
        <f t="shared" si="184"/>
        <v>0</v>
      </c>
      <c r="DU138" s="51">
        <f t="shared" si="184"/>
        <v>0</v>
      </c>
      <c r="DV138" s="51">
        <f t="shared" si="184"/>
        <v>0</v>
      </c>
      <c r="DW138" s="51">
        <f t="shared" si="184"/>
        <v>0</v>
      </c>
      <c r="DX138" s="51">
        <f t="shared" si="184"/>
        <v>0</v>
      </c>
      <c r="DY138" s="51">
        <f t="shared" si="184"/>
        <v>0</v>
      </c>
      <c r="DZ138" s="51">
        <f t="shared" si="184"/>
        <v>0</v>
      </c>
      <c r="EA138" s="51">
        <f t="shared" si="184"/>
        <v>0</v>
      </c>
      <c r="EB138" s="51">
        <f t="shared" si="184"/>
        <v>0</v>
      </c>
      <c r="EC138" s="51">
        <f t="shared" si="184"/>
        <v>0</v>
      </c>
      <c r="ED138" s="51">
        <f t="shared" si="184"/>
        <v>0</v>
      </c>
      <c r="EE138" s="51">
        <f t="shared" si="184"/>
        <v>0</v>
      </c>
      <c r="EF138" s="51">
        <f t="shared" si="184"/>
        <v>0</v>
      </c>
      <c r="EG138" s="51">
        <f t="shared" ref="EG138:FH138" si="185">IFERROR(IF(AND(EG$6&gt;=$E$32,EG$6&lt;EDATE($E$32,$E$39)),$E$38/$E$39,IF(AND(EG$6&gt;=$E$43,EG$6&lt;$E$35),$E$42/$E$44,IF(AND(EG$6&gt;=$E$45,EG$6&lt;$E$46),$E$40/$E$41,0))),0)</f>
        <v>0</v>
      </c>
      <c r="EH138" s="51">
        <f t="shared" si="185"/>
        <v>0</v>
      </c>
      <c r="EI138" s="51">
        <f t="shared" si="185"/>
        <v>0</v>
      </c>
      <c r="EJ138" s="51">
        <f t="shared" si="185"/>
        <v>0</v>
      </c>
      <c r="EK138" s="51">
        <f t="shared" si="185"/>
        <v>0</v>
      </c>
      <c r="EL138" s="51">
        <f t="shared" si="185"/>
        <v>0</v>
      </c>
      <c r="EM138" s="51">
        <f t="shared" si="185"/>
        <v>0</v>
      </c>
      <c r="EN138" s="51">
        <f t="shared" si="185"/>
        <v>0</v>
      </c>
      <c r="EO138" s="51">
        <f t="shared" si="185"/>
        <v>0</v>
      </c>
      <c r="EP138" s="51">
        <f t="shared" si="185"/>
        <v>0</v>
      </c>
      <c r="EQ138" s="51">
        <f t="shared" si="185"/>
        <v>0</v>
      </c>
      <c r="ER138" s="51">
        <f t="shared" si="185"/>
        <v>0</v>
      </c>
      <c r="ES138" s="51">
        <f t="shared" si="185"/>
        <v>0</v>
      </c>
      <c r="ET138" s="51">
        <f t="shared" si="185"/>
        <v>0</v>
      </c>
      <c r="EU138" s="51">
        <f t="shared" si="185"/>
        <v>0</v>
      </c>
      <c r="EV138" s="51">
        <f t="shared" si="185"/>
        <v>0</v>
      </c>
      <c r="EW138" s="51">
        <f t="shared" si="185"/>
        <v>0</v>
      </c>
      <c r="EX138" s="51">
        <f t="shared" si="185"/>
        <v>0</v>
      </c>
      <c r="EY138" s="51">
        <f t="shared" si="185"/>
        <v>0</v>
      </c>
      <c r="EZ138" s="51">
        <f t="shared" si="185"/>
        <v>0</v>
      </c>
      <c r="FA138" s="51">
        <f t="shared" si="185"/>
        <v>0</v>
      </c>
      <c r="FB138" s="51">
        <f t="shared" si="185"/>
        <v>0</v>
      </c>
      <c r="FC138" s="51">
        <f t="shared" si="185"/>
        <v>0</v>
      </c>
      <c r="FD138" s="51">
        <f t="shared" si="185"/>
        <v>0</v>
      </c>
      <c r="FE138" s="51">
        <f t="shared" si="185"/>
        <v>0</v>
      </c>
      <c r="FF138" s="51">
        <f t="shared" si="185"/>
        <v>0</v>
      </c>
      <c r="FG138" s="51">
        <f t="shared" si="185"/>
        <v>0</v>
      </c>
      <c r="FH138" s="51">
        <f t="shared" si="185"/>
        <v>0</v>
      </c>
    </row>
    <row r="139" spans="1:164" x14ac:dyDescent="0.2">
      <c r="A139" s="10"/>
      <c r="B139" s="10"/>
      <c r="C139" s="10" t="s">
        <v>909</v>
      </c>
      <c r="D139" s="10"/>
      <c r="E139" s="10"/>
      <c r="F139" s="10"/>
      <c r="G139" s="10"/>
      <c r="H139" s="12">
        <f>SUM(I139:FH139)</f>
        <v>318457.99999999988</v>
      </c>
      <c r="I139" s="12">
        <f t="shared" ref="I139:AN139" si="186">I138*$E$23*(1+$D$11)^(MAX(0,DATEDIF($D$10,I$6,"m"))/12)</f>
        <v>0</v>
      </c>
      <c r="J139" s="12">
        <f t="shared" si="186"/>
        <v>0</v>
      </c>
      <c r="K139" s="12">
        <f t="shared" si="186"/>
        <v>0</v>
      </c>
      <c r="L139" s="12">
        <f t="shared" si="186"/>
        <v>0</v>
      </c>
      <c r="M139" s="12">
        <f t="shared" si="186"/>
        <v>0</v>
      </c>
      <c r="N139" s="12">
        <f t="shared" si="186"/>
        <v>0</v>
      </c>
      <c r="O139" s="12">
        <f t="shared" si="186"/>
        <v>0</v>
      </c>
      <c r="P139" s="12">
        <f t="shared" si="186"/>
        <v>0</v>
      </c>
      <c r="Q139" s="12">
        <f t="shared" si="186"/>
        <v>0</v>
      </c>
      <c r="R139" s="12">
        <f t="shared" si="186"/>
        <v>0</v>
      </c>
      <c r="S139" s="12">
        <f t="shared" si="186"/>
        <v>0</v>
      </c>
      <c r="T139" s="12">
        <f t="shared" si="186"/>
        <v>0</v>
      </c>
      <c r="U139" s="12">
        <f t="shared" si="186"/>
        <v>0</v>
      </c>
      <c r="V139" s="12">
        <f t="shared" si="186"/>
        <v>0</v>
      </c>
      <c r="W139" s="12">
        <f t="shared" si="186"/>
        <v>0</v>
      </c>
      <c r="X139" s="12">
        <f t="shared" si="186"/>
        <v>0</v>
      </c>
      <c r="Y139" s="12">
        <f t="shared" si="186"/>
        <v>0</v>
      </c>
      <c r="Z139" s="12">
        <f t="shared" si="186"/>
        <v>0</v>
      </c>
      <c r="AA139" s="12">
        <f t="shared" si="186"/>
        <v>0</v>
      </c>
      <c r="AB139" s="12">
        <f t="shared" si="186"/>
        <v>0</v>
      </c>
      <c r="AC139" s="12">
        <f t="shared" si="186"/>
        <v>0</v>
      </c>
      <c r="AD139" s="12">
        <f t="shared" si="186"/>
        <v>0</v>
      </c>
      <c r="AE139" s="12">
        <f t="shared" si="186"/>
        <v>0</v>
      </c>
      <c r="AF139" s="12">
        <f t="shared" si="186"/>
        <v>0</v>
      </c>
      <c r="AG139" s="12">
        <f t="shared" si="186"/>
        <v>0</v>
      </c>
      <c r="AH139" s="12">
        <f t="shared" si="186"/>
        <v>0</v>
      </c>
      <c r="AI139" s="12">
        <f t="shared" si="186"/>
        <v>0</v>
      </c>
      <c r="AJ139" s="12">
        <f t="shared" si="186"/>
        <v>0</v>
      </c>
      <c r="AK139" s="12">
        <f t="shared" si="186"/>
        <v>0</v>
      </c>
      <c r="AL139" s="12">
        <f t="shared" si="186"/>
        <v>0</v>
      </c>
      <c r="AM139" s="12">
        <f t="shared" si="186"/>
        <v>0</v>
      </c>
      <c r="AN139" s="12">
        <f t="shared" si="186"/>
        <v>0</v>
      </c>
      <c r="AO139" s="12">
        <f t="shared" ref="AO139:BT139" si="187">AO138*$E$23*(1+$D$11)^(MAX(0,DATEDIF($D$10,AO$6,"m"))/12)</f>
        <v>0</v>
      </c>
      <c r="AP139" s="12">
        <f t="shared" si="187"/>
        <v>0</v>
      </c>
      <c r="AQ139" s="12">
        <f t="shared" si="187"/>
        <v>0</v>
      </c>
      <c r="AR139" s="12">
        <f t="shared" si="187"/>
        <v>0</v>
      </c>
      <c r="AS139" s="12">
        <f t="shared" si="187"/>
        <v>15922.899999999996</v>
      </c>
      <c r="AT139" s="12">
        <f t="shared" si="187"/>
        <v>15922.899999999996</v>
      </c>
      <c r="AU139" s="12">
        <f t="shared" si="187"/>
        <v>15922.899999999996</v>
      </c>
      <c r="AV139" s="12">
        <f t="shared" si="187"/>
        <v>15922.899999999996</v>
      </c>
      <c r="AW139" s="12">
        <f t="shared" si="187"/>
        <v>15922.899999999996</v>
      </c>
      <c r="AX139" s="12">
        <f t="shared" si="187"/>
        <v>15922.899999999996</v>
      </c>
      <c r="AY139" s="12">
        <f t="shared" si="187"/>
        <v>5307.6333333333323</v>
      </c>
      <c r="AZ139" s="12">
        <f t="shared" si="187"/>
        <v>5307.6333333333323</v>
      </c>
      <c r="BA139" s="12">
        <f t="shared" si="187"/>
        <v>5307.6333333333323</v>
      </c>
      <c r="BB139" s="12">
        <f t="shared" si="187"/>
        <v>5307.6333333333323</v>
      </c>
      <c r="BC139" s="12">
        <f t="shared" si="187"/>
        <v>5307.6333333333323</v>
      </c>
      <c r="BD139" s="12">
        <f t="shared" si="187"/>
        <v>5307.6333333333323</v>
      </c>
      <c r="BE139" s="12">
        <f t="shared" si="187"/>
        <v>5307.6333333333323</v>
      </c>
      <c r="BF139" s="12">
        <f t="shared" si="187"/>
        <v>5307.6333333333323</v>
      </c>
      <c r="BG139" s="12">
        <f t="shared" si="187"/>
        <v>5307.6333333333323</v>
      </c>
      <c r="BH139" s="12">
        <f t="shared" si="187"/>
        <v>5307.6333333333323</v>
      </c>
      <c r="BI139" s="12">
        <f t="shared" si="187"/>
        <v>5307.6333333333323</v>
      </c>
      <c r="BJ139" s="12">
        <f t="shared" si="187"/>
        <v>5307.6333333333323</v>
      </c>
      <c r="BK139" s="12">
        <f t="shared" si="187"/>
        <v>5307.6333333333323</v>
      </c>
      <c r="BL139" s="12">
        <f t="shared" si="187"/>
        <v>5307.6333333333323</v>
      </c>
      <c r="BM139" s="12">
        <f t="shared" si="187"/>
        <v>5307.6333333333323</v>
      </c>
      <c r="BN139" s="12">
        <f t="shared" si="187"/>
        <v>5307.6333333333323</v>
      </c>
      <c r="BO139" s="12">
        <f t="shared" si="187"/>
        <v>5307.6333333333323</v>
      </c>
      <c r="BP139" s="12">
        <f t="shared" si="187"/>
        <v>5307.6333333333323</v>
      </c>
      <c r="BQ139" s="12">
        <f t="shared" si="187"/>
        <v>5307.6333333333323</v>
      </c>
      <c r="BR139" s="12">
        <f t="shared" si="187"/>
        <v>5307.6333333333323</v>
      </c>
      <c r="BS139" s="12">
        <f t="shared" si="187"/>
        <v>5307.6333333333323</v>
      </c>
      <c r="BT139" s="12">
        <f t="shared" si="187"/>
        <v>5307.6333333333323</v>
      </c>
      <c r="BU139" s="12">
        <f t="shared" ref="BU139:CZ139" si="188">BU138*$E$23*(1+$D$11)^(MAX(0,DATEDIF($D$10,BU$6,"m"))/12)</f>
        <v>5307.6333333333323</v>
      </c>
      <c r="BV139" s="12">
        <f t="shared" si="188"/>
        <v>5307.6333333333323</v>
      </c>
      <c r="BW139" s="12">
        <f t="shared" si="188"/>
        <v>5307.6333333333323</v>
      </c>
      <c r="BX139" s="12">
        <f t="shared" si="188"/>
        <v>5307.6333333333323</v>
      </c>
      <c r="BY139" s="12">
        <f t="shared" si="188"/>
        <v>5307.6333333333323</v>
      </c>
      <c r="BZ139" s="12">
        <f t="shared" si="188"/>
        <v>5307.6333333333323</v>
      </c>
      <c r="CA139" s="12">
        <f t="shared" si="188"/>
        <v>5307.6333333333323</v>
      </c>
      <c r="CB139" s="12">
        <f t="shared" si="188"/>
        <v>5307.6333333333323</v>
      </c>
      <c r="CC139" s="12">
        <f t="shared" si="188"/>
        <v>5307.6333333333323</v>
      </c>
      <c r="CD139" s="12">
        <f t="shared" si="188"/>
        <v>5307.6333333333323</v>
      </c>
      <c r="CE139" s="12">
        <f t="shared" si="188"/>
        <v>5307.6333333333323</v>
      </c>
      <c r="CF139" s="12">
        <f t="shared" si="188"/>
        <v>5307.6333333333323</v>
      </c>
      <c r="CG139" s="12">
        <f t="shared" si="188"/>
        <v>5307.6333333333323</v>
      </c>
      <c r="CH139" s="12">
        <f t="shared" si="188"/>
        <v>5307.6333333333323</v>
      </c>
      <c r="CI139" s="12">
        <f t="shared" si="188"/>
        <v>0</v>
      </c>
      <c r="CJ139" s="12">
        <f t="shared" si="188"/>
        <v>2653.8166666666662</v>
      </c>
      <c r="CK139" s="12">
        <f t="shared" si="188"/>
        <v>2653.8166666666662</v>
      </c>
      <c r="CL139" s="12">
        <f t="shared" si="188"/>
        <v>2653.8166666666662</v>
      </c>
      <c r="CM139" s="12">
        <f t="shared" si="188"/>
        <v>2653.8166666666662</v>
      </c>
      <c r="CN139" s="12">
        <f t="shared" si="188"/>
        <v>2653.8166666666662</v>
      </c>
      <c r="CO139" s="12">
        <f t="shared" si="188"/>
        <v>2653.8166666666662</v>
      </c>
      <c r="CP139" s="12">
        <f t="shared" si="188"/>
        <v>2653.8166666666662</v>
      </c>
      <c r="CQ139" s="12">
        <f t="shared" si="188"/>
        <v>2653.8166666666662</v>
      </c>
      <c r="CR139" s="12">
        <f t="shared" si="188"/>
        <v>2653.8166666666662</v>
      </c>
      <c r="CS139" s="12">
        <f t="shared" si="188"/>
        <v>2653.8166666666662</v>
      </c>
      <c r="CT139" s="12">
        <f t="shared" si="188"/>
        <v>2653.8166666666662</v>
      </c>
      <c r="CU139" s="12">
        <f t="shared" si="188"/>
        <v>2653.8166666666662</v>
      </c>
      <c r="CV139" s="12">
        <f t="shared" si="188"/>
        <v>0</v>
      </c>
      <c r="CW139" s="12">
        <f t="shared" si="188"/>
        <v>0</v>
      </c>
      <c r="CX139" s="12">
        <f t="shared" si="188"/>
        <v>0</v>
      </c>
      <c r="CY139" s="12">
        <f t="shared" si="188"/>
        <v>0</v>
      </c>
      <c r="CZ139" s="12">
        <f t="shared" si="188"/>
        <v>0</v>
      </c>
      <c r="DA139" s="12">
        <f t="shared" ref="DA139:EF139" si="189">DA138*$E$23*(1+$D$11)^(MAX(0,DATEDIF($D$10,DA$6,"m"))/12)</f>
        <v>0</v>
      </c>
      <c r="DB139" s="12">
        <f t="shared" si="189"/>
        <v>0</v>
      </c>
      <c r="DC139" s="12">
        <f t="shared" si="189"/>
        <v>0</v>
      </c>
      <c r="DD139" s="12">
        <f t="shared" si="189"/>
        <v>0</v>
      </c>
      <c r="DE139" s="12">
        <f t="shared" si="189"/>
        <v>0</v>
      </c>
      <c r="DF139" s="12">
        <f t="shared" si="189"/>
        <v>0</v>
      </c>
      <c r="DG139" s="12">
        <f t="shared" si="189"/>
        <v>0</v>
      </c>
      <c r="DH139" s="12">
        <f t="shared" si="189"/>
        <v>0</v>
      </c>
      <c r="DI139" s="12">
        <f t="shared" si="189"/>
        <v>0</v>
      </c>
      <c r="DJ139" s="12">
        <f t="shared" si="189"/>
        <v>0</v>
      </c>
      <c r="DK139" s="12">
        <f t="shared" si="189"/>
        <v>0</v>
      </c>
      <c r="DL139" s="12">
        <f t="shared" si="189"/>
        <v>0</v>
      </c>
      <c r="DM139" s="12">
        <f t="shared" si="189"/>
        <v>0</v>
      </c>
      <c r="DN139" s="12">
        <f t="shared" si="189"/>
        <v>0</v>
      </c>
      <c r="DO139" s="12">
        <f t="shared" si="189"/>
        <v>0</v>
      </c>
      <c r="DP139" s="12">
        <f t="shared" si="189"/>
        <v>0</v>
      </c>
      <c r="DQ139" s="12">
        <f t="shared" si="189"/>
        <v>0</v>
      </c>
      <c r="DR139" s="12">
        <f t="shared" si="189"/>
        <v>0</v>
      </c>
      <c r="DS139" s="12">
        <f t="shared" si="189"/>
        <v>0</v>
      </c>
      <c r="DT139" s="12">
        <f t="shared" si="189"/>
        <v>0</v>
      </c>
      <c r="DU139" s="12">
        <f t="shared" si="189"/>
        <v>0</v>
      </c>
      <c r="DV139" s="12">
        <f t="shared" si="189"/>
        <v>0</v>
      </c>
      <c r="DW139" s="12">
        <f t="shared" si="189"/>
        <v>0</v>
      </c>
      <c r="DX139" s="12">
        <f t="shared" si="189"/>
        <v>0</v>
      </c>
      <c r="DY139" s="12">
        <f t="shared" si="189"/>
        <v>0</v>
      </c>
      <c r="DZ139" s="12">
        <f t="shared" si="189"/>
        <v>0</v>
      </c>
      <c r="EA139" s="12">
        <f t="shared" si="189"/>
        <v>0</v>
      </c>
      <c r="EB139" s="12">
        <f t="shared" si="189"/>
        <v>0</v>
      </c>
      <c r="EC139" s="12">
        <f t="shared" si="189"/>
        <v>0</v>
      </c>
      <c r="ED139" s="12">
        <f t="shared" si="189"/>
        <v>0</v>
      </c>
      <c r="EE139" s="12">
        <f t="shared" si="189"/>
        <v>0</v>
      </c>
      <c r="EF139" s="12">
        <f t="shared" si="189"/>
        <v>0</v>
      </c>
      <c r="EG139" s="12">
        <f t="shared" ref="EG139:FH139" si="190">EG138*$E$23*(1+$D$11)^(MAX(0,DATEDIF($D$10,EG$6,"m"))/12)</f>
        <v>0</v>
      </c>
      <c r="EH139" s="12">
        <f t="shared" si="190"/>
        <v>0</v>
      </c>
      <c r="EI139" s="12">
        <f t="shared" si="190"/>
        <v>0</v>
      </c>
      <c r="EJ139" s="12">
        <f t="shared" si="190"/>
        <v>0</v>
      </c>
      <c r="EK139" s="12">
        <f t="shared" si="190"/>
        <v>0</v>
      </c>
      <c r="EL139" s="12">
        <f t="shared" si="190"/>
        <v>0</v>
      </c>
      <c r="EM139" s="12">
        <f t="shared" si="190"/>
        <v>0</v>
      </c>
      <c r="EN139" s="12">
        <f t="shared" si="190"/>
        <v>0</v>
      </c>
      <c r="EO139" s="12">
        <f t="shared" si="190"/>
        <v>0</v>
      </c>
      <c r="EP139" s="12">
        <f t="shared" si="190"/>
        <v>0</v>
      </c>
      <c r="EQ139" s="12">
        <f t="shared" si="190"/>
        <v>0</v>
      </c>
      <c r="ER139" s="12">
        <f t="shared" si="190"/>
        <v>0</v>
      </c>
      <c r="ES139" s="12">
        <f t="shared" si="190"/>
        <v>0</v>
      </c>
      <c r="ET139" s="12">
        <f t="shared" si="190"/>
        <v>0</v>
      </c>
      <c r="EU139" s="12">
        <f t="shared" si="190"/>
        <v>0</v>
      </c>
      <c r="EV139" s="12">
        <f t="shared" si="190"/>
        <v>0</v>
      </c>
      <c r="EW139" s="12">
        <f t="shared" si="190"/>
        <v>0</v>
      </c>
      <c r="EX139" s="12">
        <f t="shared" si="190"/>
        <v>0</v>
      </c>
      <c r="EY139" s="12">
        <f t="shared" si="190"/>
        <v>0</v>
      </c>
      <c r="EZ139" s="12">
        <f t="shared" si="190"/>
        <v>0</v>
      </c>
      <c r="FA139" s="12">
        <f t="shared" si="190"/>
        <v>0</v>
      </c>
      <c r="FB139" s="12">
        <f t="shared" si="190"/>
        <v>0</v>
      </c>
      <c r="FC139" s="12">
        <f t="shared" si="190"/>
        <v>0</v>
      </c>
      <c r="FD139" s="12">
        <f t="shared" si="190"/>
        <v>0</v>
      </c>
      <c r="FE139" s="12">
        <f t="shared" si="190"/>
        <v>0</v>
      </c>
      <c r="FF139" s="12">
        <f t="shared" si="190"/>
        <v>0</v>
      </c>
      <c r="FG139" s="12">
        <f t="shared" si="190"/>
        <v>0</v>
      </c>
      <c r="FH139" s="12">
        <f t="shared" si="190"/>
        <v>0</v>
      </c>
    </row>
    <row r="140" spans="1:164" x14ac:dyDescent="0.2">
      <c r="A140" s="10"/>
      <c r="B140" s="10"/>
      <c r="C140" s="201" t="s">
        <v>748</v>
      </c>
      <c r="D140" s="194"/>
      <c r="E140" s="194"/>
      <c r="F140" s="194"/>
      <c r="G140" s="194"/>
      <c r="H140" s="216"/>
      <c r="I140" s="216">
        <f t="shared" ref="I140:AN140" si="191">IF(I$6&lt;$E$35,I139*$E$50/DATEDIF(I$6,$E$35,"m"),0)</f>
        <v>0</v>
      </c>
      <c r="J140" s="216">
        <f t="shared" si="191"/>
        <v>0</v>
      </c>
      <c r="K140" s="216">
        <f t="shared" si="191"/>
        <v>0</v>
      </c>
      <c r="L140" s="216">
        <f t="shared" si="191"/>
        <v>0</v>
      </c>
      <c r="M140" s="216">
        <f t="shared" si="191"/>
        <v>0</v>
      </c>
      <c r="N140" s="216">
        <f t="shared" si="191"/>
        <v>0</v>
      </c>
      <c r="O140" s="216">
        <f t="shared" si="191"/>
        <v>0</v>
      </c>
      <c r="P140" s="216">
        <f t="shared" si="191"/>
        <v>0</v>
      </c>
      <c r="Q140" s="216">
        <f t="shared" si="191"/>
        <v>0</v>
      </c>
      <c r="R140" s="216">
        <f t="shared" si="191"/>
        <v>0</v>
      </c>
      <c r="S140" s="216">
        <f t="shared" si="191"/>
        <v>0</v>
      </c>
      <c r="T140" s="216">
        <f t="shared" si="191"/>
        <v>0</v>
      </c>
      <c r="U140" s="216">
        <f t="shared" si="191"/>
        <v>0</v>
      </c>
      <c r="V140" s="216">
        <f t="shared" si="191"/>
        <v>0</v>
      </c>
      <c r="W140" s="216">
        <f t="shared" si="191"/>
        <v>0</v>
      </c>
      <c r="X140" s="216">
        <f t="shared" si="191"/>
        <v>0</v>
      </c>
      <c r="Y140" s="216">
        <f t="shared" si="191"/>
        <v>0</v>
      </c>
      <c r="Z140" s="216">
        <f t="shared" si="191"/>
        <v>0</v>
      </c>
      <c r="AA140" s="216">
        <f t="shared" si="191"/>
        <v>0</v>
      </c>
      <c r="AB140" s="216">
        <f t="shared" si="191"/>
        <v>0</v>
      </c>
      <c r="AC140" s="216">
        <f t="shared" si="191"/>
        <v>0</v>
      </c>
      <c r="AD140" s="216">
        <f t="shared" si="191"/>
        <v>0</v>
      </c>
      <c r="AE140" s="216">
        <f t="shared" si="191"/>
        <v>0</v>
      </c>
      <c r="AF140" s="216">
        <f t="shared" si="191"/>
        <v>0</v>
      </c>
      <c r="AG140" s="216">
        <f t="shared" si="191"/>
        <v>0</v>
      </c>
      <c r="AH140" s="216">
        <f t="shared" si="191"/>
        <v>0</v>
      </c>
      <c r="AI140" s="216">
        <f t="shared" si="191"/>
        <v>0</v>
      </c>
      <c r="AJ140" s="216">
        <f t="shared" si="191"/>
        <v>0</v>
      </c>
      <c r="AK140" s="216">
        <f t="shared" si="191"/>
        <v>0</v>
      </c>
      <c r="AL140" s="216">
        <f t="shared" si="191"/>
        <v>0</v>
      </c>
      <c r="AM140" s="216">
        <f t="shared" si="191"/>
        <v>0</v>
      </c>
      <c r="AN140" s="216">
        <f t="shared" si="191"/>
        <v>0</v>
      </c>
      <c r="AO140" s="216">
        <f t="shared" ref="AO140:BT140" si="192">IF(AO$6&lt;$E$35,AO139*$E$50/DATEDIF(AO$6,$E$35,"m"),0)</f>
        <v>0</v>
      </c>
      <c r="AP140" s="216">
        <f t="shared" si="192"/>
        <v>0</v>
      </c>
      <c r="AQ140" s="216">
        <f t="shared" si="192"/>
        <v>0</v>
      </c>
      <c r="AR140" s="216">
        <f t="shared" si="192"/>
        <v>0</v>
      </c>
      <c r="AS140" s="216">
        <f t="shared" si="192"/>
        <v>113.73499999999997</v>
      </c>
      <c r="AT140" s="216">
        <f t="shared" si="192"/>
        <v>116.50902439024388</v>
      </c>
      <c r="AU140" s="216">
        <f t="shared" si="192"/>
        <v>119.42174999999997</v>
      </c>
      <c r="AV140" s="216">
        <f t="shared" si="192"/>
        <v>122.48384615384613</v>
      </c>
      <c r="AW140" s="216">
        <f t="shared" si="192"/>
        <v>125.70710526315787</v>
      </c>
      <c r="AX140" s="216">
        <f t="shared" si="192"/>
        <v>129.10459459459457</v>
      </c>
      <c r="AY140" s="216">
        <f t="shared" si="192"/>
        <v>44.230277777777772</v>
      </c>
      <c r="AZ140" s="216">
        <f t="shared" si="192"/>
        <v>45.493999999999993</v>
      </c>
      <c r="BA140" s="216">
        <f t="shared" si="192"/>
        <v>46.832058823529401</v>
      </c>
      <c r="BB140" s="216">
        <f t="shared" si="192"/>
        <v>48.251212121212113</v>
      </c>
      <c r="BC140" s="216">
        <f t="shared" si="192"/>
        <v>49.759062499999992</v>
      </c>
      <c r="BD140" s="216">
        <f t="shared" si="192"/>
        <v>51.364193548387085</v>
      </c>
      <c r="BE140" s="216">
        <f t="shared" si="192"/>
        <v>53.076333333333324</v>
      </c>
      <c r="BF140" s="216">
        <f t="shared" si="192"/>
        <v>54.90655172413792</v>
      </c>
      <c r="BG140" s="216">
        <f t="shared" si="192"/>
        <v>56.867499999999993</v>
      </c>
      <c r="BH140" s="216">
        <f t="shared" si="192"/>
        <v>58.973703703703691</v>
      </c>
      <c r="BI140" s="216">
        <f t="shared" si="192"/>
        <v>61.241923076923065</v>
      </c>
      <c r="BJ140" s="216">
        <f t="shared" si="192"/>
        <v>63.691599999999987</v>
      </c>
      <c r="BK140" s="216">
        <f t="shared" si="192"/>
        <v>66.345416666666651</v>
      </c>
      <c r="BL140" s="216">
        <f t="shared" si="192"/>
        <v>69.22999999999999</v>
      </c>
      <c r="BM140" s="216">
        <f t="shared" si="192"/>
        <v>72.376818181818166</v>
      </c>
      <c r="BN140" s="216">
        <f t="shared" si="192"/>
        <v>75.823333333333323</v>
      </c>
      <c r="BO140" s="216">
        <f t="shared" si="192"/>
        <v>79.614499999999992</v>
      </c>
      <c r="BP140" s="216">
        <f t="shared" si="192"/>
        <v>83.804736842105243</v>
      </c>
      <c r="BQ140" s="216">
        <f t="shared" si="192"/>
        <v>88.460555555555544</v>
      </c>
      <c r="BR140" s="216">
        <f t="shared" si="192"/>
        <v>93.664117647058802</v>
      </c>
      <c r="BS140" s="216">
        <f t="shared" si="192"/>
        <v>99.518124999999984</v>
      </c>
      <c r="BT140" s="216">
        <f t="shared" si="192"/>
        <v>106.15266666666665</v>
      </c>
      <c r="BU140" s="216">
        <f t="shared" ref="BU140:CZ140" si="193">IF(BU$6&lt;$E$35,BU139*$E$50/DATEDIF(BU$6,$E$35,"m"),0)</f>
        <v>113.73499999999999</v>
      </c>
      <c r="BV140" s="216">
        <f t="shared" si="193"/>
        <v>122.48384615384613</v>
      </c>
      <c r="BW140" s="216">
        <f t="shared" si="193"/>
        <v>132.6908333333333</v>
      </c>
      <c r="BX140" s="216">
        <f t="shared" si="193"/>
        <v>144.75363636363633</v>
      </c>
      <c r="BY140" s="216">
        <f t="shared" si="193"/>
        <v>159.22899999999998</v>
      </c>
      <c r="BZ140" s="216">
        <f t="shared" si="193"/>
        <v>176.92111111111109</v>
      </c>
      <c r="CA140" s="216">
        <f t="shared" si="193"/>
        <v>199.03624999999997</v>
      </c>
      <c r="CB140" s="216">
        <f t="shared" si="193"/>
        <v>227.46999999999997</v>
      </c>
      <c r="CC140" s="216">
        <f t="shared" si="193"/>
        <v>265.3816666666666</v>
      </c>
      <c r="CD140" s="216">
        <f t="shared" si="193"/>
        <v>318.45799999999997</v>
      </c>
      <c r="CE140" s="216">
        <f t="shared" si="193"/>
        <v>398.07249999999993</v>
      </c>
      <c r="CF140" s="216">
        <f t="shared" si="193"/>
        <v>530.76333333333321</v>
      </c>
      <c r="CG140" s="216">
        <f t="shared" si="193"/>
        <v>796.14499999999987</v>
      </c>
      <c r="CH140" s="216">
        <f t="shared" si="193"/>
        <v>1592.2899999999997</v>
      </c>
      <c r="CI140" s="216">
        <f t="shared" si="193"/>
        <v>0</v>
      </c>
      <c r="CJ140" s="216">
        <f t="shared" si="193"/>
        <v>0</v>
      </c>
      <c r="CK140" s="216">
        <f t="shared" si="193"/>
        <v>0</v>
      </c>
      <c r="CL140" s="216">
        <f t="shared" si="193"/>
        <v>0</v>
      </c>
      <c r="CM140" s="216">
        <f t="shared" si="193"/>
        <v>0</v>
      </c>
      <c r="CN140" s="216">
        <f t="shared" si="193"/>
        <v>0</v>
      </c>
      <c r="CO140" s="216">
        <f t="shared" si="193"/>
        <v>0</v>
      </c>
      <c r="CP140" s="216">
        <f t="shared" si="193"/>
        <v>0</v>
      </c>
      <c r="CQ140" s="216">
        <f t="shared" si="193"/>
        <v>0</v>
      </c>
      <c r="CR140" s="216">
        <f t="shared" si="193"/>
        <v>0</v>
      </c>
      <c r="CS140" s="216">
        <f t="shared" si="193"/>
        <v>0</v>
      </c>
      <c r="CT140" s="216">
        <f t="shared" si="193"/>
        <v>0</v>
      </c>
      <c r="CU140" s="216">
        <f t="shared" si="193"/>
        <v>0</v>
      </c>
      <c r="CV140" s="216">
        <f t="shared" si="193"/>
        <v>0</v>
      </c>
      <c r="CW140" s="216">
        <f t="shared" si="193"/>
        <v>0</v>
      </c>
      <c r="CX140" s="216">
        <f t="shared" si="193"/>
        <v>0</v>
      </c>
      <c r="CY140" s="216">
        <f t="shared" si="193"/>
        <v>0</v>
      </c>
      <c r="CZ140" s="216">
        <f t="shared" si="193"/>
        <v>0</v>
      </c>
      <c r="DA140" s="216">
        <f t="shared" ref="DA140:EF140" si="194">IF(DA$6&lt;$E$35,DA139*$E$50/DATEDIF(DA$6,$E$35,"m"),0)</f>
        <v>0</v>
      </c>
      <c r="DB140" s="216">
        <f t="shared" si="194"/>
        <v>0</v>
      </c>
      <c r="DC140" s="216">
        <f t="shared" si="194"/>
        <v>0</v>
      </c>
      <c r="DD140" s="216">
        <f t="shared" si="194"/>
        <v>0</v>
      </c>
      <c r="DE140" s="216">
        <f t="shared" si="194"/>
        <v>0</v>
      </c>
      <c r="DF140" s="216">
        <f t="shared" si="194"/>
        <v>0</v>
      </c>
      <c r="DG140" s="216">
        <f t="shared" si="194"/>
        <v>0</v>
      </c>
      <c r="DH140" s="216">
        <f t="shared" si="194"/>
        <v>0</v>
      </c>
      <c r="DI140" s="216">
        <f t="shared" si="194"/>
        <v>0</v>
      </c>
      <c r="DJ140" s="216">
        <f t="shared" si="194"/>
        <v>0</v>
      </c>
      <c r="DK140" s="216">
        <f t="shared" si="194"/>
        <v>0</v>
      </c>
      <c r="DL140" s="216">
        <f t="shared" si="194"/>
        <v>0</v>
      </c>
      <c r="DM140" s="216">
        <f t="shared" si="194"/>
        <v>0</v>
      </c>
      <c r="DN140" s="216">
        <f t="shared" si="194"/>
        <v>0</v>
      </c>
      <c r="DO140" s="216">
        <f t="shared" si="194"/>
        <v>0</v>
      </c>
      <c r="DP140" s="216">
        <f t="shared" si="194"/>
        <v>0</v>
      </c>
      <c r="DQ140" s="216">
        <f t="shared" si="194"/>
        <v>0</v>
      </c>
      <c r="DR140" s="216">
        <f t="shared" si="194"/>
        <v>0</v>
      </c>
      <c r="DS140" s="216">
        <f t="shared" si="194"/>
        <v>0</v>
      </c>
      <c r="DT140" s="216">
        <f t="shared" si="194"/>
        <v>0</v>
      </c>
      <c r="DU140" s="216">
        <f t="shared" si="194"/>
        <v>0</v>
      </c>
      <c r="DV140" s="216">
        <f t="shared" si="194"/>
        <v>0</v>
      </c>
      <c r="DW140" s="216">
        <f t="shared" si="194"/>
        <v>0</v>
      </c>
      <c r="DX140" s="216">
        <f t="shared" si="194"/>
        <v>0</v>
      </c>
      <c r="DY140" s="216">
        <f t="shared" si="194"/>
        <v>0</v>
      </c>
      <c r="DZ140" s="216">
        <f t="shared" si="194"/>
        <v>0</v>
      </c>
      <c r="EA140" s="216">
        <f t="shared" si="194"/>
        <v>0</v>
      </c>
      <c r="EB140" s="216">
        <f t="shared" si="194"/>
        <v>0</v>
      </c>
      <c r="EC140" s="216">
        <f t="shared" si="194"/>
        <v>0</v>
      </c>
      <c r="ED140" s="216">
        <f t="shared" si="194"/>
        <v>0</v>
      </c>
      <c r="EE140" s="216">
        <f t="shared" si="194"/>
        <v>0</v>
      </c>
      <c r="EF140" s="216">
        <f t="shared" si="194"/>
        <v>0</v>
      </c>
      <c r="EG140" s="216">
        <f t="shared" ref="EG140:FH140" si="195">IF(EG$6&lt;$E$35,EG139*$E$50/DATEDIF(EG$6,$E$35,"m"),0)</f>
        <v>0</v>
      </c>
      <c r="EH140" s="216">
        <f t="shared" si="195"/>
        <v>0</v>
      </c>
      <c r="EI140" s="216">
        <f t="shared" si="195"/>
        <v>0</v>
      </c>
      <c r="EJ140" s="216">
        <f t="shared" si="195"/>
        <v>0</v>
      </c>
      <c r="EK140" s="216">
        <f t="shared" si="195"/>
        <v>0</v>
      </c>
      <c r="EL140" s="216">
        <f t="shared" si="195"/>
        <v>0</v>
      </c>
      <c r="EM140" s="216">
        <f t="shared" si="195"/>
        <v>0</v>
      </c>
      <c r="EN140" s="216">
        <f t="shared" si="195"/>
        <v>0</v>
      </c>
      <c r="EO140" s="216">
        <f t="shared" si="195"/>
        <v>0</v>
      </c>
      <c r="EP140" s="216">
        <f t="shared" si="195"/>
        <v>0</v>
      </c>
      <c r="EQ140" s="216">
        <f t="shared" si="195"/>
        <v>0</v>
      </c>
      <c r="ER140" s="216">
        <f t="shared" si="195"/>
        <v>0</v>
      </c>
      <c r="ES140" s="216">
        <f t="shared" si="195"/>
        <v>0</v>
      </c>
      <c r="ET140" s="216">
        <f t="shared" si="195"/>
        <v>0</v>
      </c>
      <c r="EU140" s="216">
        <f t="shared" si="195"/>
        <v>0</v>
      </c>
      <c r="EV140" s="216">
        <f t="shared" si="195"/>
        <v>0</v>
      </c>
      <c r="EW140" s="216">
        <f t="shared" si="195"/>
        <v>0</v>
      </c>
      <c r="EX140" s="216">
        <f t="shared" si="195"/>
        <v>0</v>
      </c>
      <c r="EY140" s="216">
        <f t="shared" si="195"/>
        <v>0</v>
      </c>
      <c r="EZ140" s="216">
        <f t="shared" si="195"/>
        <v>0</v>
      </c>
      <c r="FA140" s="216">
        <f t="shared" si="195"/>
        <v>0</v>
      </c>
      <c r="FB140" s="216">
        <f t="shared" si="195"/>
        <v>0</v>
      </c>
      <c r="FC140" s="216">
        <f t="shared" si="195"/>
        <v>0</v>
      </c>
      <c r="FD140" s="216">
        <f t="shared" si="195"/>
        <v>0</v>
      </c>
      <c r="FE140" s="216">
        <f t="shared" si="195"/>
        <v>0</v>
      </c>
      <c r="FF140" s="216">
        <f t="shared" si="195"/>
        <v>0</v>
      </c>
      <c r="FG140" s="216">
        <f t="shared" si="195"/>
        <v>0</v>
      </c>
      <c r="FH140" s="216">
        <f t="shared" si="195"/>
        <v>0</v>
      </c>
    </row>
    <row r="141" spans="1:164" x14ac:dyDescent="0.2">
      <c r="A141" s="10"/>
      <c r="B141" s="10"/>
      <c r="C141" s="10" t="s">
        <v>749</v>
      </c>
      <c r="D141" s="10"/>
      <c r="E141" s="10"/>
      <c r="F141" s="10"/>
      <c r="G141" s="10"/>
      <c r="H141" s="12">
        <f t="shared" ref="H141:H149" si="196">SUM(I141:FH141)</f>
        <v>44584.119999999959</v>
      </c>
      <c r="I141" s="12">
        <f t="shared" ref="I141:AN141" si="197">I139*$E$49+IF(I$6&gt;=$E$35,I139*($E$50+$E$51),0)</f>
        <v>0</v>
      </c>
      <c r="J141" s="12">
        <f t="shared" si="197"/>
        <v>0</v>
      </c>
      <c r="K141" s="12">
        <f t="shared" si="197"/>
        <v>0</v>
      </c>
      <c r="L141" s="12">
        <f t="shared" si="197"/>
        <v>0</v>
      </c>
      <c r="M141" s="12">
        <f t="shared" si="197"/>
        <v>0</v>
      </c>
      <c r="N141" s="12">
        <f t="shared" si="197"/>
        <v>0</v>
      </c>
      <c r="O141" s="12">
        <f t="shared" si="197"/>
        <v>0</v>
      </c>
      <c r="P141" s="12">
        <f t="shared" si="197"/>
        <v>0</v>
      </c>
      <c r="Q141" s="12">
        <f t="shared" si="197"/>
        <v>0</v>
      </c>
      <c r="R141" s="12">
        <f t="shared" si="197"/>
        <v>0</v>
      </c>
      <c r="S141" s="12">
        <f t="shared" si="197"/>
        <v>0</v>
      </c>
      <c r="T141" s="12">
        <f t="shared" si="197"/>
        <v>0</v>
      </c>
      <c r="U141" s="12">
        <f t="shared" si="197"/>
        <v>0</v>
      </c>
      <c r="V141" s="12">
        <f t="shared" si="197"/>
        <v>0</v>
      </c>
      <c r="W141" s="12">
        <f t="shared" si="197"/>
        <v>0</v>
      </c>
      <c r="X141" s="12">
        <f t="shared" si="197"/>
        <v>0</v>
      </c>
      <c r="Y141" s="12">
        <f t="shared" si="197"/>
        <v>0</v>
      </c>
      <c r="Z141" s="12">
        <f t="shared" si="197"/>
        <v>0</v>
      </c>
      <c r="AA141" s="12">
        <f t="shared" si="197"/>
        <v>0</v>
      </c>
      <c r="AB141" s="12">
        <f t="shared" si="197"/>
        <v>0</v>
      </c>
      <c r="AC141" s="12">
        <f t="shared" si="197"/>
        <v>0</v>
      </c>
      <c r="AD141" s="12">
        <f t="shared" si="197"/>
        <v>0</v>
      </c>
      <c r="AE141" s="12">
        <f t="shared" si="197"/>
        <v>0</v>
      </c>
      <c r="AF141" s="12">
        <f t="shared" si="197"/>
        <v>0</v>
      </c>
      <c r="AG141" s="12">
        <f t="shared" si="197"/>
        <v>0</v>
      </c>
      <c r="AH141" s="12">
        <f t="shared" si="197"/>
        <v>0</v>
      </c>
      <c r="AI141" s="12">
        <f t="shared" si="197"/>
        <v>0</v>
      </c>
      <c r="AJ141" s="12">
        <f t="shared" si="197"/>
        <v>0</v>
      </c>
      <c r="AK141" s="12">
        <f t="shared" si="197"/>
        <v>0</v>
      </c>
      <c r="AL141" s="12">
        <f t="shared" si="197"/>
        <v>0</v>
      </c>
      <c r="AM141" s="12">
        <f t="shared" si="197"/>
        <v>0</v>
      </c>
      <c r="AN141" s="12">
        <f t="shared" si="197"/>
        <v>0</v>
      </c>
      <c r="AO141" s="12">
        <f t="shared" ref="AO141:BT141" si="198">AO139*$E$49+IF(AO$6&gt;=$E$35,AO139*($E$50+$E$51),0)</f>
        <v>0</v>
      </c>
      <c r="AP141" s="12">
        <f t="shared" si="198"/>
        <v>0</v>
      </c>
      <c r="AQ141" s="12">
        <f t="shared" si="198"/>
        <v>0</v>
      </c>
      <c r="AR141" s="12">
        <f t="shared" si="198"/>
        <v>0</v>
      </c>
      <c r="AS141" s="12">
        <f t="shared" si="198"/>
        <v>1592.2899999999997</v>
      </c>
      <c r="AT141" s="12">
        <f t="shared" si="198"/>
        <v>1592.2899999999997</v>
      </c>
      <c r="AU141" s="12">
        <f t="shared" si="198"/>
        <v>1592.2899999999997</v>
      </c>
      <c r="AV141" s="12">
        <f t="shared" si="198"/>
        <v>1592.2899999999997</v>
      </c>
      <c r="AW141" s="12">
        <f t="shared" si="198"/>
        <v>1592.2899999999997</v>
      </c>
      <c r="AX141" s="12">
        <f t="shared" si="198"/>
        <v>1592.2899999999997</v>
      </c>
      <c r="AY141" s="12">
        <f t="shared" si="198"/>
        <v>530.76333333333321</v>
      </c>
      <c r="AZ141" s="12">
        <f t="shared" si="198"/>
        <v>530.76333333333321</v>
      </c>
      <c r="BA141" s="12">
        <f t="shared" si="198"/>
        <v>530.76333333333321</v>
      </c>
      <c r="BB141" s="12">
        <f t="shared" si="198"/>
        <v>530.76333333333321</v>
      </c>
      <c r="BC141" s="12">
        <f t="shared" si="198"/>
        <v>530.76333333333321</v>
      </c>
      <c r="BD141" s="12">
        <f t="shared" si="198"/>
        <v>530.76333333333321</v>
      </c>
      <c r="BE141" s="12">
        <f t="shared" si="198"/>
        <v>530.76333333333321</v>
      </c>
      <c r="BF141" s="12">
        <f t="shared" si="198"/>
        <v>530.76333333333321</v>
      </c>
      <c r="BG141" s="12">
        <f t="shared" si="198"/>
        <v>530.76333333333321</v>
      </c>
      <c r="BH141" s="12">
        <f t="shared" si="198"/>
        <v>530.76333333333321</v>
      </c>
      <c r="BI141" s="12">
        <f t="shared" si="198"/>
        <v>530.76333333333321</v>
      </c>
      <c r="BJ141" s="12">
        <f t="shared" si="198"/>
        <v>530.76333333333321</v>
      </c>
      <c r="BK141" s="12">
        <f t="shared" si="198"/>
        <v>530.76333333333321</v>
      </c>
      <c r="BL141" s="12">
        <f t="shared" si="198"/>
        <v>530.76333333333321</v>
      </c>
      <c r="BM141" s="12">
        <f t="shared" si="198"/>
        <v>530.76333333333321</v>
      </c>
      <c r="BN141" s="12">
        <f t="shared" si="198"/>
        <v>530.76333333333321</v>
      </c>
      <c r="BO141" s="12">
        <f t="shared" si="198"/>
        <v>530.76333333333321</v>
      </c>
      <c r="BP141" s="12">
        <f t="shared" si="198"/>
        <v>530.76333333333321</v>
      </c>
      <c r="BQ141" s="12">
        <f t="shared" si="198"/>
        <v>530.76333333333321</v>
      </c>
      <c r="BR141" s="12">
        <f t="shared" si="198"/>
        <v>530.76333333333321</v>
      </c>
      <c r="BS141" s="12">
        <f t="shared" si="198"/>
        <v>530.76333333333321</v>
      </c>
      <c r="BT141" s="12">
        <f t="shared" si="198"/>
        <v>530.76333333333321</v>
      </c>
      <c r="BU141" s="12">
        <f t="shared" ref="BU141:CZ141" si="199">BU139*$E$49+IF(BU$6&gt;=$E$35,BU139*($E$50+$E$51),0)</f>
        <v>530.76333333333321</v>
      </c>
      <c r="BV141" s="12">
        <f t="shared" si="199"/>
        <v>530.76333333333321</v>
      </c>
      <c r="BW141" s="12">
        <f t="shared" si="199"/>
        <v>530.76333333333321</v>
      </c>
      <c r="BX141" s="12">
        <f t="shared" si="199"/>
        <v>530.76333333333321</v>
      </c>
      <c r="BY141" s="12">
        <f t="shared" si="199"/>
        <v>530.76333333333321</v>
      </c>
      <c r="BZ141" s="12">
        <f t="shared" si="199"/>
        <v>530.76333333333321</v>
      </c>
      <c r="CA141" s="12">
        <f t="shared" si="199"/>
        <v>530.76333333333321</v>
      </c>
      <c r="CB141" s="12">
        <f t="shared" si="199"/>
        <v>530.76333333333321</v>
      </c>
      <c r="CC141" s="12">
        <f t="shared" si="199"/>
        <v>530.76333333333321</v>
      </c>
      <c r="CD141" s="12">
        <f t="shared" si="199"/>
        <v>530.76333333333321</v>
      </c>
      <c r="CE141" s="12">
        <f t="shared" si="199"/>
        <v>530.76333333333321</v>
      </c>
      <c r="CF141" s="12">
        <f t="shared" si="199"/>
        <v>530.76333333333321</v>
      </c>
      <c r="CG141" s="12">
        <f t="shared" si="199"/>
        <v>530.76333333333321</v>
      </c>
      <c r="CH141" s="12">
        <f t="shared" si="199"/>
        <v>530.76333333333321</v>
      </c>
      <c r="CI141" s="12">
        <f t="shared" si="199"/>
        <v>0</v>
      </c>
      <c r="CJ141" s="12">
        <f t="shared" si="199"/>
        <v>1326.9083333333331</v>
      </c>
      <c r="CK141" s="12">
        <f t="shared" si="199"/>
        <v>1326.9083333333331</v>
      </c>
      <c r="CL141" s="12">
        <f t="shared" si="199"/>
        <v>1326.9083333333331</v>
      </c>
      <c r="CM141" s="12">
        <f t="shared" si="199"/>
        <v>1326.9083333333331</v>
      </c>
      <c r="CN141" s="12">
        <f t="shared" si="199"/>
        <v>1326.9083333333331</v>
      </c>
      <c r="CO141" s="12">
        <f t="shared" si="199"/>
        <v>1326.9083333333331</v>
      </c>
      <c r="CP141" s="12">
        <f t="shared" si="199"/>
        <v>1326.9083333333331</v>
      </c>
      <c r="CQ141" s="12">
        <f t="shared" si="199"/>
        <v>1326.9083333333331</v>
      </c>
      <c r="CR141" s="12">
        <f t="shared" si="199"/>
        <v>1326.9083333333331</v>
      </c>
      <c r="CS141" s="12">
        <f t="shared" si="199"/>
        <v>1326.9083333333331</v>
      </c>
      <c r="CT141" s="12">
        <f t="shared" si="199"/>
        <v>1326.9083333333331</v>
      </c>
      <c r="CU141" s="12">
        <f t="shared" si="199"/>
        <v>1326.9083333333331</v>
      </c>
      <c r="CV141" s="12">
        <f t="shared" si="199"/>
        <v>0</v>
      </c>
      <c r="CW141" s="12">
        <f t="shared" si="199"/>
        <v>0</v>
      </c>
      <c r="CX141" s="12">
        <f t="shared" si="199"/>
        <v>0</v>
      </c>
      <c r="CY141" s="12">
        <f t="shared" si="199"/>
        <v>0</v>
      </c>
      <c r="CZ141" s="12">
        <f t="shared" si="199"/>
        <v>0</v>
      </c>
      <c r="DA141" s="12">
        <f t="shared" ref="DA141:EF141" si="200">DA139*$E$49+IF(DA$6&gt;=$E$35,DA139*($E$50+$E$51),0)</f>
        <v>0</v>
      </c>
      <c r="DB141" s="12">
        <f t="shared" si="200"/>
        <v>0</v>
      </c>
      <c r="DC141" s="12">
        <f t="shared" si="200"/>
        <v>0</v>
      </c>
      <c r="DD141" s="12">
        <f t="shared" si="200"/>
        <v>0</v>
      </c>
      <c r="DE141" s="12">
        <f t="shared" si="200"/>
        <v>0</v>
      </c>
      <c r="DF141" s="12">
        <f t="shared" si="200"/>
        <v>0</v>
      </c>
      <c r="DG141" s="12">
        <f t="shared" si="200"/>
        <v>0</v>
      </c>
      <c r="DH141" s="12">
        <f t="shared" si="200"/>
        <v>0</v>
      </c>
      <c r="DI141" s="12">
        <f t="shared" si="200"/>
        <v>0</v>
      </c>
      <c r="DJ141" s="12">
        <f t="shared" si="200"/>
        <v>0</v>
      </c>
      <c r="DK141" s="12">
        <f t="shared" si="200"/>
        <v>0</v>
      </c>
      <c r="DL141" s="12">
        <f t="shared" si="200"/>
        <v>0</v>
      </c>
      <c r="DM141" s="12">
        <f t="shared" si="200"/>
        <v>0</v>
      </c>
      <c r="DN141" s="12">
        <f t="shared" si="200"/>
        <v>0</v>
      </c>
      <c r="DO141" s="12">
        <f t="shared" si="200"/>
        <v>0</v>
      </c>
      <c r="DP141" s="12">
        <f t="shared" si="200"/>
        <v>0</v>
      </c>
      <c r="DQ141" s="12">
        <f t="shared" si="200"/>
        <v>0</v>
      </c>
      <c r="DR141" s="12">
        <f t="shared" si="200"/>
        <v>0</v>
      </c>
      <c r="DS141" s="12">
        <f t="shared" si="200"/>
        <v>0</v>
      </c>
      <c r="DT141" s="12">
        <f t="shared" si="200"/>
        <v>0</v>
      </c>
      <c r="DU141" s="12">
        <f t="shared" si="200"/>
        <v>0</v>
      </c>
      <c r="DV141" s="12">
        <f t="shared" si="200"/>
        <v>0</v>
      </c>
      <c r="DW141" s="12">
        <f t="shared" si="200"/>
        <v>0</v>
      </c>
      <c r="DX141" s="12">
        <f t="shared" si="200"/>
        <v>0</v>
      </c>
      <c r="DY141" s="12">
        <f t="shared" si="200"/>
        <v>0</v>
      </c>
      <c r="DZ141" s="12">
        <f t="shared" si="200"/>
        <v>0</v>
      </c>
      <c r="EA141" s="12">
        <f t="shared" si="200"/>
        <v>0</v>
      </c>
      <c r="EB141" s="12">
        <f t="shared" si="200"/>
        <v>0</v>
      </c>
      <c r="EC141" s="12">
        <f t="shared" si="200"/>
        <v>0</v>
      </c>
      <c r="ED141" s="12">
        <f t="shared" si="200"/>
        <v>0</v>
      </c>
      <c r="EE141" s="12">
        <f t="shared" si="200"/>
        <v>0</v>
      </c>
      <c r="EF141" s="12">
        <f t="shared" si="200"/>
        <v>0</v>
      </c>
      <c r="EG141" s="12">
        <f t="shared" ref="EG141:FH141" si="201">EG139*$E$49+IF(EG$6&gt;=$E$35,EG139*($E$50+$E$51),0)</f>
        <v>0</v>
      </c>
      <c r="EH141" s="12">
        <f t="shared" si="201"/>
        <v>0</v>
      </c>
      <c r="EI141" s="12">
        <f t="shared" si="201"/>
        <v>0</v>
      </c>
      <c r="EJ141" s="12">
        <f t="shared" si="201"/>
        <v>0</v>
      </c>
      <c r="EK141" s="12">
        <f t="shared" si="201"/>
        <v>0</v>
      </c>
      <c r="EL141" s="12">
        <f t="shared" si="201"/>
        <v>0</v>
      </c>
      <c r="EM141" s="12">
        <f t="shared" si="201"/>
        <v>0</v>
      </c>
      <c r="EN141" s="12">
        <f t="shared" si="201"/>
        <v>0</v>
      </c>
      <c r="EO141" s="12">
        <f t="shared" si="201"/>
        <v>0</v>
      </c>
      <c r="EP141" s="12">
        <f t="shared" si="201"/>
        <v>0</v>
      </c>
      <c r="EQ141" s="12">
        <f t="shared" si="201"/>
        <v>0</v>
      </c>
      <c r="ER141" s="12">
        <f t="shared" si="201"/>
        <v>0</v>
      </c>
      <c r="ES141" s="12">
        <f t="shared" si="201"/>
        <v>0</v>
      </c>
      <c r="ET141" s="12">
        <f t="shared" si="201"/>
        <v>0</v>
      </c>
      <c r="EU141" s="12">
        <f t="shared" si="201"/>
        <v>0</v>
      </c>
      <c r="EV141" s="12">
        <f t="shared" si="201"/>
        <v>0</v>
      </c>
      <c r="EW141" s="12">
        <f t="shared" si="201"/>
        <v>0</v>
      </c>
      <c r="EX141" s="12">
        <f t="shared" si="201"/>
        <v>0</v>
      </c>
      <c r="EY141" s="12">
        <f t="shared" si="201"/>
        <v>0</v>
      </c>
      <c r="EZ141" s="12">
        <f t="shared" si="201"/>
        <v>0</v>
      </c>
      <c r="FA141" s="12">
        <f t="shared" si="201"/>
        <v>0</v>
      </c>
      <c r="FB141" s="12">
        <f t="shared" si="201"/>
        <v>0</v>
      </c>
      <c r="FC141" s="12">
        <f t="shared" si="201"/>
        <v>0</v>
      </c>
      <c r="FD141" s="12">
        <f t="shared" si="201"/>
        <v>0</v>
      </c>
      <c r="FE141" s="12">
        <f t="shared" si="201"/>
        <v>0</v>
      </c>
      <c r="FF141" s="12">
        <f t="shared" si="201"/>
        <v>0</v>
      </c>
      <c r="FG141" s="12">
        <f t="shared" si="201"/>
        <v>0</v>
      </c>
      <c r="FH141" s="12">
        <f t="shared" si="201"/>
        <v>0</v>
      </c>
    </row>
    <row r="142" spans="1:164" x14ac:dyDescent="0.2">
      <c r="A142" s="10"/>
      <c r="B142" s="10"/>
      <c r="C142" s="10" t="s">
        <v>750</v>
      </c>
      <c r="D142" s="10"/>
      <c r="E142" s="10"/>
      <c r="F142" s="10"/>
      <c r="G142" s="10"/>
      <c r="H142" s="12">
        <f t="shared" si="196"/>
        <v>85983.659999999989</v>
      </c>
      <c r="I142" s="12">
        <f>IF(I$6&lt;$E$35,SUM($I140:I140),0)</f>
        <v>0</v>
      </c>
      <c r="J142" s="12">
        <f>IF(J$6&lt;$E$35,SUM($I140:J140),0)</f>
        <v>0</v>
      </c>
      <c r="K142" s="12">
        <f>IF(K$6&lt;$E$35,SUM($I140:K140),0)</f>
        <v>0</v>
      </c>
      <c r="L142" s="12">
        <f>IF(L$6&lt;$E$35,SUM($I140:L140),0)</f>
        <v>0</v>
      </c>
      <c r="M142" s="12">
        <f>IF(M$6&lt;$E$35,SUM($I140:M140),0)</f>
        <v>0</v>
      </c>
      <c r="N142" s="12">
        <f>IF(N$6&lt;$E$35,SUM($I140:N140),0)</f>
        <v>0</v>
      </c>
      <c r="O142" s="12">
        <f>IF(O$6&lt;$E$35,SUM($I140:O140),0)</f>
        <v>0</v>
      </c>
      <c r="P142" s="12">
        <f>IF(P$6&lt;$E$35,SUM($I140:P140),0)</f>
        <v>0</v>
      </c>
      <c r="Q142" s="12">
        <f>IF(Q$6&lt;$E$35,SUM($I140:Q140),0)</f>
        <v>0</v>
      </c>
      <c r="R142" s="12">
        <f>IF(R$6&lt;$E$35,SUM($I140:R140),0)</f>
        <v>0</v>
      </c>
      <c r="S142" s="12">
        <f>IF(S$6&lt;$E$35,SUM($I140:S140),0)</f>
        <v>0</v>
      </c>
      <c r="T142" s="12">
        <f>IF(T$6&lt;$E$35,SUM($I140:T140),0)</f>
        <v>0</v>
      </c>
      <c r="U142" s="12">
        <f>IF(U$6&lt;$E$35,SUM($I140:U140),0)</f>
        <v>0</v>
      </c>
      <c r="V142" s="12">
        <f>IF(V$6&lt;$E$35,SUM($I140:V140),0)</f>
        <v>0</v>
      </c>
      <c r="W142" s="12">
        <f>IF(W$6&lt;$E$35,SUM($I140:W140),0)</f>
        <v>0</v>
      </c>
      <c r="X142" s="12">
        <f>IF(X$6&lt;$E$35,SUM($I140:X140),0)</f>
        <v>0</v>
      </c>
      <c r="Y142" s="12">
        <f>IF(Y$6&lt;$E$35,SUM($I140:Y140),0)</f>
        <v>0</v>
      </c>
      <c r="Z142" s="12">
        <f>IF(Z$6&lt;$E$35,SUM($I140:Z140),0)</f>
        <v>0</v>
      </c>
      <c r="AA142" s="12">
        <f>IF(AA$6&lt;$E$35,SUM($I140:AA140),0)</f>
        <v>0</v>
      </c>
      <c r="AB142" s="12">
        <f>IF(AB$6&lt;$E$35,SUM($I140:AB140),0)</f>
        <v>0</v>
      </c>
      <c r="AC142" s="12">
        <f>IF(AC$6&lt;$E$35,SUM($I140:AC140),0)</f>
        <v>0</v>
      </c>
      <c r="AD142" s="12">
        <f>IF(AD$6&lt;$E$35,SUM($I140:AD140),0)</f>
        <v>0</v>
      </c>
      <c r="AE142" s="12">
        <f>IF(AE$6&lt;$E$35,SUM($I140:AE140),0)</f>
        <v>0</v>
      </c>
      <c r="AF142" s="12">
        <f>IF(AF$6&lt;$E$35,SUM($I140:AF140),0)</f>
        <v>0</v>
      </c>
      <c r="AG142" s="12">
        <f>IF(AG$6&lt;$E$35,SUM($I140:AG140),0)</f>
        <v>0</v>
      </c>
      <c r="AH142" s="12">
        <f>IF(AH$6&lt;$E$35,SUM($I140:AH140),0)</f>
        <v>0</v>
      </c>
      <c r="AI142" s="12">
        <f>IF(AI$6&lt;$E$35,SUM($I140:AI140),0)</f>
        <v>0</v>
      </c>
      <c r="AJ142" s="12">
        <f>IF(AJ$6&lt;$E$35,SUM($I140:AJ140),0)</f>
        <v>0</v>
      </c>
      <c r="AK142" s="12">
        <f>IF(AK$6&lt;$E$35,SUM($I140:AK140),0)</f>
        <v>0</v>
      </c>
      <c r="AL142" s="12">
        <f>IF(AL$6&lt;$E$35,SUM($I140:AL140),0)</f>
        <v>0</v>
      </c>
      <c r="AM142" s="12">
        <f>IF(AM$6&lt;$E$35,SUM($I140:AM140),0)</f>
        <v>0</v>
      </c>
      <c r="AN142" s="12">
        <f>IF(AN$6&lt;$E$35,SUM($I140:AN140),0)</f>
        <v>0</v>
      </c>
      <c r="AO142" s="12">
        <f>IF(AO$6&lt;$E$35,SUM($I140:AO140),0)</f>
        <v>0</v>
      </c>
      <c r="AP142" s="12">
        <f>IF(AP$6&lt;$E$35,SUM($I140:AP140),0)</f>
        <v>0</v>
      </c>
      <c r="AQ142" s="12">
        <f>IF(AQ$6&lt;$E$35,SUM($I140:AQ140),0)</f>
        <v>0</v>
      </c>
      <c r="AR142" s="12">
        <f>IF(AR$6&lt;$E$35,SUM($I140:AR140),0)</f>
        <v>0</v>
      </c>
      <c r="AS142" s="12">
        <f>IF(AS$6&lt;$E$35,SUM($I140:AS140),0)</f>
        <v>113.73499999999997</v>
      </c>
      <c r="AT142" s="12">
        <f>IF(AT$6&lt;$E$35,SUM($I140:AT140),0)</f>
        <v>230.24402439024385</v>
      </c>
      <c r="AU142" s="12">
        <f>IF(AU$6&lt;$E$35,SUM($I140:AU140),0)</f>
        <v>349.66577439024383</v>
      </c>
      <c r="AV142" s="12">
        <f>IF(AV$6&lt;$E$35,SUM($I140:AV140),0)</f>
        <v>472.14962054408994</v>
      </c>
      <c r="AW142" s="12">
        <f>IF(AW$6&lt;$E$35,SUM($I140:AW140),0)</f>
        <v>597.85672580724781</v>
      </c>
      <c r="AX142" s="12">
        <f>IF(AX$6&lt;$E$35,SUM($I140:AX140),0)</f>
        <v>726.96132040184239</v>
      </c>
      <c r="AY142" s="12">
        <f>IF(AY$6&lt;$E$35,SUM($I140:AY140),0)</f>
        <v>771.1915981796202</v>
      </c>
      <c r="AZ142" s="12">
        <f>IF(AZ$6&lt;$E$35,SUM($I140:AZ140),0)</f>
        <v>816.68559817962023</v>
      </c>
      <c r="BA142" s="12">
        <f>IF(BA$6&lt;$E$35,SUM($I140:BA140),0)</f>
        <v>863.51765700314968</v>
      </c>
      <c r="BB142" s="12">
        <f>IF(BB$6&lt;$E$35,SUM($I140:BB140),0)</f>
        <v>911.7688691243618</v>
      </c>
      <c r="BC142" s="12">
        <f>IF(BC$6&lt;$E$35,SUM($I140:BC140),0)</f>
        <v>961.52793162436183</v>
      </c>
      <c r="BD142" s="12">
        <f>IF(BD$6&lt;$E$35,SUM($I140:BD140),0)</f>
        <v>1012.8921251727489</v>
      </c>
      <c r="BE142" s="12">
        <f>IF(BE$6&lt;$E$35,SUM($I140:BE140),0)</f>
        <v>1065.9684585060822</v>
      </c>
      <c r="BF142" s="12">
        <f>IF(BF$6&lt;$E$35,SUM($I140:BF140),0)</f>
        <v>1120.8750102302201</v>
      </c>
      <c r="BG142" s="12">
        <f>IF(BG$6&lt;$E$35,SUM($I140:BG140),0)</f>
        <v>1177.7425102302202</v>
      </c>
      <c r="BH142" s="12">
        <f>IF(BH$6&lt;$E$35,SUM($I140:BH140),0)</f>
        <v>1236.7162139339239</v>
      </c>
      <c r="BI142" s="12">
        <f>IF(BI$6&lt;$E$35,SUM($I140:BI140),0)</f>
        <v>1297.9581370108469</v>
      </c>
      <c r="BJ142" s="12">
        <f>IF(BJ$6&lt;$E$35,SUM($I140:BJ140),0)</f>
        <v>1361.6497370108468</v>
      </c>
      <c r="BK142" s="12">
        <f>IF(BK$6&lt;$E$35,SUM($I140:BK140),0)</f>
        <v>1427.9951536775134</v>
      </c>
      <c r="BL142" s="12">
        <f>IF(BL$6&lt;$E$35,SUM($I140:BL140),0)</f>
        <v>1497.2251536775134</v>
      </c>
      <c r="BM142" s="12">
        <f>IF(BM$6&lt;$E$35,SUM($I140:BM140),0)</f>
        <v>1569.6019718593316</v>
      </c>
      <c r="BN142" s="12">
        <f>IF(BN$6&lt;$E$35,SUM($I140:BN140),0)</f>
        <v>1645.4253051926648</v>
      </c>
      <c r="BO142" s="12">
        <f>IF(BO$6&lt;$E$35,SUM($I140:BO140),0)</f>
        <v>1725.0398051926647</v>
      </c>
      <c r="BP142" s="12">
        <f>IF(BP$6&lt;$E$35,SUM($I140:BP140),0)</f>
        <v>1808.84454203477</v>
      </c>
      <c r="BQ142" s="12">
        <f>IF(BQ$6&lt;$E$35,SUM($I140:BQ140),0)</f>
        <v>1897.3050975903257</v>
      </c>
      <c r="BR142" s="12">
        <f>IF(BR$6&lt;$E$35,SUM($I140:BR140),0)</f>
        <v>1990.9692152373846</v>
      </c>
      <c r="BS142" s="12">
        <f>IF(BS$6&lt;$E$35,SUM($I140:BS140),0)</f>
        <v>2090.4873402373846</v>
      </c>
      <c r="BT142" s="12">
        <f>IF(BT$6&lt;$E$35,SUM($I140:BT140),0)</f>
        <v>2196.6400069040515</v>
      </c>
      <c r="BU142" s="12">
        <f>IF(BU$6&lt;$E$35,SUM($I140:BU140),0)</f>
        <v>2310.3750069040516</v>
      </c>
      <c r="BV142" s="12">
        <f>IF(BV$6&lt;$E$35,SUM($I140:BV140),0)</f>
        <v>2432.8588530578977</v>
      </c>
      <c r="BW142" s="12">
        <f>IF(BW$6&lt;$E$35,SUM($I140:BW140),0)</f>
        <v>2565.5496863912308</v>
      </c>
      <c r="BX142" s="12">
        <f>IF(BX$6&lt;$E$35,SUM($I140:BX140),0)</f>
        <v>2710.3033227548672</v>
      </c>
      <c r="BY142" s="12">
        <f>IF(BY$6&lt;$E$35,SUM($I140:BY140),0)</f>
        <v>2869.532322754867</v>
      </c>
      <c r="BZ142" s="12">
        <f>IF(BZ$6&lt;$E$35,SUM($I140:BZ140),0)</f>
        <v>3046.4534338659782</v>
      </c>
      <c r="CA142" s="12">
        <f>IF(CA$6&lt;$E$35,SUM($I140:CA140),0)</f>
        <v>3245.4896838659783</v>
      </c>
      <c r="CB142" s="12">
        <f>IF(CB$6&lt;$E$35,SUM($I140:CB140),0)</f>
        <v>3472.9596838659781</v>
      </c>
      <c r="CC142" s="12">
        <f>IF(CC$6&lt;$E$35,SUM($I140:CC140),0)</f>
        <v>3738.3413505326448</v>
      </c>
      <c r="CD142" s="12">
        <f>IF(CD$6&lt;$E$35,SUM($I140:CD140),0)</f>
        <v>4056.7993505326449</v>
      </c>
      <c r="CE142" s="12">
        <f>IF(CE$6&lt;$E$35,SUM($I140:CE140),0)</f>
        <v>4454.8718505326451</v>
      </c>
      <c r="CF142" s="12">
        <f>IF(CF$6&lt;$E$35,SUM($I140:CF140),0)</f>
        <v>4985.6351838659784</v>
      </c>
      <c r="CG142" s="12">
        <f>IF(CG$6&lt;$E$35,SUM($I140:CG140),0)</f>
        <v>5781.780183865978</v>
      </c>
      <c r="CH142" s="12">
        <f>IF(CH$6&lt;$E$35,SUM($I140:CH140),0)</f>
        <v>7374.0701838659779</v>
      </c>
      <c r="CI142" s="12">
        <f>IF(CI$6&lt;$E$35,SUM($I140:CI140),0)</f>
        <v>0</v>
      </c>
      <c r="CJ142" s="12">
        <f>IF(CJ$6&lt;$E$35,SUM($I140:CJ140),0)</f>
        <v>0</v>
      </c>
      <c r="CK142" s="12">
        <f>IF(CK$6&lt;$E$35,SUM($I140:CK140),0)</f>
        <v>0</v>
      </c>
      <c r="CL142" s="12">
        <f>IF(CL$6&lt;$E$35,SUM($I140:CL140),0)</f>
        <v>0</v>
      </c>
      <c r="CM142" s="12">
        <f>IF(CM$6&lt;$E$35,SUM($I140:CM140),0)</f>
        <v>0</v>
      </c>
      <c r="CN142" s="12">
        <f>IF(CN$6&lt;$E$35,SUM($I140:CN140),0)</f>
        <v>0</v>
      </c>
      <c r="CO142" s="12">
        <f>IF(CO$6&lt;$E$35,SUM($I140:CO140),0)</f>
        <v>0</v>
      </c>
      <c r="CP142" s="12">
        <f>IF(CP$6&lt;$E$35,SUM($I140:CP140),0)</f>
        <v>0</v>
      </c>
      <c r="CQ142" s="12">
        <f>IF(CQ$6&lt;$E$35,SUM($I140:CQ140),0)</f>
        <v>0</v>
      </c>
      <c r="CR142" s="12">
        <f>IF(CR$6&lt;$E$35,SUM($I140:CR140),0)</f>
        <v>0</v>
      </c>
      <c r="CS142" s="12">
        <f>IF(CS$6&lt;$E$35,SUM($I140:CS140),0)</f>
        <v>0</v>
      </c>
      <c r="CT142" s="12">
        <f>IF(CT$6&lt;$E$35,SUM($I140:CT140),0)</f>
        <v>0</v>
      </c>
      <c r="CU142" s="12">
        <f>IF(CU$6&lt;$E$35,SUM($I140:CU140),0)</f>
        <v>0</v>
      </c>
      <c r="CV142" s="12">
        <f>IF(CV$6&lt;$E$35,SUM($I140:CV140),0)</f>
        <v>0</v>
      </c>
      <c r="CW142" s="12">
        <f>IF(CW$6&lt;$E$35,SUM($I140:CW140),0)</f>
        <v>0</v>
      </c>
      <c r="CX142" s="12">
        <f>IF(CX$6&lt;$E$35,SUM($I140:CX140),0)</f>
        <v>0</v>
      </c>
      <c r="CY142" s="12">
        <f>IF(CY$6&lt;$E$35,SUM($I140:CY140),0)</f>
        <v>0</v>
      </c>
      <c r="CZ142" s="12">
        <f>IF(CZ$6&lt;$E$35,SUM($I140:CZ140),0)</f>
        <v>0</v>
      </c>
      <c r="DA142" s="12">
        <f>IF(DA$6&lt;$E$35,SUM($I140:DA140),0)</f>
        <v>0</v>
      </c>
      <c r="DB142" s="12">
        <f>IF(DB$6&lt;$E$35,SUM($I140:DB140),0)</f>
        <v>0</v>
      </c>
      <c r="DC142" s="12">
        <f>IF(DC$6&lt;$E$35,SUM($I140:DC140),0)</f>
        <v>0</v>
      </c>
      <c r="DD142" s="12">
        <f>IF(DD$6&lt;$E$35,SUM($I140:DD140),0)</f>
        <v>0</v>
      </c>
      <c r="DE142" s="12">
        <f>IF(DE$6&lt;$E$35,SUM($I140:DE140),0)</f>
        <v>0</v>
      </c>
      <c r="DF142" s="12">
        <f>IF(DF$6&lt;$E$35,SUM($I140:DF140),0)</f>
        <v>0</v>
      </c>
      <c r="DG142" s="12">
        <f>IF(DG$6&lt;$E$35,SUM($I140:DG140),0)</f>
        <v>0</v>
      </c>
      <c r="DH142" s="12">
        <f>IF(DH$6&lt;$E$35,SUM($I140:DH140),0)</f>
        <v>0</v>
      </c>
      <c r="DI142" s="12">
        <f>IF(DI$6&lt;$E$35,SUM($I140:DI140),0)</f>
        <v>0</v>
      </c>
      <c r="DJ142" s="12">
        <f>IF(DJ$6&lt;$E$35,SUM($I140:DJ140),0)</f>
        <v>0</v>
      </c>
      <c r="DK142" s="12">
        <f>IF(DK$6&lt;$E$35,SUM($I140:DK140),0)</f>
        <v>0</v>
      </c>
      <c r="DL142" s="12">
        <f>IF(DL$6&lt;$E$35,SUM($I140:DL140),0)</f>
        <v>0</v>
      </c>
      <c r="DM142" s="12">
        <f>IF(DM$6&lt;$E$35,SUM($I140:DM140),0)</f>
        <v>0</v>
      </c>
      <c r="DN142" s="12">
        <f>IF(DN$6&lt;$E$35,SUM($I140:DN140),0)</f>
        <v>0</v>
      </c>
      <c r="DO142" s="12">
        <f>IF(DO$6&lt;$E$35,SUM($I140:DO140),0)</f>
        <v>0</v>
      </c>
      <c r="DP142" s="12">
        <f>IF(DP$6&lt;$E$35,SUM($I140:DP140),0)</f>
        <v>0</v>
      </c>
      <c r="DQ142" s="12">
        <f>IF(DQ$6&lt;$E$35,SUM($I140:DQ140),0)</f>
        <v>0</v>
      </c>
      <c r="DR142" s="12">
        <f>IF(DR$6&lt;$E$35,SUM($I140:DR140),0)</f>
        <v>0</v>
      </c>
      <c r="DS142" s="12">
        <f>IF(DS$6&lt;$E$35,SUM($I140:DS140),0)</f>
        <v>0</v>
      </c>
      <c r="DT142" s="12">
        <f>IF(DT$6&lt;$E$35,SUM($I140:DT140),0)</f>
        <v>0</v>
      </c>
      <c r="DU142" s="12">
        <f>IF(DU$6&lt;$E$35,SUM($I140:DU140),0)</f>
        <v>0</v>
      </c>
      <c r="DV142" s="12">
        <f>IF(DV$6&lt;$E$35,SUM($I140:DV140),0)</f>
        <v>0</v>
      </c>
      <c r="DW142" s="12">
        <f>IF(DW$6&lt;$E$35,SUM($I140:DW140),0)</f>
        <v>0</v>
      </c>
      <c r="DX142" s="12">
        <f>IF(DX$6&lt;$E$35,SUM($I140:DX140),0)</f>
        <v>0</v>
      </c>
      <c r="DY142" s="12">
        <f>IF(DY$6&lt;$E$35,SUM($I140:DY140),0)</f>
        <v>0</v>
      </c>
      <c r="DZ142" s="12">
        <f>IF(DZ$6&lt;$E$35,SUM($I140:DZ140),0)</f>
        <v>0</v>
      </c>
      <c r="EA142" s="12">
        <f>IF(EA$6&lt;$E$35,SUM($I140:EA140),0)</f>
        <v>0</v>
      </c>
      <c r="EB142" s="12">
        <f>IF(EB$6&lt;$E$35,SUM($I140:EB140),0)</f>
        <v>0</v>
      </c>
      <c r="EC142" s="12">
        <f>IF(EC$6&lt;$E$35,SUM($I140:EC140),0)</f>
        <v>0</v>
      </c>
      <c r="ED142" s="12">
        <f>IF(ED$6&lt;$E$35,SUM($I140:ED140),0)</f>
        <v>0</v>
      </c>
      <c r="EE142" s="12">
        <f>IF(EE$6&lt;$E$35,SUM($I140:EE140),0)</f>
        <v>0</v>
      </c>
      <c r="EF142" s="12">
        <f>IF(EF$6&lt;$E$35,SUM($I140:EF140),0)</f>
        <v>0</v>
      </c>
      <c r="EG142" s="12">
        <f>IF(EG$6&lt;$E$35,SUM($I140:EG140),0)</f>
        <v>0</v>
      </c>
      <c r="EH142" s="12">
        <f>IF(EH$6&lt;$E$35,SUM($I140:EH140),0)</f>
        <v>0</v>
      </c>
      <c r="EI142" s="12">
        <f>IF(EI$6&lt;$E$35,SUM($I140:EI140),0)</f>
        <v>0</v>
      </c>
      <c r="EJ142" s="12">
        <f>IF(EJ$6&lt;$E$35,SUM($I140:EJ140),0)</f>
        <v>0</v>
      </c>
      <c r="EK142" s="12">
        <f>IF(EK$6&lt;$E$35,SUM($I140:EK140),0)</f>
        <v>0</v>
      </c>
      <c r="EL142" s="12">
        <f>IF(EL$6&lt;$E$35,SUM($I140:EL140),0)</f>
        <v>0</v>
      </c>
      <c r="EM142" s="12">
        <f>IF(EM$6&lt;$E$35,SUM($I140:EM140),0)</f>
        <v>0</v>
      </c>
      <c r="EN142" s="12">
        <f>IF(EN$6&lt;$E$35,SUM($I140:EN140),0)</f>
        <v>0</v>
      </c>
      <c r="EO142" s="12">
        <f>IF(EO$6&lt;$E$35,SUM($I140:EO140),0)</f>
        <v>0</v>
      </c>
      <c r="EP142" s="12">
        <f>IF(EP$6&lt;$E$35,SUM($I140:EP140),0)</f>
        <v>0</v>
      </c>
      <c r="EQ142" s="12">
        <f>IF(EQ$6&lt;$E$35,SUM($I140:EQ140),0)</f>
        <v>0</v>
      </c>
      <c r="ER142" s="12">
        <f>IF(ER$6&lt;$E$35,SUM($I140:ER140),0)</f>
        <v>0</v>
      </c>
      <c r="ES142" s="12">
        <f>IF(ES$6&lt;$E$35,SUM($I140:ES140),0)</f>
        <v>0</v>
      </c>
      <c r="ET142" s="12">
        <f>IF(ET$6&lt;$E$35,SUM($I140:ET140),0)</f>
        <v>0</v>
      </c>
      <c r="EU142" s="12">
        <f>IF(EU$6&lt;$E$35,SUM($I140:EU140),0)</f>
        <v>0</v>
      </c>
      <c r="EV142" s="12">
        <f>IF(EV$6&lt;$E$35,SUM($I140:EV140),0)</f>
        <v>0</v>
      </c>
      <c r="EW142" s="12">
        <f>IF(EW$6&lt;$E$35,SUM($I140:EW140),0)</f>
        <v>0</v>
      </c>
      <c r="EX142" s="12">
        <f>IF(EX$6&lt;$E$35,SUM($I140:EX140),0)</f>
        <v>0</v>
      </c>
      <c r="EY142" s="12">
        <f>IF(EY$6&lt;$E$35,SUM($I140:EY140),0)</f>
        <v>0</v>
      </c>
      <c r="EZ142" s="12">
        <f>IF(EZ$6&lt;$E$35,SUM($I140:EZ140),0)</f>
        <v>0</v>
      </c>
      <c r="FA142" s="12">
        <f>IF(FA$6&lt;$E$35,SUM($I140:FA140),0)</f>
        <v>0</v>
      </c>
      <c r="FB142" s="12">
        <f>IF(FB$6&lt;$E$35,SUM($I140:FB140),0)</f>
        <v>0</v>
      </c>
      <c r="FC142" s="12">
        <f>IF(FC$6&lt;$E$35,SUM($I140:FC140),0)</f>
        <v>0</v>
      </c>
      <c r="FD142" s="12">
        <f>IF(FD$6&lt;$E$35,SUM($I140:FD140),0)</f>
        <v>0</v>
      </c>
      <c r="FE142" s="12">
        <f>IF(FE$6&lt;$E$35,SUM($I140:FE140),0)</f>
        <v>0</v>
      </c>
      <c r="FF142" s="12">
        <f>IF(FF$6&lt;$E$35,SUM($I140:FF140),0)</f>
        <v>0</v>
      </c>
      <c r="FG142" s="12">
        <f>IF(FG$6&lt;$E$35,SUM($I140:FG140),0)</f>
        <v>0</v>
      </c>
      <c r="FH142" s="12">
        <f>IF(FH$6&lt;$E$35,SUM($I140:FH140),0)</f>
        <v>0</v>
      </c>
    </row>
    <row r="143" spans="1:164" x14ac:dyDescent="0.2">
      <c r="A143" s="10"/>
      <c r="B143" s="10"/>
      <c r="C143" s="10" t="s">
        <v>709</v>
      </c>
      <c r="D143" s="10"/>
      <c r="E143" s="10"/>
      <c r="F143" s="10"/>
      <c r="G143" s="10"/>
      <c r="H143" s="12">
        <f t="shared" si="196"/>
        <v>28661.220000000008</v>
      </c>
      <c r="I143" s="12">
        <f t="shared" ref="I143:AN143" si="202">IF(I$6=$E$35,SUMIF($I$6:$FH$6,"&lt;"&amp;$E$35,$I$139:$FH$139)*$E$51,0)</f>
        <v>0</v>
      </c>
      <c r="J143" s="12">
        <f t="shared" si="202"/>
        <v>0</v>
      </c>
      <c r="K143" s="12">
        <f t="shared" si="202"/>
        <v>0</v>
      </c>
      <c r="L143" s="12">
        <f t="shared" si="202"/>
        <v>0</v>
      </c>
      <c r="M143" s="12">
        <f t="shared" si="202"/>
        <v>0</v>
      </c>
      <c r="N143" s="12">
        <f t="shared" si="202"/>
        <v>0</v>
      </c>
      <c r="O143" s="12">
        <f t="shared" si="202"/>
        <v>0</v>
      </c>
      <c r="P143" s="12">
        <f t="shared" si="202"/>
        <v>0</v>
      </c>
      <c r="Q143" s="12">
        <f t="shared" si="202"/>
        <v>0</v>
      </c>
      <c r="R143" s="12">
        <f t="shared" si="202"/>
        <v>0</v>
      </c>
      <c r="S143" s="12">
        <f t="shared" si="202"/>
        <v>0</v>
      </c>
      <c r="T143" s="12">
        <f t="shared" si="202"/>
        <v>0</v>
      </c>
      <c r="U143" s="12">
        <f t="shared" si="202"/>
        <v>0</v>
      </c>
      <c r="V143" s="12">
        <f t="shared" si="202"/>
        <v>0</v>
      </c>
      <c r="W143" s="12">
        <f t="shared" si="202"/>
        <v>0</v>
      </c>
      <c r="X143" s="12">
        <f t="shared" si="202"/>
        <v>0</v>
      </c>
      <c r="Y143" s="12">
        <f t="shared" si="202"/>
        <v>0</v>
      </c>
      <c r="Z143" s="12">
        <f t="shared" si="202"/>
        <v>0</v>
      </c>
      <c r="AA143" s="12">
        <f t="shared" si="202"/>
        <v>0</v>
      </c>
      <c r="AB143" s="12">
        <f t="shared" si="202"/>
        <v>0</v>
      </c>
      <c r="AC143" s="12">
        <f t="shared" si="202"/>
        <v>0</v>
      </c>
      <c r="AD143" s="12">
        <f t="shared" si="202"/>
        <v>0</v>
      </c>
      <c r="AE143" s="12">
        <f t="shared" si="202"/>
        <v>0</v>
      </c>
      <c r="AF143" s="12">
        <f t="shared" si="202"/>
        <v>0</v>
      </c>
      <c r="AG143" s="12">
        <f t="shared" si="202"/>
        <v>0</v>
      </c>
      <c r="AH143" s="12">
        <f t="shared" si="202"/>
        <v>0</v>
      </c>
      <c r="AI143" s="12">
        <f t="shared" si="202"/>
        <v>0</v>
      </c>
      <c r="AJ143" s="12">
        <f t="shared" si="202"/>
        <v>0</v>
      </c>
      <c r="AK143" s="12">
        <f t="shared" si="202"/>
        <v>0</v>
      </c>
      <c r="AL143" s="12">
        <f t="shared" si="202"/>
        <v>0</v>
      </c>
      <c r="AM143" s="12">
        <f t="shared" si="202"/>
        <v>0</v>
      </c>
      <c r="AN143" s="12">
        <f t="shared" si="202"/>
        <v>0</v>
      </c>
      <c r="AO143" s="12">
        <f t="shared" ref="AO143:BT143" si="203">IF(AO$6=$E$35,SUMIF($I$6:$FH$6,"&lt;"&amp;$E$35,$I$139:$FH$139)*$E$51,0)</f>
        <v>0</v>
      </c>
      <c r="AP143" s="12">
        <f t="shared" si="203"/>
        <v>0</v>
      </c>
      <c r="AQ143" s="12">
        <f t="shared" si="203"/>
        <v>0</v>
      </c>
      <c r="AR143" s="12">
        <f t="shared" si="203"/>
        <v>0</v>
      </c>
      <c r="AS143" s="12">
        <f t="shared" si="203"/>
        <v>0</v>
      </c>
      <c r="AT143" s="12">
        <f t="shared" si="203"/>
        <v>0</v>
      </c>
      <c r="AU143" s="12">
        <f t="shared" si="203"/>
        <v>0</v>
      </c>
      <c r="AV143" s="12">
        <f t="shared" si="203"/>
        <v>0</v>
      </c>
      <c r="AW143" s="12">
        <f t="shared" si="203"/>
        <v>0</v>
      </c>
      <c r="AX143" s="12">
        <f t="shared" si="203"/>
        <v>0</v>
      </c>
      <c r="AY143" s="12">
        <f t="shared" si="203"/>
        <v>0</v>
      </c>
      <c r="AZ143" s="12">
        <f t="shared" si="203"/>
        <v>0</v>
      </c>
      <c r="BA143" s="12">
        <f t="shared" si="203"/>
        <v>0</v>
      </c>
      <c r="BB143" s="12">
        <f t="shared" si="203"/>
        <v>0</v>
      </c>
      <c r="BC143" s="12">
        <f t="shared" si="203"/>
        <v>0</v>
      </c>
      <c r="BD143" s="12">
        <f t="shared" si="203"/>
        <v>0</v>
      </c>
      <c r="BE143" s="12">
        <f t="shared" si="203"/>
        <v>0</v>
      </c>
      <c r="BF143" s="12">
        <f t="shared" si="203"/>
        <v>0</v>
      </c>
      <c r="BG143" s="12">
        <f t="shared" si="203"/>
        <v>0</v>
      </c>
      <c r="BH143" s="12">
        <f t="shared" si="203"/>
        <v>0</v>
      </c>
      <c r="BI143" s="12">
        <f t="shared" si="203"/>
        <v>0</v>
      </c>
      <c r="BJ143" s="12">
        <f t="shared" si="203"/>
        <v>0</v>
      </c>
      <c r="BK143" s="12">
        <f t="shared" si="203"/>
        <v>0</v>
      </c>
      <c r="BL143" s="12">
        <f t="shared" si="203"/>
        <v>0</v>
      </c>
      <c r="BM143" s="12">
        <f t="shared" si="203"/>
        <v>0</v>
      </c>
      <c r="BN143" s="12">
        <f t="shared" si="203"/>
        <v>0</v>
      </c>
      <c r="BO143" s="12">
        <f t="shared" si="203"/>
        <v>0</v>
      </c>
      <c r="BP143" s="12">
        <f t="shared" si="203"/>
        <v>0</v>
      </c>
      <c r="BQ143" s="12">
        <f t="shared" si="203"/>
        <v>0</v>
      </c>
      <c r="BR143" s="12">
        <f t="shared" si="203"/>
        <v>0</v>
      </c>
      <c r="BS143" s="12">
        <f t="shared" si="203"/>
        <v>0</v>
      </c>
      <c r="BT143" s="12">
        <f t="shared" si="203"/>
        <v>0</v>
      </c>
      <c r="BU143" s="12">
        <f t="shared" ref="BU143:CZ143" si="204">IF(BU$6=$E$35,SUMIF($I$6:$FH$6,"&lt;"&amp;$E$35,$I$139:$FH$139)*$E$51,0)</f>
        <v>0</v>
      </c>
      <c r="BV143" s="12">
        <f t="shared" si="204"/>
        <v>0</v>
      </c>
      <c r="BW143" s="12">
        <f t="shared" si="204"/>
        <v>0</v>
      </c>
      <c r="BX143" s="12">
        <f t="shared" si="204"/>
        <v>0</v>
      </c>
      <c r="BY143" s="12">
        <f t="shared" si="204"/>
        <v>0</v>
      </c>
      <c r="BZ143" s="12">
        <f t="shared" si="204"/>
        <v>0</v>
      </c>
      <c r="CA143" s="12">
        <f t="shared" si="204"/>
        <v>0</v>
      </c>
      <c r="CB143" s="12">
        <f t="shared" si="204"/>
        <v>0</v>
      </c>
      <c r="CC143" s="12">
        <f t="shared" si="204"/>
        <v>0</v>
      </c>
      <c r="CD143" s="12">
        <f t="shared" si="204"/>
        <v>0</v>
      </c>
      <c r="CE143" s="12">
        <f t="shared" si="204"/>
        <v>0</v>
      </c>
      <c r="CF143" s="12">
        <f t="shared" si="204"/>
        <v>0</v>
      </c>
      <c r="CG143" s="12">
        <f t="shared" si="204"/>
        <v>0</v>
      </c>
      <c r="CH143" s="12">
        <f t="shared" si="204"/>
        <v>0</v>
      </c>
      <c r="CI143" s="12">
        <f t="shared" si="204"/>
        <v>28661.220000000008</v>
      </c>
      <c r="CJ143" s="12">
        <f t="shared" si="204"/>
        <v>0</v>
      </c>
      <c r="CK143" s="12">
        <f t="shared" si="204"/>
        <v>0</v>
      </c>
      <c r="CL143" s="12">
        <f t="shared" si="204"/>
        <v>0</v>
      </c>
      <c r="CM143" s="12">
        <f t="shared" si="204"/>
        <v>0</v>
      </c>
      <c r="CN143" s="12">
        <f t="shared" si="204"/>
        <v>0</v>
      </c>
      <c r="CO143" s="12">
        <f t="shared" si="204"/>
        <v>0</v>
      </c>
      <c r="CP143" s="12">
        <f t="shared" si="204"/>
        <v>0</v>
      </c>
      <c r="CQ143" s="12">
        <f t="shared" si="204"/>
        <v>0</v>
      </c>
      <c r="CR143" s="12">
        <f t="shared" si="204"/>
        <v>0</v>
      </c>
      <c r="CS143" s="12">
        <f t="shared" si="204"/>
        <v>0</v>
      </c>
      <c r="CT143" s="12">
        <f t="shared" si="204"/>
        <v>0</v>
      </c>
      <c r="CU143" s="12">
        <f t="shared" si="204"/>
        <v>0</v>
      </c>
      <c r="CV143" s="12">
        <f t="shared" si="204"/>
        <v>0</v>
      </c>
      <c r="CW143" s="12">
        <f t="shared" si="204"/>
        <v>0</v>
      </c>
      <c r="CX143" s="12">
        <f t="shared" si="204"/>
        <v>0</v>
      </c>
      <c r="CY143" s="12">
        <f t="shared" si="204"/>
        <v>0</v>
      </c>
      <c r="CZ143" s="12">
        <f t="shared" si="204"/>
        <v>0</v>
      </c>
      <c r="DA143" s="12">
        <f t="shared" ref="DA143:EF143" si="205">IF(DA$6=$E$35,SUMIF($I$6:$FH$6,"&lt;"&amp;$E$35,$I$139:$FH$139)*$E$51,0)</f>
        <v>0</v>
      </c>
      <c r="DB143" s="12">
        <f t="shared" si="205"/>
        <v>0</v>
      </c>
      <c r="DC143" s="12">
        <f t="shared" si="205"/>
        <v>0</v>
      </c>
      <c r="DD143" s="12">
        <f t="shared" si="205"/>
        <v>0</v>
      </c>
      <c r="DE143" s="12">
        <f t="shared" si="205"/>
        <v>0</v>
      </c>
      <c r="DF143" s="12">
        <f t="shared" si="205"/>
        <v>0</v>
      </c>
      <c r="DG143" s="12">
        <f t="shared" si="205"/>
        <v>0</v>
      </c>
      <c r="DH143" s="12">
        <f t="shared" si="205"/>
        <v>0</v>
      </c>
      <c r="DI143" s="12">
        <f t="shared" si="205"/>
        <v>0</v>
      </c>
      <c r="DJ143" s="12">
        <f t="shared" si="205"/>
        <v>0</v>
      </c>
      <c r="DK143" s="12">
        <f t="shared" si="205"/>
        <v>0</v>
      </c>
      <c r="DL143" s="12">
        <f t="shared" si="205"/>
        <v>0</v>
      </c>
      <c r="DM143" s="12">
        <f t="shared" si="205"/>
        <v>0</v>
      </c>
      <c r="DN143" s="12">
        <f t="shared" si="205"/>
        <v>0</v>
      </c>
      <c r="DO143" s="12">
        <f t="shared" si="205"/>
        <v>0</v>
      </c>
      <c r="DP143" s="12">
        <f t="shared" si="205"/>
        <v>0</v>
      </c>
      <c r="DQ143" s="12">
        <f t="shared" si="205"/>
        <v>0</v>
      </c>
      <c r="DR143" s="12">
        <f t="shared" si="205"/>
        <v>0</v>
      </c>
      <c r="DS143" s="12">
        <f t="shared" si="205"/>
        <v>0</v>
      </c>
      <c r="DT143" s="12">
        <f t="shared" si="205"/>
        <v>0</v>
      </c>
      <c r="DU143" s="12">
        <f t="shared" si="205"/>
        <v>0</v>
      </c>
      <c r="DV143" s="12">
        <f t="shared" si="205"/>
        <v>0</v>
      </c>
      <c r="DW143" s="12">
        <f t="shared" si="205"/>
        <v>0</v>
      </c>
      <c r="DX143" s="12">
        <f t="shared" si="205"/>
        <v>0</v>
      </c>
      <c r="DY143" s="12">
        <f t="shared" si="205"/>
        <v>0</v>
      </c>
      <c r="DZ143" s="12">
        <f t="shared" si="205"/>
        <v>0</v>
      </c>
      <c r="EA143" s="12">
        <f t="shared" si="205"/>
        <v>0</v>
      </c>
      <c r="EB143" s="12">
        <f t="shared" si="205"/>
        <v>0</v>
      </c>
      <c r="EC143" s="12">
        <f t="shared" si="205"/>
        <v>0</v>
      </c>
      <c r="ED143" s="12">
        <f t="shared" si="205"/>
        <v>0</v>
      </c>
      <c r="EE143" s="12">
        <f t="shared" si="205"/>
        <v>0</v>
      </c>
      <c r="EF143" s="12">
        <f t="shared" si="205"/>
        <v>0</v>
      </c>
      <c r="EG143" s="12">
        <f t="shared" ref="EG143:FH143" si="206">IF(EG$6=$E$35,SUMIF($I$6:$FH$6,"&lt;"&amp;$E$35,$I$139:$FH$139)*$E$51,0)</f>
        <v>0</v>
      </c>
      <c r="EH143" s="12">
        <f t="shared" si="206"/>
        <v>0</v>
      </c>
      <c r="EI143" s="12">
        <f t="shared" si="206"/>
        <v>0</v>
      </c>
      <c r="EJ143" s="12">
        <f t="shared" si="206"/>
        <v>0</v>
      </c>
      <c r="EK143" s="12">
        <f t="shared" si="206"/>
        <v>0</v>
      </c>
      <c r="EL143" s="12">
        <f t="shared" si="206"/>
        <v>0</v>
      </c>
      <c r="EM143" s="12">
        <f t="shared" si="206"/>
        <v>0</v>
      </c>
      <c r="EN143" s="12">
        <f t="shared" si="206"/>
        <v>0</v>
      </c>
      <c r="EO143" s="12">
        <f t="shared" si="206"/>
        <v>0</v>
      </c>
      <c r="EP143" s="12">
        <f t="shared" si="206"/>
        <v>0</v>
      </c>
      <c r="EQ143" s="12">
        <f t="shared" si="206"/>
        <v>0</v>
      </c>
      <c r="ER143" s="12">
        <f t="shared" si="206"/>
        <v>0</v>
      </c>
      <c r="ES143" s="12">
        <f t="shared" si="206"/>
        <v>0</v>
      </c>
      <c r="ET143" s="12">
        <f t="shared" si="206"/>
        <v>0</v>
      </c>
      <c r="EU143" s="12">
        <f t="shared" si="206"/>
        <v>0</v>
      </c>
      <c r="EV143" s="12">
        <f t="shared" si="206"/>
        <v>0</v>
      </c>
      <c r="EW143" s="12">
        <f t="shared" si="206"/>
        <v>0</v>
      </c>
      <c r="EX143" s="12">
        <f t="shared" si="206"/>
        <v>0</v>
      </c>
      <c r="EY143" s="12">
        <f t="shared" si="206"/>
        <v>0</v>
      </c>
      <c r="EZ143" s="12">
        <f t="shared" si="206"/>
        <v>0</v>
      </c>
      <c r="FA143" s="12">
        <f t="shared" si="206"/>
        <v>0</v>
      </c>
      <c r="FB143" s="12">
        <f t="shared" si="206"/>
        <v>0</v>
      </c>
      <c r="FC143" s="12">
        <f t="shared" si="206"/>
        <v>0</v>
      </c>
      <c r="FD143" s="12">
        <f t="shared" si="206"/>
        <v>0</v>
      </c>
      <c r="FE143" s="12">
        <f t="shared" si="206"/>
        <v>0</v>
      </c>
      <c r="FF143" s="12">
        <f t="shared" si="206"/>
        <v>0</v>
      </c>
      <c r="FG143" s="12">
        <f t="shared" si="206"/>
        <v>0</v>
      </c>
      <c r="FH143" s="12">
        <f t="shared" si="206"/>
        <v>0</v>
      </c>
    </row>
    <row r="144" spans="1:164" x14ac:dyDescent="0.2">
      <c r="A144" s="10"/>
      <c r="B144" s="10"/>
      <c r="C144" s="10" t="s">
        <v>751</v>
      </c>
      <c r="D144" s="10"/>
      <c r="E144" s="10"/>
      <c r="F144" s="10"/>
      <c r="G144" s="10"/>
      <c r="H144" s="12">
        <f t="shared" si="196"/>
        <v>159228.99999999994</v>
      </c>
      <c r="I144" s="12">
        <f t="shared" ref="I144:AN144" si="207">IF(I$6=$E$46,SUMIF($I$6:$FH$6,"&lt;"&amp;$E$46,$I$139:$FH$139)*$E$52,0)</f>
        <v>0</v>
      </c>
      <c r="J144" s="12">
        <f t="shared" si="207"/>
        <v>0</v>
      </c>
      <c r="K144" s="12">
        <f t="shared" si="207"/>
        <v>0</v>
      </c>
      <c r="L144" s="12">
        <f t="shared" si="207"/>
        <v>0</v>
      </c>
      <c r="M144" s="12">
        <f t="shared" si="207"/>
        <v>0</v>
      </c>
      <c r="N144" s="12">
        <f t="shared" si="207"/>
        <v>0</v>
      </c>
      <c r="O144" s="12">
        <f t="shared" si="207"/>
        <v>0</v>
      </c>
      <c r="P144" s="12">
        <f t="shared" si="207"/>
        <v>0</v>
      </c>
      <c r="Q144" s="12">
        <f t="shared" si="207"/>
        <v>0</v>
      </c>
      <c r="R144" s="12">
        <f t="shared" si="207"/>
        <v>0</v>
      </c>
      <c r="S144" s="12">
        <f t="shared" si="207"/>
        <v>0</v>
      </c>
      <c r="T144" s="12">
        <f t="shared" si="207"/>
        <v>0</v>
      </c>
      <c r="U144" s="12">
        <f t="shared" si="207"/>
        <v>0</v>
      </c>
      <c r="V144" s="12">
        <f t="shared" si="207"/>
        <v>0</v>
      </c>
      <c r="W144" s="12">
        <f t="shared" si="207"/>
        <v>0</v>
      </c>
      <c r="X144" s="12">
        <f t="shared" si="207"/>
        <v>0</v>
      </c>
      <c r="Y144" s="12">
        <f t="shared" si="207"/>
        <v>0</v>
      </c>
      <c r="Z144" s="12">
        <f t="shared" si="207"/>
        <v>0</v>
      </c>
      <c r="AA144" s="12">
        <f t="shared" si="207"/>
        <v>0</v>
      </c>
      <c r="AB144" s="12">
        <f t="shared" si="207"/>
        <v>0</v>
      </c>
      <c r="AC144" s="12">
        <f t="shared" si="207"/>
        <v>0</v>
      </c>
      <c r="AD144" s="12">
        <f t="shared" si="207"/>
        <v>0</v>
      </c>
      <c r="AE144" s="12">
        <f t="shared" si="207"/>
        <v>0</v>
      </c>
      <c r="AF144" s="12">
        <f t="shared" si="207"/>
        <v>0</v>
      </c>
      <c r="AG144" s="12">
        <f t="shared" si="207"/>
        <v>0</v>
      </c>
      <c r="AH144" s="12">
        <f t="shared" si="207"/>
        <v>0</v>
      </c>
      <c r="AI144" s="12">
        <f t="shared" si="207"/>
        <v>0</v>
      </c>
      <c r="AJ144" s="12">
        <f t="shared" si="207"/>
        <v>0</v>
      </c>
      <c r="AK144" s="12">
        <f t="shared" si="207"/>
        <v>0</v>
      </c>
      <c r="AL144" s="12">
        <f t="shared" si="207"/>
        <v>0</v>
      </c>
      <c r="AM144" s="12">
        <f t="shared" si="207"/>
        <v>0</v>
      </c>
      <c r="AN144" s="12">
        <f t="shared" si="207"/>
        <v>0</v>
      </c>
      <c r="AO144" s="12">
        <f t="shared" ref="AO144:BT144" si="208">IF(AO$6=$E$46,SUMIF($I$6:$FH$6,"&lt;"&amp;$E$46,$I$139:$FH$139)*$E$52,0)</f>
        <v>0</v>
      </c>
      <c r="AP144" s="12">
        <f t="shared" si="208"/>
        <v>0</v>
      </c>
      <c r="AQ144" s="12">
        <f t="shared" si="208"/>
        <v>0</v>
      </c>
      <c r="AR144" s="12">
        <f t="shared" si="208"/>
        <v>0</v>
      </c>
      <c r="AS144" s="12">
        <f t="shared" si="208"/>
        <v>0</v>
      </c>
      <c r="AT144" s="12">
        <f t="shared" si="208"/>
        <v>0</v>
      </c>
      <c r="AU144" s="12">
        <f t="shared" si="208"/>
        <v>0</v>
      </c>
      <c r="AV144" s="12">
        <f t="shared" si="208"/>
        <v>0</v>
      </c>
      <c r="AW144" s="12">
        <f t="shared" si="208"/>
        <v>0</v>
      </c>
      <c r="AX144" s="12">
        <f t="shared" si="208"/>
        <v>0</v>
      </c>
      <c r="AY144" s="12">
        <f t="shared" si="208"/>
        <v>0</v>
      </c>
      <c r="AZ144" s="12">
        <f t="shared" si="208"/>
        <v>0</v>
      </c>
      <c r="BA144" s="12">
        <f t="shared" si="208"/>
        <v>0</v>
      </c>
      <c r="BB144" s="12">
        <f t="shared" si="208"/>
        <v>0</v>
      </c>
      <c r="BC144" s="12">
        <f t="shared" si="208"/>
        <v>0</v>
      </c>
      <c r="BD144" s="12">
        <f t="shared" si="208"/>
        <v>0</v>
      </c>
      <c r="BE144" s="12">
        <f t="shared" si="208"/>
        <v>0</v>
      </c>
      <c r="BF144" s="12">
        <f t="shared" si="208"/>
        <v>0</v>
      </c>
      <c r="BG144" s="12">
        <f t="shared" si="208"/>
        <v>0</v>
      </c>
      <c r="BH144" s="12">
        <f t="shared" si="208"/>
        <v>0</v>
      </c>
      <c r="BI144" s="12">
        <f t="shared" si="208"/>
        <v>0</v>
      </c>
      <c r="BJ144" s="12">
        <f t="shared" si="208"/>
        <v>0</v>
      </c>
      <c r="BK144" s="12">
        <f t="shared" si="208"/>
        <v>0</v>
      </c>
      <c r="BL144" s="12">
        <f t="shared" si="208"/>
        <v>0</v>
      </c>
      <c r="BM144" s="12">
        <f t="shared" si="208"/>
        <v>0</v>
      </c>
      <c r="BN144" s="12">
        <f t="shared" si="208"/>
        <v>0</v>
      </c>
      <c r="BO144" s="12">
        <f t="shared" si="208"/>
        <v>0</v>
      </c>
      <c r="BP144" s="12">
        <f t="shared" si="208"/>
        <v>0</v>
      </c>
      <c r="BQ144" s="12">
        <f t="shared" si="208"/>
        <v>0</v>
      </c>
      <c r="BR144" s="12">
        <f t="shared" si="208"/>
        <v>0</v>
      </c>
      <c r="BS144" s="12">
        <f t="shared" si="208"/>
        <v>0</v>
      </c>
      <c r="BT144" s="12">
        <f t="shared" si="208"/>
        <v>0</v>
      </c>
      <c r="BU144" s="12">
        <f t="shared" ref="BU144:CZ144" si="209">IF(BU$6=$E$46,SUMIF($I$6:$FH$6,"&lt;"&amp;$E$46,$I$139:$FH$139)*$E$52,0)</f>
        <v>0</v>
      </c>
      <c r="BV144" s="12">
        <f t="shared" si="209"/>
        <v>0</v>
      </c>
      <c r="BW144" s="12">
        <f t="shared" si="209"/>
        <v>0</v>
      </c>
      <c r="BX144" s="12">
        <f t="shared" si="209"/>
        <v>0</v>
      </c>
      <c r="BY144" s="12">
        <f t="shared" si="209"/>
        <v>0</v>
      </c>
      <c r="BZ144" s="12">
        <f t="shared" si="209"/>
        <v>0</v>
      </c>
      <c r="CA144" s="12">
        <f t="shared" si="209"/>
        <v>0</v>
      </c>
      <c r="CB144" s="12">
        <f t="shared" si="209"/>
        <v>0</v>
      </c>
      <c r="CC144" s="12">
        <f t="shared" si="209"/>
        <v>0</v>
      </c>
      <c r="CD144" s="12">
        <f t="shared" si="209"/>
        <v>0</v>
      </c>
      <c r="CE144" s="12">
        <f t="shared" si="209"/>
        <v>0</v>
      </c>
      <c r="CF144" s="12">
        <f t="shared" si="209"/>
        <v>0</v>
      </c>
      <c r="CG144" s="12">
        <f t="shared" si="209"/>
        <v>0</v>
      </c>
      <c r="CH144" s="12">
        <f t="shared" si="209"/>
        <v>0</v>
      </c>
      <c r="CI144" s="12">
        <f t="shared" si="209"/>
        <v>0</v>
      </c>
      <c r="CJ144" s="12">
        <f t="shared" si="209"/>
        <v>0</v>
      </c>
      <c r="CK144" s="12">
        <f t="shared" si="209"/>
        <v>0</v>
      </c>
      <c r="CL144" s="12">
        <f t="shared" si="209"/>
        <v>0</v>
      </c>
      <c r="CM144" s="12">
        <f t="shared" si="209"/>
        <v>0</v>
      </c>
      <c r="CN144" s="12">
        <f t="shared" si="209"/>
        <v>0</v>
      </c>
      <c r="CO144" s="12">
        <f t="shared" si="209"/>
        <v>0</v>
      </c>
      <c r="CP144" s="12">
        <f t="shared" si="209"/>
        <v>0</v>
      </c>
      <c r="CQ144" s="12">
        <f t="shared" si="209"/>
        <v>0</v>
      </c>
      <c r="CR144" s="12">
        <f t="shared" si="209"/>
        <v>0</v>
      </c>
      <c r="CS144" s="12">
        <f t="shared" si="209"/>
        <v>0</v>
      </c>
      <c r="CT144" s="12">
        <f t="shared" si="209"/>
        <v>0</v>
      </c>
      <c r="CU144" s="12">
        <f t="shared" si="209"/>
        <v>0</v>
      </c>
      <c r="CV144" s="12">
        <f t="shared" si="209"/>
        <v>159228.99999999994</v>
      </c>
      <c r="CW144" s="12">
        <f t="shared" si="209"/>
        <v>0</v>
      </c>
      <c r="CX144" s="12">
        <f t="shared" si="209"/>
        <v>0</v>
      </c>
      <c r="CY144" s="12">
        <f t="shared" si="209"/>
        <v>0</v>
      </c>
      <c r="CZ144" s="12">
        <f t="shared" si="209"/>
        <v>0</v>
      </c>
      <c r="DA144" s="12">
        <f t="shared" ref="DA144:EF144" si="210">IF(DA$6=$E$46,SUMIF($I$6:$FH$6,"&lt;"&amp;$E$46,$I$139:$FH$139)*$E$52,0)</f>
        <v>0</v>
      </c>
      <c r="DB144" s="12">
        <f t="shared" si="210"/>
        <v>0</v>
      </c>
      <c r="DC144" s="12">
        <f t="shared" si="210"/>
        <v>0</v>
      </c>
      <c r="DD144" s="12">
        <f t="shared" si="210"/>
        <v>0</v>
      </c>
      <c r="DE144" s="12">
        <f t="shared" si="210"/>
        <v>0</v>
      </c>
      <c r="DF144" s="12">
        <f t="shared" si="210"/>
        <v>0</v>
      </c>
      <c r="DG144" s="12">
        <f t="shared" si="210"/>
        <v>0</v>
      </c>
      <c r="DH144" s="12">
        <f t="shared" si="210"/>
        <v>0</v>
      </c>
      <c r="DI144" s="12">
        <f t="shared" si="210"/>
        <v>0</v>
      </c>
      <c r="DJ144" s="12">
        <f t="shared" si="210"/>
        <v>0</v>
      </c>
      <c r="DK144" s="12">
        <f t="shared" si="210"/>
        <v>0</v>
      </c>
      <c r="DL144" s="12">
        <f t="shared" si="210"/>
        <v>0</v>
      </c>
      <c r="DM144" s="12">
        <f t="shared" si="210"/>
        <v>0</v>
      </c>
      <c r="DN144" s="12">
        <f t="shared" si="210"/>
        <v>0</v>
      </c>
      <c r="DO144" s="12">
        <f t="shared" si="210"/>
        <v>0</v>
      </c>
      <c r="DP144" s="12">
        <f t="shared" si="210"/>
        <v>0</v>
      </c>
      <c r="DQ144" s="12">
        <f t="shared" si="210"/>
        <v>0</v>
      </c>
      <c r="DR144" s="12">
        <f t="shared" si="210"/>
        <v>0</v>
      </c>
      <c r="DS144" s="12">
        <f t="shared" si="210"/>
        <v>0</v>
      </c>
      <c r="DT144" s="12">
        <f t="shared" si="210"/>
        <v>0</v>
      </c>
      <c r="DU144" s="12">
        <f t="shared" si="210"/>
        <v>0</v>
      </c>
      <c r="DV144" s="12">
        <f t="shared" si="210"/>
        <v>0</v>
      </c>
      <c r="DW144" s="12">
        <f t="shared" si="210"/>
        <v>0</v>
      </c>
      <c r="DX144" s="12">
        <f t="shared" si="210"/>
        <v>0</v>
      </c>
      <c r="DY144" s="12">
        <f t="shared" si="210"/>
        <v>0</v>
      </c>
      <c r="DZ144" s="12">
        <f t="shared" si="210"/>
        <v>0</v>
      </c>
      <c r="EA144" s="12">
        <f t="shared" si="210"/>
        <v>0</v>
      </c>
      <c r="EB144" s="12">
        <f t="shared" si="210"/>
        <v>0</v>
      </c>
      <c r="EC144" s="12">
        <f t="shared" si="210"/>
        <v>0</v>
      </c>
      <c r="ED144" s="12">
        <f t="shared" si="210"/>
        <v>0</v>
      </c>
      <c r="EE144" s="12">
        <f t="shared" si="210"/>
        <v>0</v>
      </c>
      <c r="EF144" s="12">
        <f t="shared" si="210"/>
        <v>0</v>
      </c>
      <c r="EG144" s="12">
        <f t="shared" ref="EG144:FH144" si="211">IF(EG$6=$E$46,SUMIF($I$6:$FH$6,"&lt;"&amp;$E$46,$I$139:$FH$139)*$E$52,0)</f>
        <v>0</v>
      </c>
      <c r="EH144" s="12">
        <f t="shared" si="211"/>
        <v>0</v>
      </c>
      <c r="EI144" s="12">
        <f t="shared" si="211"/>
        <v>0</v>
      </c>
      <c r="EJ144" s="12">
        <f t="shared" si="211"/>
        <v>0</v>
      </c>
      <c r="EK144" s="12">
        <f t="shared" si="211"/>
        <v>0</v>
      </c>
      <c r="EL144" s="12">
        <f t="shared" si="211"/>
        <v>0</v>
      </c>
      <c r="EM144" s="12">
        <f t="shared" si="211"/>
        <v>0</v>
      </c>
      <c r="EN144" s="12">
        <f t="shared" si="211"/>
        <v>0</v>
      </c>
      <c r="EO144" s="12">
        <f t="shared" si="211"/>
        <v>0</v>
      </c>
      <c r="EP144" s="12">
        <f t="shared" si="211"/>
        <v>0</v>
      </c>
      <c r="EQ144" s="12">
        <f t="shared" si="211"/>
        <v>0</v>
      </c>
      <c r="ER144" s="12">
        <f t="shared" si="211"/>
        <v>0</v>
      </c>
      <c r="ES144" s="12">
        <f t="shared" si="211"/>
        <v>0</v>
      </c>
      <c r="ET144" s="12">
        <f t="shared" si="211"/>
        <v>0</v>
      </c>
      <c r="EU144" s="12">
        <f t="shared" si="211"/>
        <v>0</v>
      </c>
      <c r="EV144" s="12">
        <f t="shared" si="211"/>
        <v>0</v>
      </c>
      <c r="EW144" s="12">
        <f t="shared" si="211"/>
        <v>0</v>
      </c>
      <c r="EX144" s="12">
        <f t="shared" si="211"/>
        <v>0</v>
      </c>
      <c r="EY144" s="12">
        <f t="shared" si="211"/>
        <v>0</v>
      </c>
      <c r="EZ144" s="12">
        <f t="shared" si="211"/>
        <v>0</v>
      </c>
      <c r="FA144" s="12">
        <f t="shared" si="211"/>
        <v>0</v>
      </c>
      <c r="FB144" s="12">
        <f t="shared" si="211"/>
        <v>0</v>
      </c>
      <c r="FC144" s="12">
        <f t="shared" si="211"/>
        <v>0</v>
      </c>
      <c r="FD144" s="12">
        <f t="shared" si="211"/>
        <v>0</v>
      </c>
      <c r="FE144" s="12">
        <f t="shared" si="211"/>
        <v>0</v>
      </c>
      <c r="FF144" s="12">
        <f t="shared" si="211"/>
        <v>0</v>
      </c>
      <c r="FG144" s="12">
        <f t="shared" si="211"/>
        <v>0</v>
      </c>
      <c r="FH144" s="12">
        <f t="shared" si="211"/>
        <v>0</v>
      </c>
    </row>
    <row r="145" spans="1:164" x14ac:dyDescent="0.2">
      <c r="A145" s="10"/>
      <c r="B145" s="10"/>
      <c r="C145" s="238" t="s">
        <v>747</v>
      </c>
      <c r="D145" s="238"/>
      <c r="E145" s="238"/>
      <c r="F145" s="238"/>
      <c r="G145" s="238"/>
      <c r="H145" s="239">
        <f t="shared" si="196"/>
        <v>318457.99999999988</v>
      </c>
      <c r="I145" s="239">
        <f t="shared" ref="I145:AN145" si="212">SUM(I141:I144)</f>
        <v>0</v>
      </c>
      <c r="J145" s="239">
        <f t="shared" si="212"/>
        <v>0</v>
      </c>
      <c r="K145" s="239">
        <f t="shared" si="212"/>
        <v>0</v>
      </c>
      <c r="L145" s="239">
        <f t="shared" si="212"/>
        <v>0</v>
      </c>
      <c r="M145" s="239">
        <f t="shared" si="212"/>
        <v>0</v>
      </c>
      <c r="N145" s="239">
        <f t="shared" si="212"/>
        <v>0</v>
      </c>
      <c r="O145" s="239">
        <f t="shared" si="212"/>
        <v>0</v>
      </c>
      <c r="P145" s="239">
        <f t="shared" si="212"/>
        <v>0</v>
      </c>
      <c r="Q145" s="239">
        <f t="shared" si="212"/>
        <v>0</v>
      </c>
      <c r="R145" s="239">
        <f t="shared" si="212"/>
        <v>0</v>
      </c>
      <c r="S145" s="239">
        <f t="shared" si="212"/>
        <v>0</v>
      </c>
      <c r="T145" s="239">
        <f t="shared" si="212"/>
        <v>0</v>
      </c>
      <c r="U145" s="239">
        <f t="shared" si="212"/>
        <v>0</v>
      </c>
      <c r="V145" s="239">
        <f t="shared" si="212"/>
        <v>0</v>
      </c>
      <c r="W145" s="239">
        <f t="shared" si="212"/>
        <v>0</v>
      </c>
      <c r="X145" s="239">
        <f t="shared" si="212"/>
        <v>0</v>
      </c>
      <c r="Y145" s="239">
        <f t="shared" si="212"/>
        <v>0</v>
      </c>
      <c r="Z145" s="239">
        <f t="shared" si="212"/>
        <v>0</v>
      </c>
      <c r="AA145" s="239">
        <f t="shared" si="212"/>
        <v>0</v>
      </c>
      <c r="AB145" s="239">
        <f t="shared" si="212"/>
        <v>0</v>
      </c>
      <c r="AC145" s="239">
        <f t="shared" si="212"/>
        <v>0</v>
      </c>
      <c r="AD145" s="239">
        <f t="shared" si="212"/>
        <v>0</v>
      </c>
      <c r="AE145" s="239">
        <f t="shared" si="212"/>
        <v>0</v>
      </c>
      <c r="AF145" s="239">
        <f t="shared" si="212"/>
        <v>0</v>
      </c>
      <c r="AG145" s="239">
        <f t="shared" si="212"/>
        <v>0</v>
      </c>
      <c r="AH145" s="239">
        <f t="shared" si="212"/>
        <v>0</v>
      </c>
      <c r="AI145" s="239">
        <f t="shared" si="212"/>
        <v>0</v>
      </c>
      <c r="AJ145" s="239">
        <f t="shared" si="212"/>
        <v>0</v>
      </c>
      <c r="AK145" s="239">
        <f t="shared" si="212"/>
        <v>0</v>
      </c>
      <c r="AL145" s="239">
        <f t="shared" si="212"/>
        <v>0</v>
      </c>
      <c r="AM145" s="239">
        <f t="shared" si="212"/>
        <v>0</v>
      </c>
      <c r="AN145" s="239">
        <f t="shared" si="212"/>
        <v>0</v>
      </c>
      <c r="AO145" s="239">
        <f t="shared" ref="AO145:BT145" si="213">SUM(AO141:AO144)</f>
        <v>0</v>
      </c>
      <c r="AP145" s="239">
        <f t="shared" si="213"/>
        <v>0</v>
      </c>
      <c r="AQ145" s="239">
        <f t="shared" si="213"/>
        <v>0</v>
      </c>
      <c r="AR145" s="239">
        <f t="shared" si="213"/>
        <v>0</v>
      </c>
      <c r="AS145" s="239">
        <f t="shared" si="213"/>
        <v>1706.0249999999996</v>
      </c>
      <c r="AT145" s="239">
        <f t="shared" si="213"/>
        <v>1822.5340243902435</v>
      </c>
      <c r="AU145" s="239">
        <f t="shared" si="213"/>
        <v>1941.9557743902435</v>
      </c>
      <c r="AV145" s="239">
        <f t="shared" si="213"/>
        <v>2064.4396205440898</v>
      </c>
      <c r="AW145" s="239">
        <f t="shared" si="213"/>
        <v>2190.1467258072475</v>
      </c>
      <c r="AX145" s="239">
        <f t="shared" si="213"/>
        <v>2319.2513204018423</v>
      </c>
      <c r="AY145" s="239">
        <f t="shared" si="213"/>
        <v>1301.9549315129534</v>
      </c>
      <c r="AZ145" s="239">
        <f t="shared" si="213"/>
        <v>1347.4489315129535</v>
      </c>
      <c r="BA145" s="239">
        <f t="shared" si="213"/>
        <v>1394.2809903364828</v>
      </c>
      <c r="BB145" s="239">
        <f t="shared" si="213"/>
        <v>1442.5322024576949</v>
      </c>
      <c r="BC145" s="239">
        <f t="shared" si="213"/>
        <v>1492.2912649576951</v>
      </c>
      <c r="BD145" s="239">
        <f t="shared" si="213"/>
        <v>1543.6554585060821</v>
      </c>
      <c r="BE145" s="239">
        <f t="shared" si="213"/>
        <v>1596.7317918394156</v>
      </c>
      <c r="BF145" s="239">
        <f t="shared" si="213"/>
        <v>1651.6383435635535</v>
      </c>
      <c r="BG145" s="239">
        <f t="shared" si="213"/>
        <v>1708.5058435635533</v>
      </c>
      <c r="BH145" s="239">
        <f t="shared" si="213"/>
        <v>1767.4795472672572</v>
      </c>
      <c r="BI145" s="239">
        <f t="shared" si="213"/>
        <v>1828.72147034418</v>
      </c>
      <c r="BJ145" s="239">
        <f t="shared" si="213"/>
        <v>1892.4130703441801</v>
      </c>
      <c r="BK145" s="239">
        <f t="shared" si="213"/>
        <v>1958.7584870108467</v>
      </c>
      <c r="BL145" s="239">
        <f t="shared" si="213"/>
        <v>2027.9884870108467</v>
      </c>
      <c r="BM145" s="239">
        <f t="shared" si="213"/>
        <v>2100.3653051926649</v>
      </c>
      <c r="BN145" s="239">
        <f t="shared" si="213"/>
        <v>2176.1886385259982</v>
      </c>
      <c r="BO145" s="239">
        <f t="shared" si="213"/>
        <v>2255.8031385259978</v>
      </c>
      <c r="BP145" s="239">
        <f t="shared" si="213"/>
        <v>2339.6078753681031</v>
      </c>
      <c r="BQ145" s="239">
        <f t="shared" si="213"/>
        <v>2428.068430923659</v>
      </c>
      <c r="BR145" s="239">
        <f t="shared" si="213"/>
        <v>2521.7325485707179</v>
      </c>
      <c r="BS145" s="239">
        <f t="shared" si="213"/>
        <v>2621.2506735707179</v>
      </c>
      <c r="BT145" s="239">
        <f t="shared" si="213"/>
        <v>2727.4033402373848</v>
      </c>
      <c r="BU145" s="239">
        <f t="shared" ref="BU145:CZ145" si="214">SUM(BU141:BU144)</f>
        <v>2841.1383402373849</v>
      </c>
      <c r="BV145" s="239">
        <f t="shared" si="214"/>
        <v>2963.622186391231</v>
      </c>
      <c r="BW145" s="239">
        <f t="shared" si="214"/>
        <v>3096.3130197245641</v>
      </c>
      <c r="BX145" s="239">
        <f t="shared" si="214"/>
        <v>3241.0666560882005</v>
      </c>
      <c r="BY145" s="239">
        <f t="shared" si="214"/>
        <v>3400.2956560882003</v>
      </c>
      <c r="BZ145" s="239">
        <f t="shared" si="214"/>
        <v>3577.2167671993116</v>
      </c>
      <c r="CA145" s="239">
        <f t="shared" si="214"/>
        <v>3776.2530171993117</v>
      </c>
      <c r="CB145" s="239">
        <f t="shared" si="214"/>
        <v>4003.7230171993115</v>
      </c>
      <c r="CC145" s="239">
        <f t="shared" si="214"/>
        <v>4269.1046838659777</v>
      </c>
      <c r="CD145" s="239">
        <f t="shared" si="214"/>
        <v>4587.5626838659782</v>
      </c>
      <c r="CE145" s="239">
        <f t="shared" si="214"/>
        <v>4985.6351838659784</v>
      </c>
      <c r="CF145" s="239">
        <f t="shared" si="214"/>
        <v>5516.3985171993118</v>
      </c>
      <c r="CG145" s="239">
        <f t="shared" si="214"/>
        <v>6312.5435171993113</v>
      </c>
      <c r="CH145" s="239">
        <f t="shared" si="214"/>
        <v>7904.8335171993112</v>
      </c>
      <c r="CI145" s="239">
        <f t="shared" si="214"/>
        <v>28661.220000000008</v>
      </c>
      <c r="CJ145" s="239">
        <f t="shared" si="214"/>
        <v>1326.9083333333331</v>
      </c>
      <c r="CK145" s="239">
        <f t="shared" si="214"/>
        <v>1326.9083333333331</v>
      </c>
      <c r="CL145" s="239">
        <f t="shared" si="214"/>
        <v>1326.9083333333331</v>
      </c>
      <c r="CM145" s="239">
        <f t="shared" si="214"/>
        <v>1326.9083333333331</v>
      </c>
      <c r="CN145" s="239">
        <f t="shared" si="214"/>
        <v>1326.9083333333331</v>
      </c>
      <c r="CO145" s="239">
        <f t="shared" si="214"/>
        <v>1326.9083333333331</v>
      </c>
      <c r="CP145" s="239">
        <f t="shared" si="214"/>
        <v>1326.9083333333331</v>
      </c>
      <c r="CQ145" s="239">
        <f t="shared" si="214"/>
        <v>1326.9083333333331</v>
      </c>
      <c r="CR145" s="239">
        <f t="shared" si="214"/>
        <v>1326.9083333333331</v>
      </c>
      <c r="CS145" s="239">
        <f t="shared" si="214"/>
        <v>1326.9083333333331</v>
      </c>
      <c r="CT145" s="239">
        <f t="shared" si="214"/>
        <v>1326.9083333333331</v>
      </c>
      <c r="CU145" s="239">
        <f t="shared" si="214"/>
        <v>1326.9083333333331</v>
      </c>
      <c r="CV145" s="239">
        <f t="shared" si="214"/>
        <v>159228.99999999994</v>
      </c>
      <c r="CW145" s="239">
        <f t="shared" si="214"/>
        <v>0</v>
      </c>
      <c r="CX145" s="239">
        <f t="shared" si="214"/>
        <v>0</v>
      </c>
      <c r="CY145" s="239">
        <f t="shared" si="214"/>
        <v>0</v>
      </c>
      <c r="CZ145" s="239">
        <f t="shared" si="214"/>
        <v>0</v>
      </c>
      <c r="DA145" s="239">
        <f t="shared" ref="DA145:EF145" si="215">SUM(DA141:DA144)</f>
        <v>0</v>
      </c>
      <c r="DB145" s="239">
        <f t="shared" si="215"/>
        <v>0</v>
      </c>
      <c r="DC145" s="239">
        <f t="shared" si="215"/>
        <v>0</v>
      </c>
      <c r="DD145" s="239">
        <f t="shared" si="215"/>
        <v>0</v>
      </c>
      <c r="DE145" s="239">
        <f t="shared" si="215"/>
        <v>0</v>
      </c>
      <c r="DF145" s="239">
        <f t="shared" si="215"/>
        <v>0</v>
      </c>
      <c r="DG145" s="239">
        <f t="shared" si="215"/>
        <v>0</v>
      </c>
      <c r="DH145" s="239">
        <f t="shared" si="215"/>
        <v>0</v>
      </c>
      <c r="DI145" s="239">
        <f t="shared" si="215"/>
        <v>0</v>
      </c>
      <c r="DJ145" s="239">
        <f t="shared" si="215"/>
        <v>0</v>
      </c>
      <c r="DK145" s="239">
        <f t="shared" si="215"/>
        <v>0</v>
      </c>
      <c r="DL145" s="239">
        <f t="shared" si="215"/>
        <v>0</v>
      </c>
      <c r="DM145" s="239">
        <f t="shared" si="215"/>
        <v>0</v>
      </c>
      <c r="DN145" s="239">
        <f t="shared" si="215"/>
        <v>0</v>
      </c>
      <c r="DO145" s="239">
        <f t="shared" si="215"/>
        <v>0</v>
      </c>
      <c r="DP145" s="239">
        <f t="shared" si="215"/>
        <v>0</v>
      </c>
      <c r="DQ145" s="239">
        <f t="shared" si="215"/>
        <v>0</v>
      </c>
      <c r="DR145" s="239">
        <f t="shared" si="215"/>
        <v>0</v>
      </c>
      <c r="DS145" s="239">
        <f t="shared" si="215"/>
        <v>0</v>
      </c>
      <c r="DT145" s="239">
        <f t="shared" si="215"/>
        <v>0</v>
      </c>
      <c r="DU145" s="239">
        <f t="shared" si="215"/>
        <v>0</v>
      </c>
      <c r="DV145" s="239">
        <f t="shared" si="215"/>
        <v>0</v>
      </c>
      <c r="DW145" s="239">
        <f t="shared" si="215"/>
        <v>0</v>
      </c>
      <c r="DX145" s="239">
        <f t="shared" si="215"/>
        <v>0</v>
      </c>
      <c r="DY145" s="239">
        <f t="shared" si="215"/>
        <v>0</v>
      </c>
      <c r="DZ145" s="239">
        <f t="shared" si="215"/>
        <v>0</v>
      </c>
      <c r="EA145" s="239">
        <f t="shared" si="215"/>
        <v>0</v>
      </c>
      <c r="EB145" s="239">
        <f t="shared" si="215"/>
        <v>0</v>
      </c>
      <c r="EC145" s="239">
        <f t="shared" si="215"/>
        <v>0</v>
      </c>
      <c r="ED145" s="239">
        <f t="shared" si="215"/>
        <v>0</v>
      </c>
      <c r="EE145" s="239">
        <f t="shared" si="215"/>
        <v>0</v>
      </c>
      <c r="EF145" s="239">
        <f t="shared" si="215"/>
        <v>0</v>
      </c>
      <c r="EG145" s="239">
        <f t="shared" ref="EG145:FH145" si="216">SUM(EG141:EG144)</f>
        <v>0</v>
      </c>
      <c r="EH145" s="239">
        <f t="shared" si="216"/>
        <v>0</v>
      </c>
      <c r="EI145" s="239">
        <f t="shared" si="216"/>
        <v>0</v>
      </c>
      <c r="EJ145" s="239">
        <f t="shared" si="216"/>
        <v>0</v>
      </c>
      <c r="EK145" s="239">
        <f t="shared" si="216"/>
        <v>0</v>
      </c>
      <c r="EL145" s="239">
        <f t="shared" si="216"/>
        <v>0</v>
      </c>
      <c r="EM145" s="239">
        <f t="shared" si="216"/>
        <v>0</v>
      </c>
      <c r="EN145" s="239">
        <f t="shared" si="216"/>
        <v>0</v>
      </c>
      <c r="EO145" s="239">
        <f t="shared" si="216"/>
        <v>0</v>
      </c>
      <c r="EP145" s="239">
        <f t="shared" si="216"/>
        <v>0</v>
      </c>
      <c r="EQ145" s="239">
        <f t="shared" si="216"/>
        <v>0</v>
      </c>
      <c r="ER145" s="239">
        <f t="shared" si="216"/>
        <v>0</v>
      </c>
      <c r="ES145" s="239">
        <f t="shared" si="216"/>
        <v>0</v>
      </c>
      <c r="ET145" s="239">
        <f t="shared" si="216"/>
        <v>0</v>
      </c>
      <c r="EU145" s="239">
        <f t="shared" si="216"/>
        <v>0</v>
      </c>
      <c r="EV145" s="239">
        <f t="shared" si="216"/>
        <v>0</v>
      </c>
      <c r="EW145" s="239">
        <f t="shared" si="216"/>
        <v>0</v>
      </c>
      <c r="EX145" s="239">
        <f t="shared" si="216"/>
        <v>0</v>
      </c>
      <c r="EY145" s="239">
        <f t="shared" si="216"/>
        <v>0</v>
      </c>
      <c r="EZ145" s="239">
        <f t="shared" si="216"/>
        <v>0</v>
      </c>
      <c r="FA145" s="239">
        <f t="shared" si="216"/>
        <v>0</v>
      </c>
      <c r="FB145" s="239">
        <f t="shared" si="216"/>
        <v>0</v>
      </c>
      <c r="FC145" s="239">
        <f t="shared" si="216"/>
        <v>0</v>
      </c>
      <c r="FD145" s="239">
        <f t="shared" si="216"/>
        <v>0</v>
      </c>
      <c r="FE145" s="239">
        <f t="shared" si="216"/>
        <v>0</v>
      </c>
      <c r="FF145" s="239">
        <f t="shared" si="216"/>
        <v>0</v>
      </c>
      <c r="FG145" s="239">
        <f t="shared" si="216"/>
        <v>0</v>
      </c>
      <c r="FH145" s="239">
        <f t="shared" si="216"/>
        <v>0</v>
      </c>
    </row>
    <row r="146" spans="1:164" x14ac:dyDescent="0.2">
      <c r="A146" s="10"/>
      <c r="B146" s="10"/>
      <c r="C146" s="10" t="s">
        <v>753</v>
      </c>
      <c r="D146" s="10"/>
      <c r="E146" s="10"/>
      <c r="F146" s="10"/>
      <c r="G146" s="10"/>
      <c r="H146" s="12">
        <f t="shared" si="196"/>
        <v>-15922.899999999991</v>
      </c>
      <c r="I146" s="12">
        <f t="shared" ref="I146:AN146" si="217">-I139*$E$61</f>
        <v>0</v>
      </c>
      <c r="J146" s="12">
        <f t="shared" si="217"/>
        <v>0</v>
      </c>
      <c r="K146" s="12">
        <f t="shared" si="217"/>
        <v>0</v>
      </c>
      <c r="L146" s="12">
        <f t="shared" si="217"/>
        <v>0</v>
      </c>
      <c r="M146" s="12">
        <f t="shared" si="217"/>
        <v>0</v>
      </c>
      <c r="N146" s="12">
        <f t="shared" si="217"/>
        <v>0</v>
      </c>
      <c r="O146" s="12">
        <f t="shared" si="217"/>
        <v>0</v>
      </c>
      <c r="P146" s="12">
        <f t="shared" si="217"/>
        <v>0</v>
      </c>
      <c r="Q146" s="12">
        <f t="shared" si="217"/>
        <v>0</v>
      </c>
      <c r="R146" s="12">
        <f t="shared" si="217"/>
        <v>0</v>
      </c>
      <c r="S146" s="12">
        <f t="shared" si="217"/>
        <v>0</v>
      </c>
      <c r="T146" s="12">
        <f t="shared" si="217"/>
        <v>0</v>
      </c>
      <c r="U146" s="12">
        <f t="shared" si="217"/>
        <v>0</v>
      </c>
      <c r="V146" s="12">
        <f t="shared" si="217"/>
        <v>0</v>
      </c>
      <c r="W146" s="12">
        <f t="shared" si="217"/>
        <v>0</v>
      </c>
      <c r="X146" s="12">
        <f t="shared" si="217"/>
        <v>0</v>
      </c>
      <c r="Y146" s="12">
        <f t="shared" si="217"/>
        <v>0</v>
      </c>
      <c r="Z146" s="12">
        <f t="shared" si="217"/>
        <v>0</v>
      </c>
      <c r="AA146" s="12">
        <f t="shared" si="217"/>
        <v>0</v>
      </c>
      <c r="AB146" s="12">
        <f t="shared" si="217"/>
        <v>0</v>
      </c>
      <c r="AC146" s="12">
        <f t="shared" si="217"/>
        <v>0</v>
      </c>
      <c r="AD146" s="12">
        <f t="shared" si="217"/>
        <v>0</v>
      </c>
      <c r="AE146" s="12">
        <f t="shared" si="217"/>
        <v>0</v>
      </c>
      <c r="AF146" s="12">
        <f t="shared" si="217"/>
        <v>0</v>
      </c>
      <c r="AG146" s="12">
        <f t="shared" si="217"/>
        <v>0</v>
      </c>
      <c r="AH146" s="12">
        <f t="shared" si="217"/>
        <v>0</v>
      </c>
      <c r="AI146" s="12">
        <f t="shared" si="217"/>
        <v>0</v>
      </c>
      <c r="AJ146" s="12">
        <f t="shared" si="217"/>
        <v>0</v>
      </c>
      <c r="AK146" s="12">
        <f t="shared" si="217"/>
        <v>0</v>
      </c>
      <c r="AL146" s="12">
        <f t="shared" si="217"/>
        <v>0</v>
      </c>
      <c r="AM146" s="12">
        <f t="shared" si="217"/>
        <v>0</v>
      </c>
      <c r="AN146" s="12">
        <f t="shared" si="217"/>
        <v>0</v>
      </c>
      <c r="AO146" s="12">
        <f t="shared" ref="AO146:BT146" si="218">-AO139*$E$61</f>
        <v>0</v>
      </c>
      <c r="AP146" s="12">
        <f t="shared" si="218"/>
        <v>0</v>
      </c>
      <c r="AQ146" s="12">
        <f t="shared" si="218"/>
        <v>0</v>
      </c>
      <c r="AR146" s="12">
        <f t="shared" si="218"/>
        <v>0</v>
      </c>
      <c r="AS146" s="12">
        <f t="shared" si="218"/>
        <v>-796.14499999999987</v>
      </c>
      <c r="AT146" s="12">
        <f t="shared" si="218"/>
        <v>-796.14499999999987</v>
      </c>
      <c r="AU146" s="12">
        <f t="shared" si="218"/>
        <v>-796.14499999999987</v>
      </c>
      <c r="AV146" s="12">
        <f t="shared" si="218"/>
        <v>-796.14499999999987</v>
      </c>
      <c r="AW146" s="12">
        <f t="shared" si="218"/>
        <v>-796.14499999999987</v>
      </c>
      <c r="AX146" s="12">
        <f t="shared" si="218"/>
        <v>-796.14499999999987</v>
      </c>
      <c r="AY146" s="12">
        <f t="shared" si="218"/>
        <v>-265.3816666666666</v>
      </c>
      <c r="AZ146" s="12">
        <f t="shared" si="218"/>
        <v>-265.3816666666666</v>
      </c>
      <c r="BA146" s="12">
        <f t="shared" si="218"/>
        <v>-265.3816666666666</v>
      </c>
      <c r="BB146" s="12">
        <f t="shared" si="218"/>
        <v>-265.3816666666666</v>
      </c>
      <c r="BC146" s="12">
        <f t="shared" si="218"/>
        <v>-265.3816666666666</v>
      </c>
      <c r="BD146" s="12">
        <f t="shared" si="218"/>
        <v>-265.3816666666666</v>
      </c>
      <c r="BE146" s="12">
        <f t="shared" si="218"/>
        <v>-265.3816666666666</v>
      </c>
      <c r="BF146" s="12">
        <f t="shared" si="218"/>
        <v>-265.3816666666666</v>
      </c>
      <c r="BG146" s="12">
        <f t="shared" si="218"/>
        <v>-265.3816666666666</v>
      </c>
      <c r="BH146" s="12">
        <f t="shared" si="218"/>
        <v>-265.3816666666666</v>
      </c>
      <c r="BI146" s="12">
        <f t="shared" si="218"/>
        <v>-265.3816666666666</v>
      </c>
      <c r="BJ146" s="12">
        <f t="shared" si="218"/>
        <v>-265.3816666666666</v>
      </c>
      <c r="BK146" s="12">
        <f t="shared" si="218"/>
        <v>-265.3816666666666</v>
      </c>
      <c r="BL146" s="12">
        <f t="shared" si="218"/>
        <v>-265.3816666666666</v>
      </c>
      <c r="BM146" s="12">
        <f t="shared" si="218"/>
        <v>-265.3816666666666</v>
      </c>
      <c r="BN146" s="12">
        <f t="shared" si="218"/>
        <v>-265.3816666666666</v>
      </c>
      <c r="BO146" s="12">
        <f t="shared" si="218"/>
        <v>-265.3816666666666</v>
      </c>
      <c r="BP146" s="12">
        <f t="shared" si="218"/>
        <v>-265.3816666666666</v>
      </c>
      <c r="BQ146" s="12">
        <f t="shared" si="218"/>
        <v>-265.3816666666666</v>
      </c>
      <c r="BR146" s="12">
        <f t="shared" si="218"/>
        <v>-265.3816666666666</v>
      </c>
      <c r="BS146" s="12">
        <f t="shared" si="218"/>
        <v>-265.3816666666666</v>
      </c>
      <c r="BT146" s="12">
        <f t="shared" si="218"/>
        <v>-265.3816666666666</v>
      </c>
      <c r="BU146" s="12">
        <f t="shared" ref="BU146:CZ146" si="219">-BU139*$E$61</f>
        <v>-265.3816666666666</v>
      </c>
      <c r="BV146" s="12">
        <f t="shared" si="219"/>
        <v>-265.3816666666666</v>
      </c>
      <c r="BW146" s="12">
        <f t="shared" si="219"/>
        <v>-265.3816666666666</v>
      </c>
      <c r="BX146" s="12">
        <f t="shared" si="219"/>
        <v>-265.3816666666666</v>
      </c>
      <c r="BY146" s="12">
        <f t="shared" si="219"/>
        <v>-265.3816666666666</v>
      </c>
      <c r="BZ146" s="12">
        <f t="shared" si="219"/>
        <v>-265.3816666666666</v>
      </c>
      <c r="CA146" s="12">
        <f t="shared" si="219"/>
        <v>-265.3816666666666</v>
      </c>
      <c r="CB146" s="12">
        <f t="shared" si="219"/>
        <v>-265.3816666666666</v>
      </c>
      <c r="CC146" s="12">
        <f t="shared" si="219"/>
        <v>-265.3816666666666</v>
      </c>
      <c r="CD146" s="12">
        <f t="shared" si="219"/>
        <v>-265.3816666666666</v>
      </c>
      <c r="CE146" s="12">
        <f t="shared" si="219"/>
        <v>-265.3816666666666</v>
      </c>
      <c r="CF146" s="12">
        <f t="shared" si="219"/>
        <v>-265.3816666666666</v>
      </c>
      <c r="CG146" s="12">
        <f t="shared" si="219"/>
        <v>-265.3816666666666</v>
      </c>
      <c r="CH146" s="12">
        <f t="shared" si="219"/>
        <v>-265.3816666666666</v>
      </c>
      <c r="CI146" s="12">
        <f t="shared" si="219"/>
        <v>0</v>
      </c>
      <c r="CJ146" s="12">
        <f t="shared" si="219"/>
        <v>-132.6908333333333</v>
      </c>
      <c r="CK146" s="12">
        <f t="shared" si="219"/>
        <v>-132.6908333333333</v>
      </c>
      <c r="CL146" s="12">
        <f t="shared" si="219"/>
        <v>-132.6908333333333</v>
      </c>
      <c r="CM146" s="12">
        <f t="shared" si="219"/>
        <v>-132.6908333333333</v>
      </c>
      <c r="CN146" s="12">
        <f t="shared" si="219"/>
        <v>-132.6908333333333</v>
      </c>
      <c r="CO146" s="12">
        <f t="shared" si="219"/>
        <v>-132.6908333333333</v>
      </c>
      <c r="CP146" s="12">
        <f t="shared" si="219"/>
        <v>-132.6908333333333</v>
      </c>
      <c r="CQ146" s="12">
        <f t="shared" si="219"/>
        <v>-132.6908333333333</v>
      </c>
      <c r="CR146" s="12">
        <f t="shared" si="219"/>
        <v>-132.6908333333333</v>
      </c>
      <c r="CS146" s="12">
        <f t="shared" si="219"/>
        <v>-132.6908333333333</v>
      </c>
      <c r="CT146" s="12">
        <f t="shared" si="219"/>
        <v>-132.6908333333333</v>
      </c>
      <c r="CU146" s="12">
        <f t="shared" si="219"/>
        <v>-132.6908333333333</v>
      </c>
      <c r="CV146" s="12">
        <f t="shared" si="219"/>
        <v>0</v>
      </c>
      <c r="CW146" s="12">
        <f t="shared" si="219"/>
        <v>0</v>
      </c>
      <c r="CX146" s="12">
        <f t="shared" si="219"/>
        <v>0</v>
      </c>
      <c r="CY146" s="12">
        <f t="shared" si="219"/>
        <v>0</v>
      </c>
      <c r="CZ146" s="12">
        <f t="shared" si="219"/>
        <v>0</v>
      </c>
      <c r="DA146" s="12">
        <f t="shared" ref="DA146:EF146" si="220">-DA139*$E$61</f>
        <v>0</v>
      </c>
      <c r="DB146" s="12">
        <f t="shared" si="220"/>
        <v>0</v>
      </c>
      <c r="DC146" s="12">
        <f t="shared" si="220"/>
        <v>0</v>
      </c>
      <c r="DD146" s="12">
        <f t="shared" si="220"/>
        <v>0</v>
      </c>
      <c r="DE146" s="12">
        <f t="shared" si="220"/>
        <v>0</v>
      </c>
      <c r="DF146" s="12">
        <f t="shared" si="220"/>
        <v>0</v>
      </c>
      <c r="DG146" s="12">
        <f t="shared" si="220"/>
        <v>0</v>
      </c>
      <c r="DH146" s="12">
        <f t="shared" si="220"/>
        <v>0</v>
      </c>
      <c r="DI146" s="12">
        <f t="shared" si="220"/>
        <v>0</v>
      </c>
      <c r="DJ146" s="12">
        <f t="shared" si="220"/>
        <v>0</v>
      </c>
      <c r="DK146" s="12">
        <f t="shared" si="220"/>
        <v>0</v>
      </c>
      <c r="DL146" s="12">
        <f t="shared" si="220"/>
        <v>0</v>
      </c>
      <c r="DM146" s="12">
        <f t="shared" si="220"/>
        <v>0</v>
      </c>
      <c r="DN146" s="12">
        <f t="shared" si="220"/>
        <v>0</v>
      </c>
      <c r="DO146" s="12">
        <f t="shared" si="220"/>
        <v>0</v>
      </c>
      <c r="DP146" s="12">
        <f t="shared" si="220"/>
        <v>0</v>
      </c>
      <c r="DQ146" s="12">
        <f t="shared" si="220"/>
        <v>0</v>
      </c>
      <c r="DR146" s="12">
        <f t="shared" si="220"/>
        <v>0</v>
      </c>
      <c r="DS146" s="12">
        <f t="shared" si="220"/>
        <v>0</v>
      </c>
      <c r="DT146" s="12">
        <f t="shared" si="220"/>
        <v>0</v>
      </c>
      <c r="DU146" s="12">
        <f t="shared" si="220"/>
        <v>0</v>
      </c>
      <c r="DV146" s="12">
        <f t="shared" si="220"/>
        <v>0</v>
      </c>
      <c r="DW146" s="12">
        <f t="shared" si="220"/>
        <v>0</v>
      </c>
      <c r="DX146" s="12">
        <f t="shared" si="220"/>
        <v>0</v>
      </c>
      <c r="DY146" s="12">
        <f t="shared" si="220"/>
        <v>0</v>
      </c>
      <c r="DZ146" s="12">
        <f t="shared" si="220"/>
        <v>0</v>
      </c>
      <c r="EA146" s="12">
        <f t="shared" si="220"/>
        <v>0</v>
      </c>
      <c r="EB146" s="12">
        <f t="shared" si="220"/>
        <v>0</v>
      </c>
      <c r="EC146" s="12">
        <f t="shared" si="220"/>
        <v>0</v>
      </c>
      <c r="ED146" s="12">
        <f t="shared" si="220"/>
        <v>0</v>
      </c>
      <c r="EE146" s="12">
        <f t="shared" si="220"/>
        <v>0</v>
      </c>
      <c r="EF146" s="12">
        <f t="shared" si="220"/>
        <v>0</v>
      </c>
      <c r="EG146" s="12">
        <f t="shared" ref="EG146:FH146" si="221">-EG139*$E$61</f>
        <v>0</v>
      </c>
      <c r="EH146" s="12">
        <f t="shared" si="221"/>
        <v>0</v>
      </c>
      <c r="EI146" s="12">
        <f t="shared" si="221"/>
        <v>0</v>
      </c>
      <c r="EJ146" s="12">
        <f t="shared" si="221"/>
        <v>0</v>
      </c>
      <c r="EK146" s="12">
        <f t="shared" si="221"/>
        <v>0</v>
      </c>
      <c r="EL146" s="12">
        <f t="shared" si="221"/>
        <v>0</v>
      </c>
      <c r="EM146" s="12">
        <f t="shared" si="221"/>
        <v>0</v>
      </c>
      <c r="EN146" s="12">
        <f t="shared" si="221"/>
        <v>0</v>
      </c>
      <c r="EO146" s="12">
        <f t="shared" si="221"/>
        <v>0</v>
      </c>
      <c r="EP146" s="12">
        <f t="shared" si="221"/>
        <v>0</v>
      </c>
      <c r="EQ146" s="12">
        <f t="shared" si="221"/>
        <v>0</v>
      </c>
      <c r="ER146" s="12">
        <f t="shared" si="221"/>
        <v>0</v>
      </c>
      <c r="ES146" s="12">
        <f t="shared" si="221"/>
        <v>0</v>
      </c>
      <c r="ET146" s="12">
        <f t="shared" si="221"/>
        <v>0</v>
      </c>
      <c r="EU146" s="12">
        <f t="shared" si="221"/>
        <v>0</v>
      </c>
      <c r="EV146" s="12">
        <f t="shared" si="221"/>
        <v>0</v>
      </c>
      <c r="EW146" s="12">
        <f t="shared" si="221"/>
        <v>0</v>
      </c>
      <c r="EX146" s="12">
        <f t="shared" si="221"/>
        <v>0</v>
      </c>
      <c r="EY146" s="12">
        <f t="shared" si="221"/>
        <v>0</v>
      </c>
      <c r="EZ146" s="12">
        <f t="shared" si="221"/>
        <v>0</v>
      </c>
      <c r="FA146" s="12">
        <f t="shared" si="221"/>
        <v>0</v>
      </c>
      <c r="FB146" s="12">
        <f t="shared" si="221"/>
        <v>0</v>
      </c>
      <c r="FC146" s="12">
        <f t="shared" si="221"/>
        <v>0</v>
      </c>
      <c r="FD146" s="12">
        <f t="shared" si="221"/>
        <v>0</v>
      </c>
      <c r="FE146" s="12">
        <f t="shared" si="221"/>
        <v>0</v>
      </c>
      <c r="FF146" s="12">
        <f t="shared" si="221"/>
        <v>0</v>
      </c>
      <c r="FG146" s="12">
        <f t="shared" si="221"/>
        <v>0</v>
      </c>
      <c r="FH146" s="12">
        <f t="shared" si="221"/>
        <v>0</v>
      </c>
    </row>
    <row r="147" spans="1:164" x14ac:dyDescent="0.2">
      <c r="A147" s="10"/>
      <c r="B147" s="10"/>
      <c r="C147" s="10" t="s">
        <v>492</v>
      </c>
      <c r="D147" s="10"/>
      <c r="E147" s="10"/>
      <c r="F147" s="10"/>
      <c r="G147" s="10"/>
      <c r="H147" s="12">
        <f t="shared" si="196"/>
        <v>-12101.403999999993</v>
      </c>
      <c r="I147" s="12">
        <f t="shared" ref="I147:AN147" si="222">-(I145+I146)*$E$62</f>
        <v>0</v>
      </c>
      <c r="J147" s="12">
        <f t="shared" si="222"/>
        <v>0</v>
      </c>
      <c r="K147" s="12">
        <f t="shared" si="222"/>
        <v>0</v>
      </c>
      <c r="L147" s="12">
        <f t="shared" si="222"/>
        <v>0</v>
      </c>
      <c r="M147" s="12">
        <f t="shared" si="222"/>
        <v>0</v>
      </c>
      <c r="N147" s="12">
        <f t="shared" si="222"/>
        <v>0</v>
      </c>
      <c r="O147" s="12">
        <f t="shared" si="222"/>
        <v>0</v>
      </c>
      <c r="P147" s="12">
        <f t="shared" si="222"/>
        <v>0</v>
      </c>
      <c r="Q147" s="12">
        <f t="shared" si="222"/>
        <v>0</v>
      </c>
      <c r="R147" s="12">
        <f t="shared" si="222"/>
        <v>0</v>
      </c>
      <c r="S147" s="12">
        <f t="shared" si="222"/>
        <v>0</v>
      </c>
      <c r="T147" s="12">
        <f t="shared" si="222"/>
        <v>0</v>
      </c>
      <c r="U147" s="12">
        <f t="shared" si="222"/>
        <v>0</v>
      </c>
      <c r="V147" s="12">
        <f t="shared" si="222"/>
        <v>0</v>
      </c>
      <c r="W147" s="12">
        <f t="shared" si="222"/>
        <v>0</v>
      </c>
      <c r="X147" s="12">
        <f t="shared" si="222"/>
        <v>0</v>
      </c>
      <c r="Y147" s="12">
        <f t="shared" si="222"/>
        <v>0</v>
      </c>
      <c r="Z147" s="12">
        <f t="shared" si="222"/>
        <v>0</v>
      </c>
      <c r="AA147" s="12">
        <f t="shared" si="222"/>
        <v>0</v>
      </c>
      <c r="AB147" s="12">
        <f t="shared" si="222"/>
        <v>0</v>
      </c>
      <c r="AC147" s="12">
        <f t="shared" si="222"/>
        <v>0</v>
      </c>
      <c r="AD147" s="12">
        <f t="shared" si="222"/>
        <v>0</v>
      </c>
      <c r="AE147" s="12">
        <f t="shared" si="222"/>
        <v>0</v>
      </c>
      <c r="AF147" s="12">
        <f t="shared" si="222"/>
        <v>0</v>
      </c>
      <c r="AG147" s="12">
        <f t="shared" si="222"/>
        <v>0</v>
      </c>
      <c r="AH147" s="12">
        <f t="shared" si="222"/>
        <v>0</v>
      </c>
      <c r="AI147" s="12">
        <f t="shared" si="222"/>
        <v>0</v>
      </c>
      <c r="AJ147" s="12">
        <f t="shared" si="222"/>
        <v>0</v>
      </c>
      <c r="AK147" s="12">
        <f t="shared" si="222"/>
        <v>0</v>
      </c>
      <c r="AL147" s="12">
        <f t="shared" si="222"/>
        <v>0</v>
      </c>
      <c r="AM147" s="12">
        <f t="shared" si="222"/>
        <v>0</v>
      </c>
      <c r="AN147" s="12">
        <f t="shared" si="222"/>
        <v>0</v>
      </c>
      <c r="AO147" s="12">
        <f t="shared" ref="AO147:BT147" si="223">-(AO145+AO146)*$E$62</f>
        <v>0</v>
      </c>
      <c r="AP147" s="12">
        <f t="shared" si="223"/>
        <v>0</v>
      </c>
      <c r="AQ147" s="12">
        <f t="shared" si="223"/>
        <v>0</v>
      </c>
      <c r="AR147" s="12">
        <f t="shared" si="223"/>
        <v>0</v>
      </c>
      <c r="AS147" s="12">
        <f t="shared" si="223"/>
        <v>-36.395199999999988</v>
      </c>
      <c r="AT147" s="12">
        <f t="shared" si="223"/>
        <v>-41.055560975609751</v>
      </c>
      <c r="AU147" s="12">
        <f t="shared" si="223"/>
        <v>-45.832430975609753</v>
      </c>
      <c r="AV147" s="12">
        <f t="shared" si="223"/>
        <v>-50.731784821763597</v>
      </c>
      <c r="AW147" s="12">
        <f t="shared" si="223"/>
        <v>-55.760069032289906</v>
      </c>
      <c r="AX147" s="12">
        <f t="shared" si="223"/>
        <v>-60.924252816073697</v>
      </c>
      <c r="AY147" s="12">
        <f t="shared" si="223"/>
        <v>-41.462930593851468</v>
      </c>
      <c r="AZ147" s="12">
        <f t="shared" si="223"/>
        <v>-43.282690593851477</v>
      </c>
      <c r="BA147" s="12">
        <f t="shared" si="223"/>
        <v>-45.155972946792645</v>
      </c>
      <c r="BB147" s="12">
        <f t="shared" si="223"/>
        <v>-47.086021431641129</v>
      </c>
      <c r="BC147" s="12">
        <f t="shared" si="223"/>
        <v>-49.076383931641139</v>
      </c>
      <c r="BD147" s="12">
        <f t="shared" si="223"/>
        <v>-51.130951673576618</v>
      </c>
      <c r="BE147" s="12">
        <f t="shared" si="223"/>
        <v>-53.254005006909956</v>
      </c>
      <c r="BF147" s="12">
        <f t="shared" si="223"/>
        <v>-55.450267075875473</v>
      </c>
      <c r="BG147" s="12">
        <f t="shared" si="223"/>
        <v>-57.724967075875469</v>
      </c>
      <c r="BH147" s="12">
        <f t="shared" si="223"/>
        <v>-60.08391522402362</v>
      </c>
      <c r="BI147" s="12">
        <f t="shared" si="223"/>
        <v>-62.533592147100535</v>
      </c>
      <c r="BJ147" s="12">
        <f t="shared" si="223"/>
        <v>-65.081256147100547</v>
      </c>
      <c r="BK147" s="12">
        <f t="shared" si="223"/>
        <v>-67.735072813767204</v>
      </c>
      <c r="BL147" s="12">
        <f t="shared" si="223"/>
        <v>-70.504272813767201</v>
      </c>
      <c r="BM147" s="12">
        <f t="shared" si="223"/>
        <v>-73.399345541039935</v>
      </c>
      <c r="BN147" s="12">
        <f t="shared" si="223"/>
        <v>-76.432278874373267</v>
      </c>
      <c r="BO147" s="12">
        <f t="shared" si="223"/>
        <v>-79.61685887437325</v>
      </c>
      <c r="BP147" s="12">
        <f t="shared" si="223"/>
        <v>-82.969048348057456</v>
      </c>
      <c r="BQ147" s="12">
        <f t="shared" si="223"/>
        <v>-86.507470570279693</v>
      </c>
      <c r="BR147" s="12">
        <f t="shared" si="223"/>
        <v>-90.254035276162057</v>
      </c>
      <c r="BS147" s="12">
        <f t="shared" si="223"/>
        <v>-94.234760276162049</v>
      </c>
      <c r="BT147" s="12">
        <f t="shared" si="223"/>
        <v>-98.480866942828726</v>
      </c>
      <c r="BU147" s="12">
        <f t="shared" ref="BU147:CZ147" si="224">-(BU145+BU146)*$E$62</f>
        <v>-103.03026694282873</v>
      </c>
      <c r="BV147" s="12">
        <f t="shared" si="224"/>
        <v>-107.92962078898258</v>
      </c>
      <c r="BW147" s="12">
        <f t="shared" si="224"/>
        <v>-113.2372541223159</v>
      </c>
      <c r="BX147" s="12">
        <f t="shared" si="224"/>
        <v>-119.02739957686136</v>
      </c>
      <c r="BY147" s="12">
        <f t="shared" si="224"/>
        <v>-125.39655957686135</v>
      </c>
      <c r="BZ147" s="12">
        <f t="shared" si="224"/>
        <v>-132.47340402130581</v>
      </c>
      <c r="CA147" s="12">
        <f t="shared" si="224"/>
        <v>-140.4348540213058</v>
      </c>
      <c r="CB147" s="12">
        <f t="shared" si="224"/>
        <v>-149.53365402130581</v>
      </c>
      <c r="CC147" s="12">
        <f t="shared" si="224"/>
        <v>-160.14892068797243</v>
      </c>
      <c r="CD147" s="12">
        <f t="shared" si="224"/>
        <v>-172.88724068797248</v>
      </c>
      <c r="CE147" s="12">
        <f t="shared" si="224"/>
        <v>-188.81014068797251</v>
      </c>
      <c r="CF147" s="12">
        <f t="shared" si="224"/>
        <v>-210.04067402130582</v>
      </c>
      <c r="CG147" s="12">
        <f t="shared" si="224"/>
        <v>-241.88647402130582</v>
      </c>
      <c r="CH147" s="12">
        <f t="shared" si="224"/>
        <v>-305.57807402130578</v>
      </c>
      <c r="CI147" s="12">
        <f t="shared" si="224"/>
        <v>-1146.4488000000003</v>
      </c>
      <c r="CJ147" s="12">
        <f t="shared" si="224"/>
        <v>-47.768699999999988</v>
      </c>
      <c r="CK147" s="12">
        <f t="shared" si="224"/>
        <v>-47.768699999999988</v>
      </c>
      <c r="CL147" s="12">
        <f t="shared" si="224"/>
        <v>-47.768699999999988</v>
      </c>
      <c r="CM147" s="12">
        <f t="shared" si="224"/>
        <v>-47.768699999999988</v>
      </c>
      <c r="CN147" s="12">
        <f t="shared" si="224"/>
        <v>-47.768699999999988</v>
      </c>
      <c r="CO147" s="12">
        <f t="shared" si="224"/>
        <v>-47.768699999999988</v>
      </c>
      <c r="CP147" s="12">
        <f t="shared" si="224"/>
        <v>-47.768699999999988</v>
      </c>
      <c r="CQ147" s="12">
        <f t="shared" si="224"/>
        <v>-47.768699999999988</v>
      </c>
      <c r="CR147" s="12">
        <f t="shared" si="224"/>
        <v>-47.768699999999988</v>
      </c>
      <c r="CS147" s="12">
        <f t="shared" si="224"/>
        <v>-47.768699999999988</v>
      </c>
      <c r="CT147" s="12">
        <f t="shared" si="224"/>
        <v>-47.768699999999988</v>
      </c>
      <c r="CU147" s="12">
        <f t="shared" si="224"/>
        <v>-47.768699999999988</v>
      </c>
      <c r="CV147" s="12">
        <f t="shared" si="224"/>
        <v>-6369.159999999998</v>
      </c>
      <c r="CW147" s="12">
        <f t="shared" si="224"/>
        <v>0</v>
      </c>
      <c r="CX147" s="12">
        <f t="shared" si="224"/>
        <v>0</v>
      </c>
      <c r="CY147" s="12">
        <f t="shared" si="224"/>
        <v>0</v>
      </c>
      <c r="CZ147" s="12">
        <f t="shared" si="224"/>
        <v>0</v>
      </c>
      <c r="DA147" s="12">
        <f t="shared" ref="DA147:EF147" si="225">-(DA145+DA146)*$E$62</f>
        <v>0</v>
      </c>
      <c r="DB147" s="12">
        <f t="shared" si="225"/>
        <v>0</v>
      </c>
      <c r="DC147" s="12">
        <f t="shared" si="225"/>
        <v>0</v>
      </c>
      <c r="DD147" s="12">
        <f t="shared" si="225"/>
        <v>0</v>
      </c>
      <c r="DE147" s="12">
        <f t="shared" si="225"/>
        <v>0</v>
      </c>
      <c r="DF147" s="12">
        <f t="shared" si="225"/>
        <v>0</v>
      </c>
      <c r="DG147" s="12">
        <f t="shared" si="225"/>
        <v>0</v>
      </c>
      <c r="DH147" s="12">
        <f t="shared" si="225"/>
        <v>0</v>
      </c>
      <c r="DI147" s="12">
        <f t="shared" si="225"/>
        <v>0</v>
      </c>
      <c r="DJ147" s="12">
        <f t="shared" si="225"/>
        <v>0</v>
      </c>
      <c r="DK147" s="12">
        <f t="shared" si="225"/>
        <v>0</v>
      </c>
      <c r="DL147" s="12">
        <f t="shared" si="225"/>
        <v>0</v>
      </c>
      <c r="DM147" s="12">
        <f t="shared" si="225"/>
        <v>0</v>
      </c>
      <c r="DN147" s="12">
        <f t="shared" si="225"/>
        <v>0</v>
      </c>
      <c r="DO147" s="12">
        <f t="shared" si="225"/>
        <v>0</v>
      </c>
      <c r="DP147" s="12">
        <f t="shared" si="225"/>
        <v>0</v>
      </c>
      <c r="DQ147" s="12">
        <f t="shared" si="225"/>
        <v>0</v>
      </c>
      <c r="DR147" s="12">
        <f t="shared" si="225"/>
        <v>0</v>
      </c>
      <c r="DS147" s="12">
        <f t="shared" si="225"/>
        <v>0</v>
      </c>
      <c r="DT147" s="12">
        <f t="shared" si="225"/>
        <v>0</v>
      </c>
      <c r="DU147" s="12">
        <f t="shared" si="225"/>
        <v>0</v>
      </c>
      <c r="DV147" s="12">
        <f t="shared" si="225"/>
        <v>0</v>
      </c>
      <c r="DW147" s="12">
        <f t="shared" si="225"/>
        <v>0</v>
      </c>
      <c r="DX147" s="12">
        <f t="shared" si="225"/>
        <v>0</v>
      </c>
      <c r="DY147" s="12">
        <f t="shared" si="225"/>
        <v>0</v>
      </c>
      <c r="DZ147" s="12">
        <f t="shared" si="225"/>
        <v>0</v>
      </c>
      <c r="EA147" s="12">
        <f t="shared" si="225"/>
        <v>0</v>
      </c>
      <c r="EB147" s="12">
        <f t="shared" si="225"/>
        <v>0</v>
      </c>
      <c r="EC147" s="12">
        <f t="shared" si="225"/>
        <v>0</v>
      </c>
      <c r="ED147" s="12">
        <f t="shared" si="225"/>
        <v>0</v>
      </c>
      <c r="EE147" s="12">
        <f t="shared" si="225"/>
        <v>0</v>
      </c>
      <c r="EF147" s="12">
        <f t="shared" si="225"/>
        <v>0</v>
      </c>
      <c r="EG147" s="12">
        <f t="shared" ref="EG147:FH147" si="226">-(EG145+EG146)*$E$62</f>
        <v>0</v>
      </c>
      <c r="EH147" s="12">
        <f t="shared" si="226"/>
        <v>0</v>
      </c>
      <c r="EI147" s="12">
        <f t="shared" si="226"/>
        <v>0</v>
      </c>
      <c r="EJ147" s="12">
        <f t="shared" si="226"/>
        <v>0</v>
      </c>
      <c r="EK147" s="12">
        <f t="shared" si="226"/>
        <v>0</v>
      </c>
      <c r="EL147" s="12">
        <f t="shared" si="226"/>
        <v>0</v>
      </c>
      <c r="EM147" s="12">
        <f t="shared" si="226"/>
        <v>0</v>
      </c>
      <c r="EN147" s="12">
        <f t="shared" si="226"/>
        <v>0</v>
      </c>
      <c r="EO147" s="12">
        <f t="shared" si="226"/>
        <v>0</v>
      </c>
      <c r="EP147" s="12">
        <f t="shared" si="226"/>
        <v>0</v>
      </c>
      <c r="EQ147" s="12">
        <f t="shared" si="226"/>
        <v>0</v>
      </c>
      <c r="ER147" s="12">
        <f t="shared" si="226"/>
        <v>0</v>
      </c>
      <c r="ES147" s="12">
        <f t="shared" si="226"/>
        <v>0</v>
      </c>
      <c r="ET147" s="12">
        <f t="shared" si="226"/>
        <v>0</v>
      </c>
      <c r="EU147" s="12">
        <f t="shared" si="226"/>
        <v>0</v>
      </c>
      <c r="EV147" s="12">
        <f t="shared" si="226"/>
        <v>0</v>
      </c>
      <c r="EW147" s="12">
        <f t="shared" si="226"/>
        <v>0</v>
      </c>
      <c r="EX147" s="12">
        <f t="shared" si="226"/>
        <v>0</v>
      </c>
      <c r="EY147" s="12">
        <f t="shared" si="226"/>
        <v>0</v>
      </c>
      <c r="EZ147" s="12">
        <f t="shared" si="226"/>
        <v>0</v>
      </c>
      <c r="FA147" s="12">
        <f t="shared" si="226"/>
        <v>0</v>
      </c>
      <c r="FB147" s="12">
        <f t="shared" si="226"/>
        <v>0</v>
      </c>
      <c r="FC147" s="12">
        <f t="shared" si="226"/>
        <v>0</v>
      </c>
      <c r="FD147" s="12">
        <f t="shared" si="226"/>
        <v>0</v>
      </c>
      <c r="FE147" s="12">
        <f t="shared" si="226"/>
        <v>0</v>
      </c>
      <c r="FF147" s="12">
        <f t="shared" si="226"/>
        <v>0</v>
      </c>
      <c r="FG147" s="12">
        <f t="shared" si="226"/>
        <v>0</v>
      </c>
      <c r="FH147" s="12">
        <f t="shared" si="226"/>
        <v>0</v>
      </c>
    </row>
    <row r="148" spans="1:164" x14ac:dyDescent="0.2">
      <c r="A148" s="10"/>
      <c r="B148" s="10"/>
      <c r="C148" s="10" t="s">
        <v>754</v>
      </c>
      <c r="D148" s="10"/>
      <c r="E148" s="10"/>
      <c r="F148" s="10"/>
      <c r="G148" s="10"/>
      <c r="H148" s="12">
        <f t="shared" si="196"/>
        <v>-12738.32</v>
      </c>
      <c r="I148" s="12">
        <f t="shared" ref="I148:AN148" si="227">-I145*$E$63</f>
        <v>0</v>
      </c>
      <c r="J148" s="12">
        <f t="shared" si="227"/>
        <v>0</v>
      </c>
      <c r="K148" s="12">
        <f t="shared" si="227"/>
        <v>0</v>
      </c>
      <c r="L148" s="12">
        <f t="shared" si="227"/>
        <v>0</v>
      </c>
      <c r="M148" s="12">
        <f t="shared" si="227"/>
        <v>0</v>
      </c>
      <c r="N148" s="12">
        <f t="shared" si="227"/>
        <v>0</v>
      </c>
      <c r="O148" s="12">
        <f t="shared" si="227"/>
        <v>0</v>
      </c>
      <c r="P148" s="12">
        <f t="shared" si="227"/>
        <v>0</v>
      </c>
      <c r="Q148" s="12">
        <f t="shared" si="227"/>
        <v>0</v>
      </c>
      <c r="R148" s="12">
        <f t="shared" si="227"/>
        <v>0</v>
      </c>
      <c r="S148" s="12">
        <f t="shared" si="227"/>
        <v>0</v>
      </c>
      <c r="T148" s="12">
        <f t="shared" si="227"/>
        <v>0</v>
      </c>
      <c r="U148" s="12">
        <f t="shared" si="227"/>
        <v>0</v>
      </c>
      <c r="V148" s="12">
        <f t="shared" si="227"/>
        <v>0</v>
      </c>
      <c r="W148" s="12">
        <f t="shared" si="227"/>
        <v>0</v>
      </c>
      <c r="X148" s="12">
        <f t="shared" si="227"/>
        <v>0</v>
      </c>
      <c r="Y148" s="12">
        <f t="shared" si="227"/>
        <v>0</v>
      </c>
      <c r="Z148" s="12">
        <f t="shared" si="227"/>
        <v>0</v>
      </c>
      <c r="AA148" s="12">
        <f t="shared" si="227"/>
        <v>0</v>
      </c>
      <c r="AB148" s="12">
        <f t="shared" si="227"/>
        <v>0</v>
      </c>
      <c r="AC148" s="12">
        <f t="shared" si="227"/>
        <v>0</v>
      </c>
      <c r="AD148" s="12">
        <f t="shared" si="227"/>
        <v>0</v>
      </c>
      <c r="AE148" s="12">
        <f t="shared" si="227"/>
        <v>0</v>
      </c>
      <c r="AF148" s="12">
        <f t="shared" si="227"/>
        <v>0</v>
      </c>
      <c r="AG148" s="12">
        <f t="shared" si="227"/>
        <v>0</v>
      </c>
      <c r="AH148" s="12">
        <f t="shared" si="227"/>
        <v>0</v>
      </c>
      <c r="AI148" s="12">
        <f t="shared" si="227"/>
        <v>0</v>
      </c>
      <c r="AJ148" s="12">
        <f t="shared" si="227"/>
        <v>0</v>
      </c>
      <c r="AK148" s="12">
        <f t="shared" si="227"/>
        <v>0</v>
      </c>
      <c r="AL148" s="12">
        <f t="shared" si="227"/>
        <v>0</v>
      </c>
      <c r="AM148" s="12">
        <f t="shared" si="227"/>
        <v>0</v>
      </c>
      <c r="AN148" s="12">
        <f t="shared" si="227"/>
        <v>0</v>
      </c>
      <c r="AO148" s="12">
        <f t="shared" ref="AO148:BT148" si="228">-AO145*$E$63</f>
        <v>0</v>
      </c>
      <c r="AP148" s="12">
        <f t="shared" si="228"/>
        <v>0</v>
      </c>
      <c r="AQ148" s="12">
        <f t="shared" si="228"/>
        <v>0</v>
      </c>
      <c r="AR148" s="12">
        <f t="shared" si="228"/>
        <v>0</v>
      </c>
      <c r="AS148" s="12">
        <f t="shared" si="228"/>
        <v>-68.240999999999985</v>
      </c>
      <c r="AT148" s="12">
        <f t="shared" si="228"/>
        <v>-72.901360975609748</v>
      </c>
      <c r="AU148" s="12">
        <f t="shared" si="228"/>
        <v>-77.678230975609736</v>
      </c>
      <c r="AV148" s="12">
        <f t="shared" si="228"/>
        <v>-82.577584821763594</v>
      </c>
      <c r="AW148" s="12">
        <f t="shared" si="228"/>
        <v>-87.605869032289903</v>
      </c>
      <c r="AX148" s="12">
        <f t="shared" si="228"/>
        <v>-92.770052816073701</v>
      </c>
      <c r="AY148" s="12">
        <f t="shared" si="228"/>
        <v>-52.078197260518138</v>
      </c>
      <c r="AZ148" s="12">
        <f t="shared" si="228"/>
        <v>-53.89795726051814</v>
      </c>
      <c r="BA148" s="12">
        <f t="shared" si="228"/>
        <v>-55.771239613459315</v>
      </c>
      <c r="BB148" s="12">
        <f t="shared" si="228"/>
        <v>-57.701288098307799</v>
      </c>
      <c r="BC148" s="12">
        <f t="shared" si="228"/>
        <v>-59.69165059830781</v>
      </c>
      <c r="BD148" s="12">
        <f t="shared" si="228"/>
        <v>-61.746218340243288</v>
      </c>
      <c r="BE148" s="12">
        <f t="shared" si="228"/>
        <v>-63.869271673576627</v>
      </c>
      <c r="BF148" s="12">
        <f t="shared" si="228"/>
        <v>-66.065533742542144</v>
      </c>
      <c r="BG148" s="12">
        <f t="shared" si="228"/>
        <v>-68.340233742542139</v>
      </c>
      <c r="BH148" s="12">
        <f t="shared" si="228"/>
        <v>-70.699181890690284</v>
      </c>
      <c r="BI148" s="12">
        <f t="shared" si="228"/>
        <v>-73.148858813767205</v>
      </c>
      <c r="BJ148" s="12">
        <f t="shared" si="228"/>
        <v>-75.696522813767203</v>
      </c>
      <c r="BK148" s="12">
        <f t="shared" si="228"/>
        <v>-78.350339480433874</v>
      </c>
      <c r="BL148" s="12">
        <f t="shared" si="228"/>
        <v>-81.119539480433872</v>
      </c>
      <c r="BM148" s="12">
        <f t="shared" si="228"/>
        <v>-84.014612207706591</v>
      </c>
      <c r="BN148" s="12">
        <f t="shared" si="228"/>
        <v>-87.047545541039923</v>
      </c>
      <c r="BO148" s="12">
        <f t="shared" si="228"/>
        <v>-90.23212554103992</v>
      </c>
      <c r="BP148" s="12">
        <f t="shared" si="228"/>
        <v>-93.584315014724126</v>
      </c>
      <c r="BQ148" s="12">
        <f t="shared" si="228"/>
        <v>-97.122737236946364</v>
      </c>
      <c r="BR148" s="12">
        <f t="shared" si="228"/>
        <v>-100.86930194282871</v>
      </c>
      <c r="BS148" s="12">
        <f t="shared" si="228"/>
        <v>-104.85002694282872</v>
      </c>
      <c r="BT148" s="12">
        <f t="shared" si="228"/>
        <v>-109.0961336094954</v>
      </c>
      <c r="BU148" s="12">
        <f t="shared" ref="BU148:CZ148" si="229">-BU145*$E$63</f>
        <v>-113.6455336094954</v>
      </c>
      <c r="BV148" s="12">
        <f t="shared" si="229"/>
        <v>-118.54488745564925</v>
      </c>
      <c r="BW148" s="12">
        <f t="shared" si="229"/>
        <v>-123.85252078898257</v>
      </c>
      <c r="BX148" s="12">
        <f t="shared" si="229"/>
        <v>-129.64266624352803</v>
      </c>
      <c r="BY148" s="12">
        <f t="shared" si="229"/>
        <v>-136.01182624352802</v>
      </c>
      <c r="BZ148" s="12">
        <f t="shared" si="229"/>
        <v>-143.08867068797247</v>
      </c>
      <c r="CA148" s="12">
        <f t="shared" si="229"/>
        <v>-151.05012068797248</v>
      </c>
      <c r="CB148" s="12">
        <f t="shared" si="229"/>
        <v>-160.14892068797246</v>
      </c>
      <c r="CC148" s="12">
        <f t="shared" si="229"/>
        <v>-170.76418735463912</v>
      </c>
      <c r="CD148" s="12">
        <f t="shared" si="229"/>
        <v>-183.50250735463914</v>
      </c>
      <c r="CE148" s="12">
        <f t="shared" si="229"/>
        <v>-199.42540735463913</v>
      </c>
      <c r="CF148" s="12">
        <f t="shared" si="229"/>
        <v>-220.65594068797247</v>
      </c>
      <c r="CG148" s="12">
        <f t="shared" si="229"/>
        <v>-252.50174068797244</v>
      </c>
      <c r="CH148" s="12">
        <f t="shared" si="229"/>
        <v>-316.19334068797247</v>
      </c>
      <c r="CI148" s="12">
        <f t="shared" si="229"/>
        <v>-1146.4488000000003</v>
      </c>
      <c r="CJ148" s="12">
        <f t="shared" si="229"/>
        <v>-53.076333333333324</v>
      </c>
      <c r="CK148" s="12">
        <f t="shared" si="229"/>
        <v>-53.076333333333324</v>
      </c>
      <c r="CL148" s="12">
        <f t="shared" si="229"/>
        <v>-53.076333333333324</v>
      </c>
      <c r="CM148" s="12">
        <f t="shared" si="229"/>
        <v>-53.076333333333324</v>
      </c>
      <c r="CN148" s="12">
        <f t="shared" si="229"/>
        <v>-53.076333333333324</v>
      </c>
      <c r="CO148" s="12">
        <f t="shared" si="229"/>
        <v>-53.076333333333324</v>
      </c>
      <c r="CP148" s="12">
        <f t="shared" si="229"/>
        <v>-53.076333333333324</v>
      </c>
      <c r="CQ148" s="12">
        <f t="shared" si="229"/>
        <v>-53.076333333333324</v>
      </c>
      <c r="CR148" s="12">
        <f t="shared" si="229"/>
        <v>-53.076333333333324</v>
      </c>
      <c r="CS148" s="12">
        <f t="shared" si="229"/>
        <v>-53.076333333333324</v>
      </c>
      <c r="CT148" s="12">
        <f t="shared" si="229"/>
        <v>-53.076333333333324</v>
      </c>
      <c r="CU148" s="12">
        <f t="shared" si="229"/>
        <v>-53.076333333333324</v>
      </c>
      <c r="CV148" s="12">
        <f t="shared" si="229"/>
        <v>-6369.159999999998</v>
      </c>
      <c r="CW148" s="12">
        <f t="shared" si="229"/>
        <v>0</v>
      </c>
      <c r="CX148" s="12">
        <f t="shared" si="229"/>
        <v>0</v>
      </c>
      <c r="CY148" s="12">
        <f t="shared" si="229"/>
        <v>0</v>
      </c>
      <c r="CZ148" s="12">
        <f t="shared" si="229"/>
        <v>0</v>
      </c>
      <c r="DA148" s="12">
        <f t="shared" ref="DA148:EF148" si="230">-DA145*$E$63</f>
        <v>0</v>
      </c>
      <c r="DB148" s="12">
        <f t="shared" si="230"/>
        <v>0</v>
      </c>
      <c r="DC148" s="12">
        <f t="shared" si="230"/>
        <v>0</v>
      </c>
      <c r="DD148" s="12">
        <f t="shared" si="230"/>
        <v>0</v>
      </c>
      <c r="DE148" s="12">
        <f t="shared" si="230"/>
        <v>0</v>
      </c>
      <c r="DF148" s="12">
        <f t="shared" si="230"/>
        <v>0</v>
      </c>
      <c r="DG148" s="12">
        <f t="shared" si="230"/>
        <v>0</v>
      </c>
      <c r="DH148" s="12">
        <f t="shared" si="230"/>
        <v>0</v>
      </c>
      <c r="DI148" s="12">
        <f t="shared" si="230"/>
        <v>0</v>
      </c>
      <c r="DJ148" s="12">
        <f t="shared" si="230"/>
        <v>0</v>
      </c>
      <c r="DK148" s="12">
        <f t="shared" si="230"/>
        <v>0</v>
      </c>
      <c r="DL148" s="12">
        <f t="shared" si="230"/>
        <v>0</v>
      </c>
      <c r="DM148" s="12">
        <f t="shared" si="230"/>
        <v>0</v>
      </c>
      <c r="DN148" s="12">
        <f t="shared" si="230"/>
        <v>0</v>
      </c>
      <c r="DO148" s="12">
        <f t="shared" si="230"/>
        <v>0</v>
      </c>
      <c r="DP148" s="12">
        <f t="shared" si="230"/>
        <v>0</v>
      </c>
      <c r="DQ148" s="12">
        <f t="shared" si="230"/>
        <v>0</v>
      </c>
      <c r="DR148" s="12">
        <f t="shared" si="230"/>
        <v>0</v>
      </c>
      <c r="DS148" s="12">
        <f t="shared" si="230"/>
        <v>0</v>
      </c>
      <c r="DT148" s="12">
        <f t="shared" si="230"/>
        <v>0</v>
      </c>
      <c r="DU148" s="12">
        <f t="shared" si="230"/>
        <v>0</v>
      </c>
      <c r="DV148" s="12">
        <f t="shared" si="230"/>
        <v>0</v>
      </c>
      <c r="DW148" s="12">
        <f t="shared" si="230"/>
        <v>0</v>
      </c>
      <c r="DX148" s="12">
        <f t="shared" si="230"/>
        <v>0</v>
      </c>
      <c r="DY148" s="12">
        <f t="shared" si="230"/>
        <v>0</v>
      </c>
      <c r="DZ148" s="12">
        <f t="shared" si="230"/>
        <v>0</v>
      </c>
      <c r="EA148" s="12">
        <f t="shared" si="230"/>
        <v>0</v>
      </c>
      <c r="EB148" s="12">
        <f t="shared" si="230"/>
        <v>0</v>
      </c>
      <c r="EC148" s="12">
        <f t="shared" si="230"/>
        <v>0</v>
      </c>
      <c r="ED148" s="12">
        <f t="shared" si="230"/>
        <v>0</v>
      </c>
      <c r="EE148" s="12">
        <f t="shared" si="230"/>
        <v>0</v>
      </c>
      <c r="EF148" s="12">
        <f t="shared" si="230"/>
        <v>0</v>
      </c>
      <c r="EG148" s="12">
        <f t="shared" ref="EG148:FH148" si="231">-EG145*$E$63</f>
        <v>0</v>
      </c>
      <c r="EH148" s="12">
        <f t="shared" si="231"/>
        <v>0</v>
      </c>
      <c r="EI148" s="12">
        <f t="shared" si="231"/>
        <v>0</v>
      </c>
      <c r="EJ148" s="12">
        <f t="shared" si="231"/>
        <v>0</v>
      </c>
      <c r="EK148" s="12">
        <f t="shared" si="231"/>
        <v>0</v>
      </c>
      <c r="EL148" s="12">
        <f t="shared" si="231"/>
        <v>0</v>
      </c>
      <c r="EM148" s="12">
        <f t="shared" si="231"/>
        <v>0</v>
      </c>
      <c r="EN148" s="12">
        <f t="shared" si="231"/>
        <v>0</v>
      </c>
      <c r="EO148" s="12">
        <f t="shared" si="231"/>
        <v>0</v>
      </c>
      <c r="EP148" s="12">
        <f t="shared" si="231"/>
        <v>0</v>
      </c>
      <c r="EQ148" s="12">
        <f t="shared" si="231"/>
        <v>0</v>
      </c>
      <c r="ER148" s="12">
        <f t="shared" si="231"/>
        <v>0</v>
      </c>
      <c r="ES148" s="12">
        <f t="shared" si="231"/>
        <v>0</v>
      </c>
      <c r="ET148" s="12">
        <f t="shared" si="231"/>
        <v>0</v>
      </c>
      <c r="EU148" s="12">
        <f t="shared" si="231"/>
        <v>0</v>
      </c>
      <c r="EV148" s="12">
        <f t="shared" si="231"/>
        <v>0</v>
      </c>
      <c r="EW148" s="12">
        <f t="shared" si="231"/>
        <v>0</v>
      </c>
      <c r="EX148" s="12">
        <f t="shared" si="231"/>
        <v>0</v>
      </c>
      <c r="EY148" s="12">
        <f t="shared" si="231"/>
        <v>0</v>
      </c>
      <c r="EZ148" s="12">
        <f t="shared" si="231"/>
        <v>0</v>
      </c>
      <c r="FA148" s="12">
        <f t="shared" si="231"/>
        <v>0</v>
      </c>
      <c r="FB148" s="12">
        <f t="shared" si="231"/>
        <v>0</v>
      </c>
      <c r="FC148" s="12">
        <f t="shared" si="231"/>
        <v>0</v>
      </c>
      <c r="FD148" s="12">
        <f t="shared" si="231"/>
        <v>0</v>
      </c>
      <c r="FE148" s="12">
        <f t="shared" si="231"/>
        <v>0</v>
      </c>
      <c r="FF148" s="12">
        <f t="shared" si="231"/>
        <v>0</v>
      </c>
      <c r="FG148" s="12">
        <f t="shared" si="231"/>
        <v>0</v>
      </c>
      <c r="FH148" s="12">
        <f t="shared" si="231"/>
        <v>0</v>
      </c>
    </row>
    <row r="149" spans="1:164" x14ac:dyDescent="0.2">
      <c r="A149" s="10"/>
      <c r="B149" s="10"/>
      <c r="C149" s="238" t="s">
        <v>7</v>
      </c>
      <c r="D149" s="238"/>
      <c r="E149" s="238"/>
      <c r="F149" s="238"/>
      <c r="G149" s="238"/>
      <c r="H149" s="239">
        <f t="shared" si="196"/>
        <v>277695.37599999993</v>
      </c>
      <c r="I149" s="239">
        <f t="shared" ref="I149:AN149" si="232">SUM(I145:I148)</f>
        <v>0</v>
      </c>
      <c r="J149" s="239">
        <f t="shared" si="232"/>
        <v>0</v>
      </c>
      <c r="K149" s="239">
        <f t="shared" si="232"/>
        <v>0</v>
      </c>
      <c r="L149" s="239">
        <f t="shared" si="232"/>
        <v>0</v>
      </c>
      <c r="M149" s="239">
        <f t="shared" si="232"/>
        <v>0</v>
      </c>
      <c r="N149" s="239">
        <f t="shared" si="232"/>
        <v>0</v>
      </c>
      <c r="O149" s="239">
        <f t="shared" si="232"/>
        <v>0</v>
      </c>
      <c r="P149" s="239">
        <f t="shared" si="232"/>
        <v>0</v>
      </c>
      <c r="Q149" s="239">
        <f t="shared" si="232"/>
        <v>0</v>
      </c>
      <c r="R149" s="239">
        <f t="shared" si="232"/>
        <v>0</v>
      </c>
      <c r="S149" s="239">
        <f t="shared" si="232"/>
        <v>0</v>
      </c>
      <c r="T149" s="239">
        <f t="shared" si="232"/>
        <v>0</v>
      </c>
      <c r="U149" s="239">
        <f t="shared" si="232"/>
        <v>0</v>
      </c>
      <c r="V149" s="239">
        <f t="shared" si="232"/>
        <v>0</v>
      </c>
      <c r="W149" s="239">
        <f t="shared" si="232"/>
        <v>0</v>
      </c>
      <c r="X149" s="239">
        <f t="shared" si="232"/>
        <v>0</v>
      </c>
      <c r="Y149" s="239">
        <f t="shared" si="232"/>
        <v>0</v>
      </c>
      <c r="Z149" s="239">
        <f t="shared" si="232"/>
        <v>0</v>
      </c>
      <c r="AA149" s="239">
        <f t="shared" si="232"/>
        <v>0</v>
      </c>
      <c r="AB149" s="239">
        <f t="shared" si="232"/>
        <v>0</v>
      </c>
      <c r="AC149" s="239">
        <f t="shared" si="232"/>
        <v>0</v>
      </c>
      <c r="AD149" s="239">
        <f t="shared" si="232"/>
        <v>0</v>
      </c>
      <c r="AE149" s="239">
        <f t="shared" si="232"/>
        <v>0</v>
      </c>
      <c r="AF149" s="239">
        <f t="shared" si="232"/>
        <v>0</v>
      </c>
      <c r="AG149" s="239">
        <f t="shared" si="232"/>
        <v>0</v>
      </c>
      <c r="AH149" s="239">
        <f t="shared" si="232"/>
        <v>0</v>
      </c>
      <c r="AI149" s="239">
        <f t="shared" si="232"/>
        <v>0</v>
      </c>
      <c r="AJ149" s="239">
        <f t="shared" si="232"/>
        <v>0</v>
      </c>
      <c r="AK149" s="239">
        <f t="shared" si="232"/>
        <v>0</v>
      </c>
      <c r="AL149" s="239">
        <f t="shared" si="232"/>
        <v>0</v>
      </c>
      <c r="AM149" s="239">
        <f t="shared" si="232"/>
        <v>0</v>
      </c>
      <c r="AN149" s="239">
        <f t="shared" si="232"/>
        <v>0</v>
      </c>
      <c r="AO149" s="239">
        <f t="shared" ref="AO149:BT149" si="233">SUM(AO145:AO148)</f>
        <v>0</v>
      </c>
      <c r="AP149" s="239">
        <f t="shared" si="233"/>
        <v>0</v>
      </c>
      <c r="AQ149" s="239">
        <f t="shared" si="233"/>
        <v>0</v>
      </c>
      <c r="AR149" s="239">
        <f t="shared" si="233"/>
        <v>0</v>
      </c>
      <c r="AS149" s="239">
        <f t="shared" si="233"/>
        <v>805.24379999999974</v>
      </c>
      <c r="AT149" s="239">
        <f t="shared" si="233"/>
        <v>912.43210243902422</v>
      </c>
      <c r="AU149" s="239">
        <f t="shared" si="233"/>
        <v>1022.3001124390244</v>
      </c>
      <c r="AV149" s="239">
        <f t="shared" si="233"/>
        <v>1134.9852509005627</v>
      </c>
      <c r="AW149" s="239">
        <f t="shared" si="233"/>
        <v>1250.6357877426676</v>
      </c>
      <c r="AX149" s="239">
        <f t="shared" si="233"/>
        <v>1369.4120147696949</v>
      </c>
      <c r="AY149" s="239">
        <f t="shared" si="233"/>
        <v>943.03213699191713</v>
      </c>
      <c r="AZ149" s="239">
        <f t="shared" si="233"/>
        <v>984.88661699191732</v>
      </c>
      <c r="BA149" s="239">
        <f t="shared" si="233"/>
        <v>1027.9721111095641</v>
      </c>
      <c r="BB149" s="239">
        <f t="shared" si="233"/>
        <v>1072.3632262610795</v>
      </c>
      <c r="BC149" s="239">
        <f t="shared" si="233"/>
        <v>1118.1415637610794</v>
      </c>
      <c r="BD149" s="239">
        <f t="shared" si="233"/>
        <v>1165.3966218255955</v>
      </c>
      <c r="BE149" s="239">
        <f t="shared" si="233"/>
        <v>1214.2268484922624</v>
      </c>
      <c r="BF149" s="239">
        <f t="shared" si="233"/>
        <v>1264.7408760784692</v>
      </c>
      <c r="BG149" s="239">
        <f t="shared" si="233"/>
        <v>1317.0589760784692</v>
      </c>
      <c r="BH149" s="239">
        <f t="shared" si="233"/>
        <v>1371.3147834858764</v>
      </c>
      <c r="BI149" s="239">
        <f t="shared" si="233"/>
        <v>1427.6573527166456</v>
      </c>
      <c r="BJ149" s="239">
        <f t="shared" si="233"/>
        <v>1486.2536247166458</v>
      </c>
      <c r="BK149" s="239">
        <f t="shared" si="233"/>
        <v>1547.2914080499791</v>
      </c>
      <c r="BL149" s="239">
        <f t="shared" si="233"/>
        <v>1610.9830080499792</v>
      </c>
      <c r="BM149" s="239">
        <f t="shared" si="233"/>
        <v>1677.5696807772515</v>
      </c>
      <c r="BN149" s="239">
        <f t="shared" si="233"/>
        <v>1747.3271474439184</v>
      </c>
      <c r="BO149" s="239">
        <f t="shared" si="233"/>
        <v>1820.5724874439179</v>
      </c>
      <c r="BP149" s="239">
        <f t="shared" si="233"/>
        <v>1897.672845338655</v>
      </c>
      <c r="BQ149" s="239">
        <f t="shared" si="233"/>
        <v>1979.0565564497665</v>
      </c>
      <c r="BR149" s="239">
        <f t="shared" si="233"/>
        <v>2065.2275446850604</v>
      </c>
      <c r="BS149" s="239">
        <f t="shared" si="233"/>
        <v>2156.7842196850606</v>
      </c>
      <c r="BT149" s="239">
        <f t="shared" si="233"/>
        <v>2254.4446730183936</v>
      </c>
      <c r="BU149" s="239">
        <f t="shared" ref="BU149:CZ149" si="234">SUM(BU145:BU148)</f>
        <v>2359.080873018394</v>
      </c>
      <c r="BV149" s="239">
        <f t="shared" si="234"/>
        <v>2471.7660114799328</v>
      </c>
      <c r="BW149" s="239">
        <f t="shared" si="234"/>
        <v>2593.8415781465992</v>
      </c>
      <c r="BX149" s="239">
        <f t="shared" si="234"/>
        <v>2727.0149236011448</v>
      </c>
      <c r="BY149" s="239">
        <f t="shared" si="234"/>
        <v>2873.5056036011442</v>
      </c>
      <c r="BZ149" s="239">
        <f t="shared" si="234"/>
        <v>3036.2730258233669</v>
      </c>
      <c r="CA149" s="239">
        <f t="shared" si="234"/>
        <v>3219.3863758233665</v>
      </c>
      <c r="CB149" s="239">
        <f t="shared" si="234"/>
        <v>3428.6587758233668</v>
      </c>
      <c r="CC149" s="239">
        <f t="shared" si="234"/>
        <v>3672.8099091566996</v>
      </c>
      <c r="CD149" s="239">
        <f t="shared" si="234"/>
        <v>3965.7912691567003</v>
      </c>
      <c r="CE149" s="239">
        <f t="shared" si="234"/>
        <v>4332.0179691567009</v>
      </c>
      <c r="CF149" s="239">
        <f t="shared" si="234"/>
        <v>4820.3202358233675</v>
      </c>
      <c r="CG149" s="239">
        <f t="shared" si="234"/>
        <v>5552.7736358233669</v>
      </c>
      <c r="CH149" s="239">
        <f t="shared" si="234"/>
        <v>7017.6804358233667</v>
      </c>
      <c r="CI149" s="239">
        <f t="shared" si="234"/>
        <v>26368.322400000005</v>
      </c>
      <c r="CJ149" s="239">
        <f t="shared" si="234"/>
        <v>1093.3724666666662</v>
      </c>
      <c r="CK149" s="239">
        <f t="shared" si="234"/>
        <v>1093.3724666666662</v>
      </c>
      <c r="CL149" s="239">
        <f t="shared" si="234"/>
        <v>1093.3724666666662</v>
      </c>
      <c r="CM149" s="239">
        <f t="shared" si="234"/>
        <v>1093.3724666666662</v>
      </c>
      <c r="CN149" s="239">
        <f t="shared" si="234"/>
        <v>1093.3724666666662</v>
      </c>
      <c r="CO149" s="239">
        <f t="shared" si="234"/>
        <v>1093.3724666666662</v>
      </c>
      <c r="CP149" s="239">
        <f t="shared" si="234"/>
        <v>1093.3724666666662</v>
      </c>
      <c r="CQ149" s="239">
        <f t="shared" si="234"/>
        <v>1093.3724666666662</v>
      </c>
      <c r="CR149" s="239">
        <f t="shared" si="234"/>
        <v>1093.3724666666662</v>
      </c>
      <c r="CS149" s="239">
        <f t="shared" si="234"/>
        <v>1093.3724666666662</v>
      </c>
      <c r="CT149" s="239">
        <f t="shared" si="234"/>
        <v>1093.3724666666662</v>
      </c>
      <c r="CU149" s="239">
        <f t="shared" si="234"/>
        <v>1093.3724666666662</v>
      </c>
      <c r="CV149" s="239">
        <f t="shared" si="234"/>
        <v>146490.67999999993</v>
      </c>
      <c r="CW149" s="239">
        <f t="shared" si="234"/>
        <v>0</v>
      </c>
      <c r="CX149" s="239">
        <f t="shared" si="234"/>
        <v>0</v>
      </c>
      <c r="CY149" s="239">
        <f t="shared" si="234"/>
        <v>0</v>
      </c>
      <c r="CZ149" s="239">
        <f t="shared" si="234"/>
        <v>0</v>
      </c>
      <c r="DA149" s="239">
        <f t="shared" ref="DA149:EF149" si="235">SUM(DA145:DA148)</f>
        <v>0</v>
      </c>
      <c r="DB149" s="239">
        <f t="shared" si="235"/>
        <v>0</v>
      </c>
      <c r="DC149" s="239">
        <f t="shared" si="235"/>
        <v>0</v>
      </c>
      <c r="DD149" s="239">
        <f t="shared" si="235"/>
        <v>0</v>
      </c>
      <c r="DE149" s="239">
        <f t="shared" si="235"/>
        <v>0</v>
      </c>
      <c r="DF149" s="239">
        <f t="shared" si="235"/>
        <v>0</v>
      </c>
      <c r="DG149" s="239">
        <f t="shared" si="235"/>
        <v>0</v>
      </c>
      <c r="DH149" s="239">
        <f t="shared" si="235"/>
        <v>0</v>
      </c>
      <c r="DI149" s="239">
        <f t="shared" si="235"/>
        <v>0</v>
      </c>
      <c r="DJ149" s="239">
        <f t="shared" si="235"/>
        <v>0</v>
      </c>
      <c r="DK149" s="239">
        <f t="shared" si="235"/>
        <v>0</v>
      </c>
      <c r="DL149" s="239">
        <f t="shared" si="235"/>
        <v>0</v>
      </c>
      <c r="DM149" s="239">
        <f t="shared" si="235"/>
        <v>0</v>
      </c>
      <c r="DN149" s="239">
        <f t="shared" si="235"/>
        <v>0</v>
      </c>
      <c r="DO149" s="239">
        <f t="shared" si="235"/>
        <v>0</v>
      </c>
      <c r="DP149" s="239">
        <f t="shared" si="235"/>
        <v>0</v>
      </c>
      <c r="DQ149" s="239">
        <f t="shared" si="235"/>
        <v>0</v>
      </c>
      <c r="DR149" s="239">
        <f t="shared" si="235"/>
        <v>0</v>
      </c>
      <c r="DS149" s="239">
        <f t="shared" si="235"/>
        <v>0</v>
      </c>
      <c r="DT149" s="239">
        <f t="shared" si="235"/>
        <v>0</v>
      </c>
      <c r="DU149" s="239">
        <f t="shared" si="235"/>
        <v>0</v>
      </c>
      <c r="DV149" s="239">
        <f t="shared" si="235"/>
        <v>0</v>
      </c>
      <c r="DW149" s="239">
        <f t="shared" si="235"/>
        <v>0</v>
      </c>
      <c r="DX149" s="239">
        <f t="shared" si="235"/>
        <v>0</v>
      </c>
      <c r="DY149" s="239">
        <f t="shared" si="235"/>
        <v>0</v>
      </c>
      <c r="DZ149" s="239">
        <f t="shared" si="235"/>
        <v>0</v>
      </c>
      <c r="EA149" s="239">
        <f t="shared" si="235"/>
        <v>0</v>
      </c>
      <c r="EB149" s="239">
        <f t="shared" si="235"/>
        <v>0</v>
      </c>
      <c r="EC149" s="239">
        <f t="shared" si="235"/>
        <v>0</v>
      </c>
      <c r="ED149" s="239">
        <f t="shared" si="235"/>
        <v>0</v>
      </c>
      <c r="EE149" s="239">
        <f t="shared" si="235"/>
        <v>0</v>
      </c>
      <c r="EF149" s="239">
        <f t="shared" si="235"/>
        <v>0</v>
      </c>
      <c r="EG149" s="239">
        <f t="shared" ref="EG149:FH149" si="236">SUM(EG145:EG148)</f>
        <v>0</v>
      </c>
      <c r="EH149" s="239">
        <f t="shared" si="236"/>
        <v>0</v>
      </c>
      <c r="EI149" s="239">
        <f t="shared" si="236"/>
        <v>0</v>
      </c>
      <c r="EJ149" s="239">
        <f t="shared" si="236"/>
        <v>0</v>
      </c>
      <c r="EK149" s="239">
        <f t="shared" si="236"/>
        <v>0</v>
      </c>
      <c r="EL149" s="239">
        <f t="shared" si="236"/>
        <v>0</v>
      </c>
      <c r="EM149" s="239">
        <f t="shared" si="236"/>
        <v>0</v>
      </c>
      <c r="EN149" s="239">
        <f t="shared" si="236"/>
        <v>0</v>
      </c>
      <c r="EO149" s="239">
        <f t="shared" si="236"/>
        <v>0</v>
      </c>
      <c r="EP149" s="239">
        <f t="shared" si="236"/>
        <v>0</v>
      </c>
      <c r="EQ149" s="239">
        <f t="shared" si="236"/>
        <v>0</v>
      </c>
      <c r="ER149" s="239">
        <f t="shared" si="236"/>
        <v>0</v>
      </c>
      <c r="ES149" s="239">
        <f t="shared" si="236"/>
        <v>0</v>
      </c>
      <c r="ET149" s="239">
        <f t="shared" si="236"/>
        <v>0</v>
      </c>
      <c r="EU149" s="239">
        <f t="shared" si="236"/>
        <v>0</v>
      </c>
      <c r="EV149" s="239">
        <f t="shared" si="236"/>
        <v>0</v>
      </c>
      <c r="EW149" s="239">
        <f t="shared" si="236"/>
        <v>0</v>
      </c>
      <c r="EX149" s="239">
        <f t="shared" si="236"/>
        <v>0</v>
      </c>
      <c r="EY149" s="239">
        <f t="shared" si="236"/>
        <v>0</v>
      </c>
      <c r="EZ149" s="239">
        <f t="shared" si="236"/>
        <v>0</v>
      </c>
      <c r="FA149" s="239">
        <f t="shared" si="236"/>
        <v>0</v>
      </c>
      <c r="FB149" s="239">
        <f t="shared" si="236"/>
        <v>0</v>
      </c>
      <c r="FC149" s="239">
        <f t="shared" si="236"/>
        <v>0</v>
      </c>
      <c r="FD149" s="239">
        <f t="shared" si="236"/>
        <v>0</v>
      </c>
      <c r="FE149" s="239">
        <f t="shared" si="236"/>
        <v>0</v>
      </c>
      <c r="FF149" s="239">
        <f t="shared" si="236"/>
        <v>0</v>
      </c>
      <c r="FG149" s="239">
        <f t="shared" si="236"/>
        <v>0</v>
      </c>
      <c r="FH149" s="239">
        <f t="shared" si="236"/>
        <v>0</v>
      </c>
    </row>
    <row r="150" spans="1:164" x14ac:dyDescent="0.2">
      <c r="A150" s="10"/>
      <c r="B150" s="10"/>
      <c r="C150" s="201" t="s">
        <v>756</v>
      </c>
      <c r="D150" s="194"/>
      <c r="E150" s="194"/>
      <c r="F150" s="194"/>
      <c r="G150" s="194"/>
      <c r="H150" s="216"/>
      <c r="I150" s="217">
        <f t="shared" ref="I150:AN150" si="237">((YEAR(I$6)-YEAR($E$34))*12+MONTH(I$6)-MONTH($E$34)+1)</f>
        <v>-41</v>
      </c>
      <c r="J150" s="217">
        <f t="shared" si="237"/>
        <v>-40</v>
      </c>
      <c r="K150" s="217">
        <f t="shared" si="237"/>
        <v>-39</v>
      </c>
      <c r="L150" s="217">
        <f t="shared" si="237"/>
        <v>-38</v>
      </c>
      <c r="M150" s="217">
        <f t="shared" si="237"/>
        <v>-37</v>
      </c>
      <c r="N150" s="217">
        <f t="shared" si="237"/>
        <v>-36</v>
      </c>
      <c r="O150" s="217">
        <f t="shared" si="237"/>
        <v>-35</v>
      </c>
      <c r="P150" s="217">
        <f t="shared" si="237"/>
        <v>-34</v>
      </c>
      <c r="Q150" s="217">
        <f t="shared" si="237"/>
        <v>-33</v>
      </c>
      <c r="R150" s="217">
        <f t="shared" si="237"/>
        <v>-32</v>
      </c>
      <c r="S150" s="217">
        <f t="shared" si="237"/>
        <v>-31</v>
      </c>
      <c r="T150" s="217">
        <f t="shared" si="237"/>
        <v>-30</v>
      </c>
      <c r="U150" s="217">
        <f t="shared" si="237"/>
        <v>-29</v>
      </c>
      <c r="V150" s="217">
        <f t="shared" si="237"/>
        <v>-28</v>
      </c>
      <c r="W150" s="217">
        <f t="shared" si="237"/>
        <v>-27</v>
      </c>
      <c r="X150" s="217">
        <f t="shared" si="237"/>
        <v>-26</v>
      </c>
      <c r="Y150" s="217">
        <f t="shared" si="237"/>
        <v>-25</v>
      </c>
      <c r="Z150" s="217">
        <f t="shared" si="237"/>
        <v>-24</v>
      </c>
      <c r="AA150" s="217">
        <f t="shared" si="237"/>
        <v>-23</v>
      </c>
      <c r="AB150" s="217">
        <f t="shared" si="237"/>
        <v>-22</v>
      </c>
      <c r="AC150" s="217">
        <f t="shared" si="237"/>
        <v>-21</v>
      </c>
      <c r="AD150" s="217">
        <f t="shared" si="237"/>
        <v>-20</v>
      </c>
      <c r="AE150" s="217">
        <f t="shared" si="237"/>
        <v>-19</v>
      </c>
      <c r="AF150" s="217">
        <f t="shared" si="237"/>
        <v>-18</v>
      </c>
      <c r="AG150" s="217">
        <f t="shared" si="237"/>
        <v>-17</v>
      </c>
      <c r="AH150" s="217">
        <f t="shared" si="237"/>
        <v>-16</v>
      </c>
      <c r="AI150" s="217">
        <f t="shared" si="237"/>
        <v>-15</v>
      </c>
      <c r="AJ150" s="217">
        <f t="shared" si="237"/>
        <v>-14</v>
      </c>
      <c r="AK150" s="217">
        <f t="shared" si="237"/>
        <v>-13</v>
      </c>
      <c r="AL150" s="217">
        <f t="shared" si="237"/>
        <v>-12</v>
      </c>
      <c r="AM150" s="217">
        <f t="shared" si="237"/>
        <v>-11</v>
      </c>
      <c r="AN150" s="217">
        <f t="shared" si="237"/>
        <v>-10</v>
      </c>
      <c r="AO150" s="217">
        <f t="shared" ref="AO150:BT150" si="238">((YEAR(AO$6)-YEAR($E$34))*12+MONTH(AO$6)-MONTH($E$34)+1)</f>
        <v>-9</v>
      </c>
      <c r="AP150" s="217">
        <f t="shared" si="238"/>
        <v>-8</v>
      </c>
      <c r="AQ150" s="217">
        <f t="shared" si="238"/>
        <v>-7</v>
      </c>
      <c r="AR150" s="217">
        <f t="shared" si="238"/>
        <v>-6</v>
      </c>
      <c r="AS150" s="217">
        <f t="shared" si="238"/>
        <v>-5</v>
      </c>
      <c r="AT150" s="217">
        <f t="shared" si="238"/>
        <v>-4</v>
      </c>
      <c r="AU150" s="217">
        <f t="shared" si="238"/>
        <v>-3</v>
      </c>
      <c r="AV150" s="217">
        <f t="shared" si="238"/>
        <v>-2</v>
      </c>
      <c r="AW150" s="217">
        <f t="shared" si="238"/>
        <v>-1</v>
      </c>
      <c r="AX150" s="217">
        <f t="shared" si="238"/>
        <v>0</v>
      </c>
      <c r="AY150" s="217">
        <f t="shared" si="238"/>
        <v>1</v>
      </c>
      <c r="AZ150" s="217">
        <f t="shared" si="238"/>
        <v>2</v>
      </c>
      <c r="BA150" s="217">
        <f t="shared" si="238"/>
        <v>3</v>
      </c>
      <c r="BB150" s="217">
        <f t="shared" si="238"/>
        <v>4</v>
      </c>
      <c r="BC150" s="217">
        <f t="shared" si="238"/>
        <v>5</v>
      </c>
      <c r="BD150" s="217">
        <f t="shared" si="238"/>
        <v>6</v>
      </c>
      <c r="BE150" s="217">
        <f t="shared" si="238"/>
        <v>7</v>
      </c>
      <c r="BF150" s="217">
        <f t="shared" si="238"/>
        <v>8</v>
      </c>
      <c r="BG150" s="217">
        <f t="shared" si="238"/>
        <v>9</v>
      </c>
      <c r="BH150" s="217">
        <f t="shared" si="238"/>
        <v>10</v>
      </c>
      <c r="BI150" s="217">
        <f t="shared" si="238"/>
        <v>11</v>
      </c>
      <c r="BJ150" s="217">
        <f t="shared" si="238"/>
        <v>12</v>
      </c>
      <c r="BK150" s="217">
        <f t="shared" si="238"/>
        <v>13</v>
      </c>
      <c r="BL150" s="217">
        <f t="shared" si="238"/>
        <v>14</v>
      </c>
      <c r="BM150" s="217">
        <f t="shared" si="238"/>
        <v>15</v>
      </c>
      <c r="BN150" s="217">
        <f t="shared" si="238"/>
        <v>16</v>
      </c>
      <c r="BO150" s="217">
        <f t="shared" si="238"/>
        <v>17</v>
      </c>
      <c r="BP150" s="217">
        <f t="shared" si="238"/>
        <v>18</v>
      </c>
      <c r="BQ150" s="217">
        <f t="shared" si="238"/>
        <v>19</v>
      </c>
      <c r="BR150" s="217">
        <f t="shared" si="238"/>
        <v>20</v>
      </c>
      <c r="BS150" s="217">
        <f t="shared" si="238"/>
        <v>21</v>
      </c>
      <c r="BT150" s="217">
        <f t="shared" si="238"/>
        <v>22</v>
      </c>
      <c r="BU150" s="217">
        <f t="shared" ref="BU150:CZ150" si="239">((YEAR(BU$6)-YEAR($E$34))*12+MONTH(BU$6)-MONTH($E$34)+1)</f>
        <v>23</v>
      </c>
      <c r="BV150" s="217">
        <f t="shared" si="239"/>
        <v>24</v>
      </c>
      <c r="BW150" s="217">
        <f t="shared" si="239"/>
        <v>25</v>
      </c>
      <c r="BX150" s="217">
        <f t="shared" si="239"/>
        <v>26</v>
      </c>
      <c r="BY150" s="217">
        <f t="shared" si="239"/>
        <v>27</v>
      </c>
      <c r="BZ150" s="217">
        <f t="shared" si="239"/>
        <v>28</v>
      </c>
      <c r="CA150" s="217">
        <f t="shared" si="239"/>
        <v>29</v>
      </c>
      <c r="CB150" s="217">
        <f t="shared" si="239"/>
        <v>30</v>
      </c>
      <c r="CC150" s="217">
        <f t="shared" si="239"/>
        <v>31</v>
      </c>
      <c r="CD150" s="217">
        <f t="shared" si="239"/>
        <v>32</v>
      </c>
      <c r="CE150" s="217">
        <f t="shared" si="239"/>
        <v>33</v>
      </c>
      <c r="CF150" s="217">
        <f t="shared" si="239"/>
        <v>34</v>
      </c>
      <c r="CG150" s="217">
        <f t="shared" si="239"/>
        <v>35</v>
      </c>
      <c r="CH150" s="217">
        <f t="shared" si="239"/>
        <v>36</v>
      </c>
      <c r="CI150" s="217">
        <f t="shared" si="239"/>
        <v>37</v>
      </c>
      <c r="CJ150" s="217">
        <f t="shared" si="239"/>
        <v>38</v>
      </c>
      <c r="CK150" s="217">
        <f t="shared" si="239"/>
        <v>39</v>
      </c>
      <c r="CL150" s="217">
        <f t="shared" si="239"/>
        <v>40</v>
      </c>
      <c r="CM150" s="217">
        <f t="shared" si="239"/>
        <v>41</v>
      </c>
      <c r="CN150" s="217">
        <f t="shared" si="239"/>
        <v>42</v>
      </c>
      <c r="CO150" s="217">
        <f t="shared" si="239"/>
        <v>43</v>
      </c>
      <c r="CP150" s="217">
        <f t="shared" si="239"/>
        <v>44</v>
      </c>
      <c r="CQ150" s="217">
        <f t="shared" si="239"/>
        <v>45</v>
      </c>
      <c r="CR150" s="217">
        <f t="shared" si="239"/>
        <v>46</v>
      </c>
      <c r="CS150" s="217">
        <f t="shared" si="239"/>
        <v>47</v>
      </c>
      <c r="CT150" s="217">
        <f t="shared" si="239"/>
        <v>48</v>
      </c>
      <c r="CU150" s="217">
        <f t="shared" si="239"/>
        <v>49</v>
      </c>
      <c r="CV150" s="217">
        <f t="shared" si="239"/>
        <v>50</v>
      </c>
      <c r="CW150" s="217">
        <f t="shared" si="239"/>
        <v>51</v>
      </c>
      <c r="CX150" s="217">
        <f t="shared" si="239"/>
        <v>52</v>
      </c>
      <c r="CY150" s="217">
        <f t="shared" si="239"/>
        <v>53</v>
      </c>
      <c r="CZ150" s="217">
        <f t="shared" si="239"/>
        <v>54</v>
      </c>
      <c r="DA150" s="217">
        <f t="shared" ref="DA150:EF150" si="240">((YEAR(DA$6)-YEAR($E$34))*12+MONTH(DA$6)-MONTH($E$34)+1)</f>
        <v>55</v>
      </c>
      <c r="DB150" s="217">
        <f t="shared" si="240"/>
        <v>56</v>
      </c>
      <c r="DC150" s="217">
        <f t="shared" si="240"/>
        <v>57</v>
      </c>
      <c r="DD150" s="217">
        <f t="shared" si="240"/>
        <v>58</v>
      </c>
      <c r="DE150" s="217">
        <f t="shared" si="240"/>
        <v>59</v>
      </c>
      <c r="DF150" s="217">
        <f t="shared" si="240"/>
        <v>60</v>
      </c>
      <c r="DG150" s="217">
        <f t="shared" si="240"/>
        <v>61</v>
      </c>
      <c r="DH150" s="217">
        <f t="shared" si="240"/>
        <v>62</v>
      </c>
      <c r="DI150" s="217">
        <f t="shared" si="240"/>
        <v>63</v>
      </c>
      <c r="DJ150" s="217">
        <f t="shared" si="240"/>
        <v>64</v>
      </c>
      <c r="DK150" s="217">
        <f t="shared" si="240"/>
        <v>65</v>
      </c>
      <c r="DL150" s="217">
        <f t="shared" si="240"/>
        <v>66</v>
      </c>
      <c r="DM150" s="217">
        <f t="shared" si="240"/>
        <v>67</v>
      </c>
      <c r="DN150" s="217">
        <f t="shared" si="240"/>
        <v>68</v>
      </c>
      <c r="DO150" s="217">
        <f t="shared" si="240"/>
        <v>69</v>
      </c>
      <c r="DP150" s="217">
        <f t="shared" si="240"/>
        <v>70</v>
      </c>
      <c r="DQ150" s="217">
        <f t="shared" si="240"/>
        <v>71</v>
      </c>
      <c r="DR150" s="217">
        <f t="shared" si="240"/>
        <v>72</v>
      </c>
      <c r="DS150" s="217">
        <f t="shared" si="240"/>
        <v>73</v>
      </c>
      <c r="DT150" s="217">
        <f t="shared" si="240"/>
        <v>74</v>
      </c>
      <c r="DU150" s="217">
        <f t="shared" si="240"/>
        <v>75</v>
      </c>
      <c r="DV150" s="217">
        <f t="shared" si="240"/>
        <v>76</v>
      </c>
      <c r="DW150" s="217">
        <f t="shared" si="240"/>
        <v>77</v>
      </c>
      <c r="DX150" s="217">
        <f t="shared" si="240"/>
        <v>78</v>
      </c>
      <c r="DY150" s="217">
        <f t="shared" si="240"/>
        <v>79</v>
      </c>
      <c r="DZ150" s="217">
        <f t="shared" si="240"/>
        <v>80</v>
      </c>
      <c r="EA150" s="217">
        <f t="shared" si="240"/>
        <v>81</v>
      </c>
      <c r="EB150" s="217">
        <f t="shared" si="240"/>
        <v>82</v>
      </c>
      <c r="EC150" s="217">
        <f t="shared" si="240"/>
        <v>83</v>
      </c>
      <c r="ED150" s="217">
        <f t="shared" si="240"/>
        <v>84</v>
      </c>
      <c r="EE150" s="217">
        <f t="shared" si="240"/>
        <v>85</v>
      </c>
      <c r="EF150" s="217">
        <f t="shared" si="240"/>
        <v>86</v>
      </c>
      <c r="EG150" s="217">
        <f t="shared" ref="EG150:FH150" si="241">((YEAR(EG$6)-YEAR($E$34))*12+MONTH(EG$6)-MONTH($E$34)+1)</f>
        <v>87</v>
      </c>
      <c r="EH150" s="217">
        <f t="shared" si="241"/>
        <v>88</v>
      </c>
      <c r="EI150" s="217">
        <f t="shared" si="241"/>
        <v>89</v>
      </c>
      <c r="EJ150" s="217">
        <f t="shared" si="241"/>
        <v>90</v>
      </c>
      <c r="EK150" s="217">
        <f t="shared" si="241"/>
        <v>91</v>
      </c>
      <c r="EL150" s="217">
        <f t="shared" si="241"/>
        <v>92</v>
      </c>
      <c r="EM150" s="217">
        <f t="shared" si="241"/>
        <v>93</v>
      </c>
      <c r="EN150" s="217">
        <f t="shared" si="241"/>
        <v>94</v>
      </c>
      <c r="EO150" s="217">
        <f t="shared" si="241"/>
        <v>95</v>
      </c>
      <c r="EP150" s="217">
        <f t="shared" si="241"/>
        <v>96</v>
      </c>
      <c r="EQ150" s="217">
        <f t="shared" si="241"/>
        <v>97</v>
      </c>
      <c r="ER150" s="217">
        <f t="shared" si="241"/>
        <v>98</v>
      </c>
      <c r="ES150" s="217">
        <f t="shared" si="241"/>
        <v>99</v>
      </c>
      <c r="ET150" s="217">
        <f t="shared" si="241"/>
        <v>100</v>
      </c>
      <c r="EU150" s="217">
        <f t="shared" si="241"/>
        <v>101</v>
      </c>
      <c r="EV150" s="217">
        <f t="shared" si="241"/>
        <v>102</v>
      </c>
      <c r="EW150" s="217">
        <f t="shared" si="241"/>
        <v>103</v>
      </c>
      <c r="EX150" s="217">
        <f t="shared" si="241"/>
        <v>104</v>
      </c>
      <c r="EY150" s="217">
        <f t="shared" si="241"/>
        <v>105</v>
      </c>
      <c r="EZ150" s="217">
        <f t="shared" si="241"/>
        <v>106</v>
      </c>
      <c r="FA150" s="217">
        <f t="shared" si="241"/>
        <v>107</v>
      </c>
      <c r="FB150" s="217">
        <f t="shared" si="241"/>
        <v>108</v>
      </c>
      <c r="FC150" s="217">
        <f t="shared" si="241"/>
        <v>109</v>
      </c>
      <c r="FD150" s="217">
        <f t="shared" si="241"/>
        <v>110</v>
      </c>
      <c r="FE150" s="217">
        <f t="shared" si="241"/>
        <v>111</v>
      </c>
      <c r="FF150" s="217">
        <f t="shared" si="241"/>
        <v>112</v>
      </c>
      <c r="FG150" s="217">
        <f t="shared" si="241"/>
        <v>113</v>
      </c>
      <c r="FH150" s="217">
        <f t="shared" si="241"/>
        <v>114</v>
      </c>
    </row>
    <row r="151" spans="1:164" x14ac:dyDescent="0.2">
      <c r="A151" s="10"/>
      <c r="B151" s="10"/>
      <c r="C151" s="10" t="s">
        <v>757</v>
      </c>
      <c r="D151" s="10"/>
      <c r="E151" s="10"/>
      <c r="F151" s="10"/>
      <c r="G151" s="10"/>
      <c r="H151" s="18">
        <f t="shared" ref="H151:H160" si="242">SUM(I151:FH151)</f>
        <v>0.99999999999999978</v>
      </c>
      <c r="I151" s="51">
        <f t="shared" ref="I151:AN151" si="243">IF(AND(I150&gt;=1,I150&lt;=$E$31),SIN(PI()*(I150-0.5)/$E$31)*SIN(PI()/(2*$E$31)),0)</f>
        <v>0</v>
      </c>
      <c r="J151" s="51">
        <f t="shared" si="243"/>
        <v>0</v>
      </c>
      <c r="K151" s="51">
        <f t="shared" si="243"/>
        <v>0</v>
      </c>
      <c r="L151" s="51">
        <f t="shared" si="243"/>
        <v>0</v>
      </c>
      <c r="M151" s="51">
        <f t="shared" si="243"/>
        <v>0</v>
      </c>
      <c r="N151" s="51">
        <f t="shared" si="243"/>
        <v>0</v>
      </c>
      <c r="O151" s="51">
        <f t="shared" si="243"/>
        <v>0</v>
      </c>
      <c r="P151" s="51">
        <f t="shared" si="243"/>
        <v>0</v>
      </c>
      <c r="Q151" s="51">
        <f t="shared" si="243"/>
        <v>0</v>
      </c>
      <c r="R151" s="51">
        <f t="shared" si="243"/>
        <v>0</v>
      </c>
      <c r="S151" s="51">
        <f t="shared" si="243"/>
        <v>0</v>
      </c>
      <c r="T151" s="51">
        <f t="shared" si="243"/>
        <v>0</v>
      </c>
      <c r="U151" s="51">
        <f t="shared" si="243"/>
        <v>0</v>
      </c>
      <c r="V151" s="51">
        <f t="shared" si="243"/>
        <v>0</v>
      </c>
      <c r="W151" s="51">
        <f t="shared" si="243"/>
        <v>0</v>
      </c>
      <c r="X151" s="51">
        <f t="shared" si="243"/>
        <v>0</v>
      </c>
      <c r="Y151" s="51">
        <f t="shared" si="243"/>
        <v>0</v>
      </c>
      <c r="Z151" s="51">
        <f t="shared" si="243"/>
        <v>0</v>
      </c>
      <c r="AA151" s="51">
        <f t="shared" si="243"/>
        <v>0</v>
      </c>
      <c r="AB151" s="51">
        <f t="shared" si="243"/>
        <v>0</v>
      </c>
      <c r="AC151" s="51">
        <f t="shared" si="243"/>
        <v>0</v>
      </c>
      <c r="AD151" s="51">
        <f t="shared" si="243"/>
        <v>0</v>
      </c>
      <c r="AE151" s="51">
        <f t="shared" si="243"/>
        <v>0</v>
      </c>
      <c r="AF151" s="51">
        <f t="shared" si="243"/>
        <v>0</v>
      </c>
      <c r="AG151" s="51">
        <f t="shared" si="243"/>
        <v>0</v>
      </c>
      <c r="AH151" s="51">
        <f t="shared" si="243"/>
        <v>0</v>
      </c>
      <c r="AI151" s="51">
        <f t="shared" si="243"/>
        <v>0</v>
      </c>
      <c r="AJ151" s="51">
        <f t="shared" si="243"/>
        <v>0</v>
      </c>
      <c r="AK151" s="51">
        <f t="shared" si="243"/>
        <v>0</v>
      </c>
      <c r="AL151" s="51">
        <f t="shared" si="243"/>
        <v>0</v>
      </c>
      <c r="AM151" s="51">
        <f t="shared" si="243"/>
        <v>0</v>
      </c>
      <c r="AN151" s="51">
        <f t="shared" si="243"/>
        <v>0</v>
      </c>
      <c r="AO151" s="51">
        <f t="shared" ref="AO151:BT151" si="244">IF(AND(AO150&gt;=1,AO150&lt;=$E$31),SIN(PI()*(AO150-0.5)/$E$31)*SIN(PI()/(2*$E$31)),0)</f>
        <v>0</v>
      </c>
      <c r="AP151" s="51">
        <f t="shared" si="244"/>
        <v>0</v>
      </c>
      <c r="AQ151" s="51">
        <f t="shared" si="244"/>
        <v>0</v>
      </c>
      <c r="AR151" s="51">
        <f t="shared" si="244"/>
        <v>0</v>
      </c>
      <c r="AS151" s="51">
        <f t="shared" si="244"/>
        <v>0</v>
      </c>
      <c r="AT151" s="51">
        <f t="shared" si="244"/>
        <v>0</v>
      </c>
      <c r="AU151" s="51">
        <f t="shared" si="244"/>
        <v>0</v>
      </c>
      <c r="AV151" s="51">
        <f t="shared" si="244"/>
        <v>0</v>
      </c>
      <c r="AW151" s="51">
        <f t="shared" si="244"/>
        <v>0</v>
      </c>
      <c r="AX151" s="51">
        <f t="shared" si="244"/>
        <v>0</v>
      </c>
      <c r="AY151" s="51">
        <f t="shared" si="244"/>
        <v>1.9026509541272339E-3</v>
      </c>
      <c r="AZ151" s="51">
        <f t="shared" si="244"/>
        <v>5.6934725397687356E-3</v>
      </c>
      <c r="BA151" s="51">
        <f t="shared" si="244"/>
        <v>9.440963361569887E-3</v>
      </c>
      <c r="BB151" s="51">
        <f t="shared" si="244"/>
        <v>1.3116602751579951E-2</v>
      </c>
      <c r="BC151" s="51">
        <f t="shared" si="244"/>
        <v>1.6692416874629211E-2</v>
      </c>
      <c r="BD151" s="51">
        <f t="shared" si="244"/>
        <v>2.0141191626105656E-2</v>
      </c>
      <c r="BE151" s="51">
        <f t="shared" si="244"/>
        <v>2.343667974772343E-2</v>
      </c>
      <c r="BF151" s="51">
        <f t="shared" si="244"/>
        <v>2.6553800585006872E-2</v>
      </c>
      <c r="BG151" s="51">
        <f t="shared" si="244"/>
        <v>2.9468830966215255E-2</v>
      </c>
      <c r="BH151" s="51">
        <f t="shared" si="244"/>
        <v>3.2159585750004098E-2</v>
      </c>
      <c r="BI151" s="51">
        <f t="shared" si="244"/>
        <v>3.4605586667746616E-2</v>
      </c>
      <c r="BJ151" s="51">
        <f t="shared" si="244"/>
        <v>3.6788218175523045E-2</v>
      </c>
      <c r="BK151" s="51">
        <f t="shared" si="244"/>
        <v>3.8690869129650279E-2</v>
      </c>
      <c r="BL151" s="51">
        <f t="shared" si="244"/>
        <v>4.029905920751535E-2</v>
      </c>
      <c r="BM151" s="51">
        <f t="shared" si="244"/>
        <v>4.1600549111573987E-2</v>
      </c>
      <c r="BN151" s="51">
        <f t="shared" si="244"/>
        <v>4.2585433717795204E-2</v>
      </c>
      <c r="BO151" s="51">
        <f t="shared" si="244"/>
        <v>4.324621745963609E-2</v>
      </c>
      <c r="BP151" s="51">
        <f t="shared" si="244"/>
        <v>4.357787137382909E-2</v>
      </c>
      <c r="BQ151" s="51">
        <f t="shared" si="244"/>
        <v>4.357787137382909E-2</v>
      </c>
      <c r="BR151" s="51">
        <f t="shared" si="244"/>
        <v>4.324621745963609E-2</v>
      </c>
      <c r="BS151" s="51">
        <f t="shared" si="244"/>
        <v>4.2585433717795211E-2</v>
      </c>
      <c r="BT151" s="51">
        <f t="shared" si="244"/>
        <v>4.1600549111573987E-2</v>
      </c>
      <c r="BU151" s="51">
        <f t="shared" ref="BU151:CZ151" si="245">IF(AND(BU150&gt;=1,BU150&lt;=$E$31),SIN(PI()*(BU150-0.5)/$E$31)*SIN(PI()/(2*$E$31)),0)</f>
        <v>4.029905920751535E-2</v>
      </c>
      <c r="BV151" s="51">
        <f t="shared" si="245"/>
        <v>3.8690869129650279E-2</v>
      </c>
      <c r="BW151" s="51">
        <f t="shared" si="245"/>
        <v>3.6788218175523052E-2</v>
      </c>
      <c r="BX151" s="51">
        <f t="shared" si="245"/>
        <v>3.4605586667746616E-2</v>
      </c>
      <c r="BY151" s="51">
        <f t="shared" si="245"/>
        <v>3.2159585750004098E-2</v>
      </c>
      <c r="BZ151" s="51">
        <f t="shared" si="245"/>
        <v>2.9468830966215262E-2</v>
      </c>
      <c r="CA151" s="51">
        <f t="shared" si="245"/>
        <v>2.6553800585006889E-2</v>
      </c>
      <c r="CB151" s="51">
        <f t="shared" si="245"/>
        <v>2.3436679747723441E-2</v>
      </c>
      <c r="CC151" s="51">
        <f t="shared" si="245"/>
        <v>2.0141191626105656E-2</v>
      </c>
      <c r="CD151" s="51">
        <f t="shared" si="245"/>
        <v>1.6692416874629214E-2</v>
      </c>
      <c r="CE151" s="51">
        <f t="shared" si="245"/>
        <v>1.3116602751579961E-2</v>
      </c>
      <c r="CF151" s="51">
        <f t="shared" si="245"/>
        <v>9.4409633615698992E-3</v>
      </c>
      <c r="CG151" s="51">
        <f t="shared" si="245"/>
        <v>5.6934725397687356E-3</v>
      </c>
      <c r="CH151" s="51">
        <f t="shared" si="245"/>
        <v>1.9026509541272369E-3</v>
      </c>
      <c r="CI151" s="51">
        <f t="shared" si="245"/>
        <v>0</v>
      </c>
      <c r="CJ151" s="51">
        <f t="shared" si="245"/>
        <v>0</v>
      </c>
      <c r="CK151" s="51">
        <f t="shared" si="245"/>
        <v>0</v>
      </c>
      <c r="CL151" s="51">
        <f t="shared" si="245"/>
        <v>0</v>
      </c>
      <c r="CM151" s="51">
        <f t="shared" si="245"/>
        <v>0</v>
      </c>
      <c r="CN151" s="51">
        <f t="shared" si="245"/>
        <v>0</v>
      </c>
      <c r="CO151" s="51">
        <f t="shared" si="245"/>
        <v>0</v>
      </c>
      <c r="CP151" s="51">
        <f t="shared" si="245"/>
        <v>0</v>
      </c>
      <c r="CQ151" s="51">
        <f t="shared" si="245"/>
        <v>0</v>
      </c>
      <c r="CR151" s="51">
        <f t="shared" si="245"/>
        <v>0</v>
      </c>
      <c r="CS151" s="51">
        <f t="shared" si="245"/>
        <v>0</v>
      </c>
      <c r="CT151" s="51">
        <f t="shared" si="245"/>
        <v>0</v>
      </c>
      <c r="CU151" s="51">
        <f t="shared" si="245"/>
        <v>0</v>
      </c>
      <c r="CV151" s="51">
        <f t="shared" si="245"/>
        <v>0</v>
      </c>
      <c r="CW151" s="51">
        <f t="shared" si="245"/>
        <v>0</v>
      </c>
      <c r="CX151" s="51">
        <f t="shared" si="245"/>
        <v>0</v>
      </c>
      <c r="CY151" s="51">
        <f t="shared" si="245"/>
        <v>0</v>
      </c>
      <c r="CZ151" s="51">
        <f t="shared" si="245"/>
        <v>0</v>
      </c>
      <c r="DA151" s="51">
        <f t="shared" ref="DA151:EF151" si="246">IF(AND(DA150&gt;=1,DA150&lt;=$E$31),SIN(PI()*(DA150-0.5)/$E$31)*SIN(PI()/(2*$E$31)),0)</f>
        <v>0</v>
      </c>
      <c r="DB151" s="51">
        <f t="shared" si="246"/>
        <v>0</v>
      </c>
      <c r="DC151" s="51">
        <f t="shared" si="246"/>
        <v>0</v>
      </c>
      <c r="DD151" s="51">
        <f t="shared" si="246"/>
        <v>0</v>
      </c>
      <c r="DE151" s="51">
        <f t="shared" si="246"/>
        <v>0</v>
      </c>
      <c r="DF151" s="51">
        <f t="shared" si="246"/>
        <v>0</v>
      </c>
      <c r="DG151" s="51">
        <f t="shared" si="246"/>
        <v>0</v>
      </c>
      <c r="DH151" s="51">
        <f t="shared" si="246"/>
        <v>0</v>
      </c>
      <c r="DI151" s="51">
        <f t="shared" si="246"/>
        <v>0</v>
      </c>
      <c r="DJ151" s="51">
        <f t="shared" si="246"/>
        <v>0</v>
      </c>
      <c r="DK151" s="51">
        <f t="shared" si="246"/>
        <v>0</v>
      </c>
      <c r="DL151" s="51">
        <f t="shared" si="246"/>
        <v>0</v>
      </c>
      <c r="DM151" s="51">
        <f t="shared" si="246"/>
        <v>0</v>
      </c>
      <c r="DN151" s="51">
        <f t="shared" si="246"/>
        <v>0</v>
      </c>
      <c r="DO151" s="51">
        <f t="shared" si="246"/>
        <v>0</v>
      </c>
      <c r="DP151" s="51">
        <f t="shared" si="246"/>
        <v>0</v>
      </c>
      <c r="DQ151" s="51">
        <f t="shared" si="246"/>
        <v>0</v>
      </c>
      <c r="DR151" s="51">
        <f t="shared" si="246"/>
        <v>0</v>
      </c>
      <c r="DS151" s="51">
        <f t="shared" si="246"/>
        <v>0</v>
      </c>
      <c r="DT151" s="51">
        <f t="shared" si="246"/>
        <v>0</v>
      </c>
      <c r="DU151" s="51">
        <f t="shared" si="246"/>
        <v>0</v>
      </c>
      <c r="DV151" s="51">
        <f t="shared" si="246"/>
        <v>0</v>
      </c>
      <c r="DW151" s="51">
        <f t="shared" si="246"/>
        <v>0</v>
      </c>
      <c r="DX151" s="51">
        <f t="shared" si="246"/>
        <v>0</v>
      </c>
      <c r="DY151" s="51">
        <f t="shared" si="246"/>
        <v>0</v>
      </c>
      <c r="DZ151" s="51">
        <f t="shared" si="246"/>
        <v>0</v>
      </c>
      <c r="EA151" s="51">
        <f t="shared" si="246"/>
        <v>0</v>
      </c>
      <c r="EB151" s="51">
        <f t="shared" si="246"/>
        <v>0</v>
      </c>
      <c r="EC151" s="51">
        <f t="shared" si="246"/>
        <v>0</v>
      </c>
      <c r="ED151" s="51">
        <f t="shared" si="246"/>
        <v>0</v>
      </c>
      <c r="EE151" s="51">
        <f t="shared" si="246"/>
        <v>0</v>
      </c>
      <c r="EF151" s="51">
        <f t="shared" si="246"/>
        <v>0</v>
      </c>
      <c r="EG151" s="51">
        <f t="shared" ref="EG151:FH151" si="247">IF(AND(EG150&gt;=1,EG150&lt;=$E$31),SIN(PI()*(EG150-0.5)/$E$31)*SIN(PI()/(2*$E$31)),0)</f>
        <v>0</v>
      </c>
      <c r="EH151" s="51">
        <f t="shared" si="247"/>
        <v>0</v>
      </c>
      <c r="EI151" s="51">
        <f t="shared" si="247"/>
        <v>0</v>
      </c>
      <c r="EJ151" s="51">
        <f t="shared" si="247"/>
        <v>0</v>
      </c>
      <c r="EK151" s="51">
        <f t="shared" si="247"/>
        <v>0</v>
      </c>
      <c r="EL151" s="51">
        <f t="shared" si="247"/>
        <v>0</v>
      </c>
      <c r="EM151" s="51">
        <f t="shared" si="247"/>
        <v>0</v>
      </c>
      <c r="EN151" s="51">
        <f t="shared" si="247"/>
        <v>0</v>
      </c>
      <c r="EO151" s="51">
        <f t="shared" si="247"/>
        <v>0</v>
      </c>
      <c r="EP151" s="51">
        <f t="shared" si="247"/>
        <v>0</v>
      </c>
      <c r="EQ151" s="51">
        <f t="shared" si="247"/>
        <v>0</v>
      </c>
      <c r="ER151" s="51">
        <f t="shared" si="247"/>
        <v>0</v>
      </c>
      <c r="ES151" s="51">
        <f t="shared" si="247"/>
        <v>0</v>
      </c>
      <c r="ET151" s="51">
        <f t="shared" si="247"/>
        <v>0</v>
      </c>
      <c r="EU151" s="51">
        <f t="shared" si="247"/>
        <v>0</v>
      </c>
      <c r="EV151" s="51">
        <f t="shared" si="247"/>
        <v>0</v>
      </c>
      <c r="EW151" s="51">
        <f t="shared" si="247"/>
        <v>0</v>
      </c>
      <c r="EX151" s="51">
        <f t="shared" si="247"/>
        <v>0</v>
      </c>
      <c r="EY151" s="51">
        <f t="shared" si="247"/>
        <v>0</v>
      </c>
      <c r="EZ151" s="51">
        <f t="shared" si="247"/>
        <v>0</v>
      </c>
      <c r="FA151" s="51">
        <f t="shared" si="247"/>
        <v>0</v>
      </c>
      <c r="FB151" s="51">
        <f t="shared" si="247"/>
        <v>0</v>
      </c>
      <c r="FC151" s="51">
        <f t="shared" si="247"/>
        <v>0</v>
      </c>
      <c r="FD151" s="51">
        <f t="shared" si="247"/>
        <v>0</v>
      </c>
      <c r="FE151" s="51">
        <f t="shared" si="247"/>
        <v>0</v>
      </c>
      <c r="FF151" s="51">
        <f t="shared" si="247"/>
        <v>0</v>
      </c>
      <c r="FG151" s="51">
        <f t="shared" si="247"/>
        <v>0</v>
      </c>
      <c r="FH151" s="51">
        <f t="shared" si="247"/>
        <v>0</v>
      </c>
    </row>
    <row r="152" spans="1:164" x14ac:dyDescent="0.2">
      <c r="A152" s="10"/>
      <c r="B152" s="10"/>
      <c r="C152" s="10" t="s">
        <v>910</v>
      </c>
      <c r="D152" s="10"/>
      <c r="E152" s="10"/>
      <c r="F152" s="10"/>
      <c r="G152" s="10"/>
      <c r="H152" s="12">
        <f t="shared" si="242"/>
        <v>-159130.40000000002</v>
      </c>
      <c r="I152" s="12">
        <f t="shared" ref="I152:AN152" si="248">-I151*($E$29+$E$30)</f>
        <v>0</v>
      </c>
      <c r="J152" s="12">
        <f t="shared" si="248"/>
        <v>0</v>
      </c>
      <c r="K152" s="12">
        <f t="shared" si="248"/>
        <v>0</v>
      </c>
      <c r="L152" s="12">
        <f t="shared" si="248"/>
        <v>0</v>
      </c>
      <c r="M152" s="12">
        <f t="shared" si="248"/>
        <v>0</v>
      </c>
      <c r="N152" s="12">
        <f t="shared" si="248"/>
        <v>0</v>
      </c>
      <c r="O152" s="12">
        <f t="shared" si="248"/>
        <v>0</v>
      </c>
      <c r="P152" s="12">
        <f t="shared" si="248"/>
        <v>0</v>
      </c>
      <c r="Q152" s="12">
        <f t="shared" si="248"/>
        <v>0</v>
      </c>
      <c r="R152" s="12">
        <f t="shared" si="248"/>
        <v>0</v>
      </c>
      <c r="S152" s="12">
        <f t="shared" si="248"/>
        <v>0</v>
      </c>
      <c r="T152" s="12">
        <f t="shared" si="248"/>
        <v>0</v>
      </c>
      <c r="U152" s="12">
        <f t="shared" si="248"/>
        <v>0</v>
      </c>
      <c r="V152" s="12">
        <f t="shared" si="248"/>
        <v>0</v>
      </c>
      <c r="W152" s="12">
        <f t="shared" si="248"/>
        <v>0</v>
      </c>
      <c r="X152" s="12">
        <f t="shared" si="248"/>
        <v>0</v>
      </c>
      <c r="Y152" s="12">
        <f t="shared" si="248"/>
        <v>0</v>
      </c>
      <c r="Z152" s="12">
        <f t="shared" si="248"/>
        <v>0</v>
      </c>
      <c r="AA152" s="12">
        <f t="shared" si="248"/>
        <v>0</v>
      </c>
      <c r="AB152" s="12">
        <f t="shared" si="248"/>
        <v>0</v>
      </c>
      <c r="AC152" s="12">
        <f t="shared" si="248"/>
        <v>0</v>
      </c>
      <c r="AD152" s="12">
        <f t="shared" si="248"/>
        <v>0</v>
      </c>
      <c r="AE152" s="12">
        <f t="shared" si="248"/>
        <v>0</v>
      </c>
      <c r="AF152" s="12">
        <f t="shared" si="248"/>
        <v>0</v>
      </c>
      <c r="AG152" s="12">
        <f t="shared" si="248"/>
        <v>0</v>
      </c>
      <c r="AH152" s="12">
        <f t="shared" si="248"/>
        <v>0</v>
      </c>
      <c r="AI152" s="12">
        <f t="shared" si="248"/>
        <v>0</v>
      </c>
      <c r="AJ152" s="12">
        <f t="shared" si="248"/>
        <v>0</v>
      </c>
      <c r="AK152" s="12">
        <f t="shared" si="248"/>
        <v>0</v>
      </c>
      <c r="AL152" s="12">
        <f t="shared" si="248"/>
        <v>0</v>
      </c>
      <c r="AM152" s="12">
        <f t="shared" si="248"/>
        <v>0</v>
      </c>
      <c r="AN152" s="12">
        <f t="shared" si="248"/>
        <v>0</v>
      </c>
      <c r="AO152" s="12">
        <f t="shared" ref="AO152:BT152" si="249">-AO151*($E$29+$E$30)</f>
        <v>0</v>
      </c>
      <c r="AP152" s="12">
        <f t="shared" si="249"/>
        <v>0</v>
      </c>
      <c r="AQ152" s="12">
        <f t="shared" si="249"/>
        <v>0</v>
      </c>
      <c r="AR152" s="12">
        <f t="shared" si="249"/>
        <v>0</v>
      </c>
      <c r="AS152" s="12">
        <f t="shared" si="249"/>
        <v>0</v>
      </c>
      <c r="AT152" s="12">
        <f t="shared" si="249"/>
        <v>0</v>
      </c>
      <c r="AU152" s="12">
        <f t="shared" si="249"/>
        <v>0</v>
      </c>
      <c r="AV152" s="12">
        <f t="shared" si="249"/>
        <v>0</v>
      </c>
      <c r="AW152" s="12">
        <f t="shared" si="249"/>
        <v>0</v>
      </c>
      <c r="AX152" s="12">
        <f t="shared" si="249"/>
        <v>0</v>
      </c>
      <c r="AY152" s="12">
        <f t="shared" si="249"/>
        <v>-302.76960739064839</v>
      </c>
      <c r="AZ152" s="12">
        <f t="shared" si="249"/>
        <v>-906.00456264241473</v>
      </c>
      <c r="BA152" s="12">
        <f t="shared" si="249"/>
        <v>-1502.3442761119607</v>
      </c>
      <c r="BB152" s="12">
        <f t="shared" si="249"/>
        <v>-2087.250242500018</v>
      </c>
      <c r="BC152" s="12">
        <f t="shared" si="249"/>
        <v>-2656.270974226496</v>
      </c>
      <c r="BD152" s="12">
        <f t="shared" si="249"/>
        <v>-3205.0758799388432</v>
      </c>
      <c r="BE152" s="12">
        <f t="shared" si="249"/>
        <v>-3729.4882229271284</v>
      </c>
      <c r="BF152" s="12">
        <f t="shared" si="249"/>
        <v>-4225.5169086123769</v>
      </c>
      <c r="BG152" s="12">
        <f t="shared" si="249"/>
        <v>-4689.3868591862201</v>
      </c>
      <c r="BH152" s="12">
        <f t="shared" si="249"/>
        <v>-5117.5677442324522</v>
      </c>
      <c r="BI152" s="12">
        <f t="shared" si="249"/>
        <v>-5506.800848673186</v>
      </c>
      <c r="BJ152" s="12">
        <f t="shared" si="249"/>
        <v>-5854.1238735582519</v>
      </c>
      <c r="BK152" s="12">
        <f t="shared" si="249"/>
        <v>-6156.893480948901</v>
      </c>
      <c r="BL152" s="12">
        <f t="shared" si="249"/>
        <v>-6412.8054113156004</v>
      </c>
      <c r="BM152" s="12">
        <f t="shared" si="249"/>
        <v>-6619.9120203444127</v>
      </c>
      <c r="BN152" s="12">
        <f t="shared" si="249"/>
        <v>-6776.6371016862377</v>
      </c>
      <c r="BO152" s="12">
        <f t="shared" si="249"/>
        <v>-6881.7878828388748</v>
      </c>
      <c r="BP152" s="12">
        <f t="shared" si="249"/>
        <v>-6934.564102865972</v>
      </c>
      <c r="BQ152" s="12">
        <f t="shared" si="249"/>
        <v>-6934.564102865972</v>
      </c>
      <c r="BR152" s="12">
        <f t="shared" si="249"/>
        <v>-6881.7878828388748</v>
      </c>
      <c r="BS152" s="12">
        <f t="shared" si="249"/>
        <v>-6776.6371016862386</v>
      </c>
      <c r="BT152" s="12">
        <f t="shared" si="249"/>
        <v>-6619.9120203444127</v>
      </c>
      <c r="BU152" s="12">
        <f t="shared" ref="BU152:CZ152" si="250">-BU151*($E$29+$E$30)</f>
        <v>-6412.8054113156004</v>
      </c>
      <c r="BV152" s="12">
        <f t="shared" si="250"/>
        <v>-6156.893480948901</v>
      </c>
      <c r="BW152" s="12">
        <f t="shared" si="250"/>
        <v>-5854.1238735582529</v>
      </c>
      <c r="BX152" s="12">
        <f t="shared" si="250"/>
        <v>-5506.800848673186</v>
      </c>
      <c r="BY152" s="12">
        <f t="shared" si="250"/>
        <v>-5117.5677442324522</v>
      </c>
      <c r="BZ152" s="12">
        <f t="shared" si="250"/>
        <v>-4689.386859186221</v>
      </c>
      <c r="CA152" s="12">
        <f t="shared" si="250"/>
        <v>-4225.5169086123797</v>
      </c>
      <c r="CB152" s="12">
        <f t="shared" si="250"/>
        <v>-3729.4882229271302</v>
      </c>
      <c r="CC152" s="12">
        <f t="shared" si="250"/>
        <v>-3205.0758799388432</v>
      </c>
      <c r="CD152" s="12">
        <f t="shared" si="250"/>
        <v>-2656.2709742264965</v>
      </c>
      <c r="CE152" s="12">
        <f t="shared" si="250"/>
        <v>-2087.2502425000198</v>
      </c>
      <c r="CF152" s="12">
        <f t="shared" si="250"/>
        <v>-1502.3442761119627</v>
      </c>
      <c r="CG152" s="12">
        <f t="shared" si="250"/>
        <v>-906.00456264241473</v>
      </c>
      <c r="CH152" s="12">
        <f t="shared" si="250"/>
        <v>-302.76960739064884</v>
      </c>
      <c r="CI152" s="12">
        <f t="shared" si="250"/>
        <v>0</v>
      </c>
      <c r="CJ152" s="12">
        <f t="shared" si="250"/>
        <v>0</v>
      </c>
      <c r="CK152" s="12">
        <f t="shared" si="250"/>
        <v>0</v>
      </c>
      <c r="CL152" s="12">
        <f t="shared" si="250"/>
        <v>0</v>
      </c>
      <c r="CM152" s="12">
        <f t="shared" si="250"/>
        <v>0</v>
      </c>
      <c r="CN152" s="12">
        <f t="shared" si="250"/>
        <v>0</v>
      </c>
      <c r="CO152" s="12">
        <f t="shared" si="250"/>
        <v>0</v>
      </c>
      <c r="CP152" s="12">
        <f t="shared" si="250"/>
        <v>0</v>
      </c>
      <c r="CQ152" s="12">
        <f t="shared" si="250"/>
        <v>0</v>
      </c>
      <c r="CR152" s="12">
        <f t="shared" si="250"/>
        <v>0</v>
      </c>
      <c r="CS152" s="12">
        <f t="shared" si="250"/>
        <v>0</v>
      </c>
      <c r="CT152" s="12">
        <f t="shared" si="250"/>
        <v>0</v>
      </c>
      <c r="CU152" s="12">
        <f t="shared" si="250"/>
        <v>0</v>
      </c>
      <c r="CV152" s="12">
        <f t="shared" si="250"/>
        <v>0</v>
      </c>
      <c r="CW152" s="12">
        <f t="shared" si="250"/>
        <v>0</v>
      </c>
      <c r="CX152" s="12">
        <f t="shared" si="250"/>
        <v>0</v>
      </c>
      <c r="CY152" s="12">
        <f t="shared" si="250"/>
        <v>0</v>
      </c>
      <c r="CZ152" s="12">
        <f t="shared" si="250"/>
        <v>0</v>
      </c>
      <c r="DA152" s="12">
        <f t="shared" ref="DA152:EF152" si="251">-DA151*($E$29+$E$30)</f>
        <v>0</v>
      </c>
      <c r="DB152" s="12">
        <f t="shared" si="251"/>
        <v>0</v>
      </c>
      <c r="DC152" s="12">
        <f t="shared" si="251"/>
        <v>0</v>
      </c>
      <c r="DD152" s="12">
        <f t="shared" si="251"/>
        <v>0</v>
      </c>
      <c r="DE152" s="12">
        <f t="shared" si="251"/>
        <v>0</v>
      </c>
      <c r="DF152" s="12">
        <f t="shared" si="251"/>
        <v>0</v>
      </c>
      <c r="DG152" s="12">
        <f t="shared" si="251"/>
        <v>0</v>
      </c>
      <c r="DH152" s="12">
        <f t="shared" si="251"/>
        <v>0</v>
      </c>
      <c r="DI152" s="12">
        <f t="shared" si="251"/>
        <v>0</v>
      </c>
      <c r="DJ152" s="12">
        <f t="shared" si="251"/>
        <v>0</v>
      </c>
      <c r="DK152" s="12">
        <f t="shared" si="251"/>
        <v>0</v>
      </c>
      <c r="DL152" s="12">
        <f t="shared" si="251"/>
        <v>0</v>
      </c>
      <c r="DM152" s="12">
        <f t="shared" si="251"/>
        <v>0</v>
      </c>
      <c r="DN152" s="12">
        <f t="shared" si="251"/>
        <v>0</v>
      </c>
      <c r="DO152" s="12">
        <f t="shared" si="251"/>
        <v>0</v>
      </c>
      <c r="DP152" s="12">
        <f t="shared" si="251"/>
        <v>0</v>
      </c>
      <c r="DQ152" s="12">
        <f t="shared" si="251"/>
        <v>0</v>
      </c>
      <c r="DR152" s="12">
        <f t="shared" si="251"/>
        <v>0</v>
      </c>
      <c r="DS152" s="12">
        <f t="shared" si="251"/>
        <v>0</v>
      </c>
      <c r="DT152" s="12">
        <f t="shared" si="251"/>
        <v>0</v>
      </c>
      <c r="DU152" s="12">
        <f t="shared" si="251"/>
        <v>0</v>
      </c>
      <c r="DV152" s="12">
        <f t="shared" si="251"/>
        <v>0</v>
      </c>
      <c r="DW152" s="12">
        <f t="shared" si="251"/>
        <v>0</v>
      </c>
      <c r="DX152" s="12">
        <f t="shared" si="251"/>
        <v>0</v>
      </c>
      <c r="DY152" s="12">
        <f t="shared" si="251"/>
        <v>0</v>
      </c>
      <c r="DZ152" s="12">
        <f t="shared" si="251"/>
        <v>0</v>
      </c>
      <c r="EA152" s="12">
        <f t="shared" si="251"/>
        <v>0</v>
      </c>
      <c r="EB152" s="12">
        <f t="shared" si="251"/>
        <v>0</v>
      </c>
      <c r="EC152" s="12">
        <f t="shared" si="251"/>
        <v>0</v>
      </c>
      <c r="ED152" s="12">
        <f t="shared" si="251"/>
        <v>0</v>
      </c>
      <c r="EE152" s="12">
        <f t="shared" si="251"/>
        <v>0</v>
      </c>
      <c r="EF152" s="12">
        <f t="shared" si="251"/>
        <v>0</v>
      </c>
      <c r="EG152" s="12">
        <f t="shared" ref="EG152:FH152" si="252">-EG151*($E$29+$E$30)</f>
        <v>0</v>
      </c>
      <c r="EH152" s="12">
        <f t="shared" si="252"/>
        <v>0</v>
      </c>
      <c r="EI152" s="12">
        <f t="shared" si="252"/>
        <v>0</v>
      </c>
      <c r="EJ152" s="12">
        <f t="shared" si="252"/>
        <v>0</v>
      </c>
      <c r="EK152" s="12">
        <f t="shared" si="252"/>
        <v>0</v>
      </c>
      <c r="EL152" s="12">
        <f t="shared" si="252"/>
        <v>0</v>
      </c>
      <c r="EM152" s="12">
        <f t="shared" si="252"/>
        <v>0</v>
      </c>
      <c r="EN152" s="12">
        <f t="shared" si="252"/>
        <v>0</v>
      </c>
      <c r="EO152" s="12">
        <f t="shared" si="252"/>
        <v>0</v>
      </c>
      <c r="EP152" s="12">
        <f t="shared" si="252"/>
        <v>0</v>
      </c>
      <c r="EQ152" s="12">
        <f t="shared" si="252"/>
        <v>0</v>
      </c>
      <c r="ER152" s="12">
        <f t="shared" si="252"/>
        <v>0</v>
      </c>
      <c r="ES152" s="12">
        <f t="shared" si="252"/>
        <v>0</v>
      </c>
      <c r="ET152" s="12">
        <f t="shared" si="252"/>
        <v>0</v>
      </c>
      <c r="EU152" s="12">
        <f t="shared" si="252"/>
        <v>0</v>
      </c>
      <c r="EV152" s="12">
        <f t="shared" si="252"/>
        <v>0</v>
      </c>
      <c r="EW152" s="12">
        <f t="shared" si="252"/>
        <v>0</v>
      </c>
      <c r="EX152" s="12">
        <f t="shared" si="252"/>
        <v>0</v>
      </c>
      <c r="EY152" s="12">
        <f t="shared" si="252"/>
        <v>0</v>
      </c>
      <c r="EZ152" s="12">
        <f t="shared" si="252"/>
        <v>0</v>
      </c>
      <c r="FA152" s="12">
        <f t="shared" si="252"/>
        <v>0</v>
      </c>
      <c r="FB152" s="12">
        <f t="shared" si="252"/>
        <v>0</v>
      </c>
      <c r="FC152" s="12">
        <f t="shared" si="252"/>
        <v>0</v>
      </c>
      <c r="FD152" s="12">
        <f t="shared" si="252"/>
        <v>0</v>
      </c>
      <c r="FE152" s="12">
        <f t="shared" si="252"/>
        <v>0</v>
      </c>
      <c r="FF152" s="12">
        <f t="shared" si="252"/>
        <v>0</v>
      </c>
      <c r="FG152" s="12">
        <f t="shared" si="252"/>
        <v>0</v>
      </c>
      <c r="FH152" s="12">
        <f t="shared" si="252"/>
        <v>0</v>
      </c>
    </row>
    <row r="153" spans="1:164" x14ac:dyDescent="0.2">
      <c r="A153" s="10"/>
      <c r="B153" s="10"/>
      <c r="C153" s="10" t="s">
        <v>405</v>
      </c>
      <c r="D153" s="10"/>
      <c r="E153" s="10"/>
      <c r="F153" s="10"/>
      <c r="G153" s="10"/>
      <c r="H153" s="12">
        <f t="shared" si="242"/>
        <v>-4608.9119999999994</v>
      </c>
      <c r="I153" s="12">
        <f t="shared" ref="I153:AN153" si="253">-IF(AND(I$6&gt;=EDATE($E$34,-12),I$6&lt;$E$34),$E$56*$E$29/12,0)</f>
        <v>0</v>
      </c>
      <c r="J153" s="12">
        <f t="shared" si="253"/>
        <v>0</v>
      </c>
      <c r="K153" s="12">
        <f t="shared" si="253"/>
        <v>0</v>
      </c>
      <c r="L153" s="12">
        <f t="shared" si="253"/>
        <v>0</v>
      </c>
      <c r="M153" s="12">
        <f t="shared" si="253"/>
        <v>0</v>
      </c>
      <c r="N153" s="12">
        <f t="shared" si="253"/>
        <v>0</v>
      </c>
      <c r="O153" s="12">
        <f t="shared" si="253"/>
        <v>0</v>
      </c>
      <c r="P153" s="12">
        <f t="shared" si="253"/>
        <v>0</v>
      </c>
      <c r="Q153" s="12">
        <f t="shared" si="253"/>
        <v>0</v>
      </c>
      <c r="R153" s="12">
        <f t="shared" si="253"/>
        <v>0</v>
      </c>
      <c r="S153" s="12">
        <f t="shared" si="253"/>
        <v>0</v>
      </c>
      <c r="T153" s="12">
        <f t="shared" si="253"/>
        <v>0</v>
      </c>
      <c r="U153" s="12">
        <f t="shared" si="253"/>
        <v>0</v>
      </c>
      <c r="V153" s="12">
        <f t="shared" si="253"/>
        <v>0</v>
      </c>
      <c r="W153" s="12">
        <f t="shared" si="253"/>
        <v>0</v>
      </c>
      <c r="X153" s="12">
        <f t="shared" si="253"/>
        <v>0</v>
      </c>
      <c r="Y153" s="12">
        <f t="shared" si="253"/>
        <v>0</v>
      </c>
      <c r="Z153" s="12">
        <f t="shared" si="253"/>
        <v>0</v>
      </c>
      <c r="AA153" s="12">
        <f t="shared" si="253"/>
        <v>0</v>
      </c>
      <c r="AB153" s="12">
        <f t="shared" si="253"/>
        <v>0</v>
      </c>
      <c r="AC153" s="12">
        <f t="shared" si="253"/>
        <v>0</v>
      </c>
      <c r="AD153" s="12">
        <f t="shared" si="253"/>
        <v>0</v>
      </c>
      <c r="AE153" s="12">
        <f t="shared" si="253"/>
        <v>0</v>
      </c>
      <c r="AF153" s="12">
        <f t="shared" si="253"/>
        <v>0</v>
      </c>
      <c r="AG153" s="12">
        <f t="shared" si="253"/>
        <v>0</v>
      </c>
      <c r="AH153" s="12">
        <f t="shared" si="253"/>
        <v>0</v>
      </c>
      <c r="AI153" s="12">
        <f t="shared" si="253"/>
        <v>0</v>
      </c>
      <c r="AJ153" s="12">
        <f t="shared" si="253"/>
        <v>0</v>
      </c>
      <c r="AK153" s="12">
        <f t="shared" si="253"/>
        <v>0</v>
      </c>
      <c r="AL153" s="12">
        <f t="shared" si="253"/>
        <v>0</v>
      </c>
      <c r="AM153" s="12">
        <f t="shared" si="253"/>
        <v>-384.07599999999996</v>
      </c>
      <c r="AN153" s="12">
        <f t="shared" si="253"/>
        <v>-384.07599999999996</v>
      </c>
      <c r="AO153" s="12">
        <f t="shared" ref="AO153:BT153" si="254">-IF(AND(AO$6&gt;=EDATE($E$34,-12),AO$6&lt;$E$34),$E$56*$E$29/12,0)</f>
        <v>-384.07599999999996</v>
      </c>
      <c r="AP153" s="12">
        <f t="shared" si="254"/>
        <v>-384.07599999999996</v>
      </c>
      <c r="AQ153" s="12">
        <f t="shared" si="254"/>
        <v>-384.07599999999996</v>
      </c>
      <c r="AR153" s="12">
        <f t="shared" si="254"/>
        <v>-384.07599999999996</v>
      </c>
      <c r="AS153" s="12">
        <f t="shared" si="254"/>
        <v>-384.07599999999996</v>
      </c>
      <c r="AT153" s="12">
        <f t="shared" si="254"/>
        <v>-384.07599999999996</v>
      </c>
      <c r="AU153" s="12">
        <f t="shared" si="254"/>
        <v>-384.07599999999996</v>
      </c>
      <c r="AV153" s="12">
        <f t="shared" si="254"/>
        <v>-384.07599999999996</v>
      </c>
      <c r="AW153" s="12">
        <f t="shared" si="254"/>
        <v>-384.07599999999996</v>
      </c>
      <c r="AX153" s="12">
        <f t="shared" si="254"/>
        <v>-384.07599999999996</v>
      </c>
      <c r="AY153" s="12">
        <f t="shared" si="254"/>
        <v>0</v>
      </c>
      <c r="AZ153" s="12">
        <f t="shared" si="254"/>
        <v>0</v>
      </c>
      <c r="BA153" s="12">
        <f t="shared" si="254"/>
        <v>0</v>
      </c>
      <c r="BB153" s="12">
        <f t="shared" si="254"/>
        <v>0</v>
      </c>
      <c r="BC153" s="12">
        <f t="shared" si="254"/>
        <v>0</v>
      </c>
      <c r="BD153" s="12">
        <f t="shared" si="254"/>
        <v>0</v>
      </c>
      <c r="BE153" s="12">
        <f t="shared" si="254"/>
        <v>0</v>
      </c>
      <c r="BF153" s="12">
        <f t="shared" si="254"/>
        <v>0</v>
      </c>
      <c r="BG153" s="12">
        <f t="shared" si="254"/>
        <v>0</v>
      </c>
      <c r="BH153" s="12">
        <f t="shared" si="254"/>
        <v>0</v>
      </c>
      <c r="BI153" s="12">
        <f t="shared" si="254"/>
        <v>0</v>
      </c>
      <c r="BJ153" s="12">
        <f t="shared" si="254"/>
        <v>0</v>
      </c>
      <c r="BK153" s="12">
        <f t="shared" si="254"/>
        <v>0</v>
      </c>
      <c r="BL153" s="12">
        <f t="shared" si="254"/>
        <v>0</v>
      </c>
      <c r="BM153" s="12">
        <f t="shared" si="254"/>
        <v>0</v>
      </c>
      <c r="BN153" s="12">
        <f t="shared" si="254"/>
        <v>0</v>
      </c>
      <c r="BO153" s="12">
        <f t="shared" si="254"/>
        <v>0</v>
      </c>
      <c r="BP153" s="12">
        <f t="shared" si="254"/>
        <v>0</v>
      </c>
      <c r="BQ153" s="12">
        <f t="shared" si="254"/>
        <v>0</v>
      </c>
      <c r="BR153" s="12">
        <f t="shared" si="254"/>
        <v>0</v>
      </c>
      <c r="BS153" s="12">
        <f t="shared" si="254"/>
        <v>0</v>
      </c>
      <c r="BT153" s="12">
        <f t="shared" si="254"/>
        <v>0</v>
      </c>
      <c r="BU153" s="12">
        <f t="shared" ref="BU153:CZ153" si="255">-IF(AND(BU$6&gt;=EDATE($E$34,-12),BU$6&lt;$E$34),$E$56*$E$29/12,0)</f>
        <v>0</v>
      </c>
      <c r="BV153" s="12">
        <f t="shared" si="255"/>
        <v>0</v>
      </c>
      <c r="BW153" s="12">
        <f t="shared" si="255"/>
        <v>0</v>
      </c>
      <c r="BX153" s="12">
        <f t="shared" si="255"/>
        <v>0</v>
      </c>
      <c r="BY153" s="12">
        <f t="shared" si="255"/>
        <v>0</v>
      </c>
      <c r="BZ153" s="12">
        <f t="shared" si="255"/>
        <v>0</v>
      </c>
      <c r="CA153" s="12">
        <f t="shared" si="255"/>
        <v>0</v>
      </c>
      <c r="CB153" s="12">
        <f t="shared" si="255"/>
        <v>0</v>
      </c>
      <c r="CC153" s="12">
        <f t="shared" si="255"/>
        <v>0</v>
      </c>
      <c r="CD153" s="12">
        <f t="shared" si="255"/>
        <v>0</v>
      </c>
      <c r="CE153" s="12">
        <f t="shared" si="255"/>
        <v>0</v>
      </c>
      <c r="CF153" s="12">
        <f t="shared" si="255"/>
        <v>0</v>
      </c>
      <c r="CG153" s="12">
        <f t="shared" si="255"/>
        <v>0</v>
      </c>
      <c r="CH153" s="12">
        <f t="shared" si="255"/>
        <v>0</v>
      </c>
      <c r="CI153" s="12">
        <f t="shared" si="255"/>
        <v>0</v>
      </c>
      <c r="CJ153" s="12">
        <f t="shared" si="255"/>
        <v>0</v>
      </c>
      <c r="CK153" s="12">
        <f t="shared" si="255"/>
        <v>0</v>
      </c>
      <c r="CL153" s="12">
        <f t="shared" si="255"/>
        <v>0</v>
      </c>
      <c r="CM153" s="12">
        <f t="shared" si="255"/>
        <v>0</v>
      </c>
      <c r="CN153" s="12">
        <f t="shared" si="255"/>
        <v>0</v>
      </c>
      <c r="CO153" s="12">
        <f t="shared" si="255"/>
        <v>0</v>
      </c>
      <c r="CP153" s="12">
        <f t="shared" si="255"/>
        <v>0</v>
      </c>
      <c r="CQ153" s="12">
        <f t="shared" si="255"/>
        <v>0</v>
      </c>
      <c r="CR153" s="12">
        <f t="shared" si="255"/>
        <v>0</v>
      </c>
      <c r="CS153" s="12">
        <f t="shared" si="255"/>
        <v>0</v>
      </c>
      <c r="CT153" s="12">
        <f t="shared" si="255"/>
        <v>0</v>
      </c>
      <c r="CU153" s="12">
        <f t="shared" si="255"/>
        <v>0</v>
      </c>
      <c r="CV153" s="12">
        <f t="shared" si="255"/>
        <v>0</v>
      </c>
      <c r="CW153" s="12">
        <f t="shared" si="255"/>
        <v>0</v>
      </c>
      <c r="CX153" s="12">
        <f t="shared" si="255"/>
        <v>0</v>
      </c>
      <c r="CY153" s="12">
        <f t="shared" si="255"/>
        <v>0</v>
      </c>
      <c r="CZ153" s="12">
        <f t="shared" si="255"/>
        <v>0</v>
      </c>
      <c r="DA153" s="12">
        <f t="shared" ref="DA153:EF153" si="256">-IF(AND(DA$6&gt;=EDATE($E$34,-12),DA$6&lt;$E$34),$E$56*$E$29/12,0)</f>
        <v>0</v>
      </c>
      <c r="DB153" s="12">
        <f t="shared" si="256"/>
        <v>0</v>
      </c>
      <c r="DC153" s="12">
        <f t="shared" si="256"/>
        <v>0</v>
      </c>
      <c r="DD153" s="12">
        <f t="shared" si="256"/>
        <v>0</v>
      </c>
      <c r="DE153" s="12">
        <f t="shared" si="256"/>
        <v>0</v>
      </c>
      <c r="DF153" s="12">
        <f t="shared" si="256"/>
        <v>0</v>
      </c>
      <c r="DG153" s="12">
        <f t="shared" si="256"/>
        <v>0</v>
      </c>
      <c r="DH153" s="12">
        <f t="shared" si="256"/>
        <v>0</v>
      </c>
      <c r="DI153" s="12">
        <f t="shared" si="256"/>
        <v>0</v>
      </c>
      <c r="DJ153" s="12">
        <f t="shared" si="256"/>
        <v>0</v>
      </c>
      <c r="DK153" s="12">
        <f t="shared" si="256"/>
        <v>0</v>
      </c>
      <c r="DL153" s="12">
        <f t="shared" si="256"/>
        <v>0</v>
      </c>
      <c r="DM153" s="12">
        <f t="shared" si="256"/>
        <v>0</v>
      </c>
      <c r="DN153" s="12">
        <f t="shared" si="256"/>
        <v>0</v>
      </c>
      <c r="DO153" s="12">
        <f t="shared" si="256"/>
        <v>0</v>
      </c>
      <c r="DP153" s="12">
        <f t="shared" si="256"/>
        <v>0</v>
      </c>
      <c r="DQ153" s="12">
        <f t="shared" si="256"/>
        <v>0</v>
      </c>
      <c r="DR153" s="12">
        <f t="shared" si="256"/>
        <v>0</v>
      </c>
      <c r="DS153" s="12">
        <f t="shared" si="256"/>
        <v>0</v>
      </c>
      <c r="DT153" s="12">
        <f t="shared" si="256"/>
        <v>0</v>
      </c>
      <c r="DU153" s="12">
        <f t="shared" si="256"/>
        <v>0</v>
      </c>
      <c r="DV153" s="12">
        <f t="shared" si="256"/>
        <v>0</v>
      </c>
      <c r="DW153" s="12">
        <f t="shared" si="256"/>
        <v>0</v>
      </c>
      <c r="DX153" s="12">
        <f t="shared" si="256"/>
        <v>0</v>
      </c>
      <c r="DY153" s="12">
        <f t="shared" si="256"/>
        <v>0</v>
      </c>
      <c r="DZ153" s="12">
        <f t="shared" si="256"/>
        <v>0</v>
      </c>
      <c r="EA153" s="12">
        <f t="shared" si="256"/>
        <v>0</v>
      </c>
      <c r="EB153" s="12">
        <f t="shared" si="256"/>
        <v>0</v>
      </c>
      <c r="EC153" s="12">
        <f t="shared" si="256"/>
        <v>0</v>
      </c>
      <c r="ED153" s="12">
        <f t="shared" si="256"/>
        <v>0</v>
      </c>
      <c r="EE153" s="12">
        <f t="shared" si="256"/>
        <v>0</v>
      </c>
      <c r="EF153" s="12">
        <f t="shared" si="256"/>
        <v>0</v>
      </c>
      <c r="EG153" s="12">
        <f t="shared" ref="EG153:FH153" si="257">-IF(AND(EG$6&gt;=EDATE($E$34,-12),EG$6&lt;$E$34),$E$56*$E$29/12,0)</f>
        <v>0</v>
      </c>
      <c r="EH153" s="12">
        <f t="shared" si="257"/>
        <v>0</v>
      </c>
      <c r="EI153" s="12">
        <f t="shared" si="257"/>
        <v>0</v>
      </c>
      <c r="EJ153" s="12">
        <f t="shared" si="257"/>
        <v>0</v>
      </c>
      <c r="EK153" s="12">
        <f t="shared" si="257"/>
        <v>0</v>
      </c>
      <c r="EL153" s="12">
        <f t="shared" si="257"/>
        <v>0</v>
      </c>
      <c r="EM153" s="12">
        <f t="shared" si="257"/>
        <v>0</v>
      </c>
      <c r="EN153" s="12">
        <f t="shared" si="257"/>
        <v>0</v>
      </c>
      <c r="EO153" s="12">
        <f t="shared" si="257"/>
        <v>0</v>
      </c>
      <c r="EP153" s="12">
        <f t="shared" si="257"/>
        <v>0</v>
      </c>
      <c r="EQ153" s="12">
        <f t="shared" si="257"/>
        <v>0</v>
      </c>
      <c r="ER153" s="12">
        <f t="shared" si="257"/>
        <v>0</v>
      </c>
      <c r="ES153" s="12">
        <f t="shared" si="257"/>
        <v>0</v>
      </c>
      <c r="ET153" s="12">
        <f t="shared" si="257"/>
        <v>0</v>
      </c>
      <c r="EU153" s="12">
        <f t="shared" si="257"/>
        <v>0</v>
      </c>
      <c r="EV153" s="12">
        <f t="shared" si="257"/>
        <v>0</v>
      </c>
      <c r="EW153" s="12">
        <f t="shared" si="257"/>
        <v>0</v>
      </c>
      <c r="EX153" s="12">
        <f t="shared" si="257"/>
        <v>0</v>
      </c>
      <c r="EY153" s="12">
        <f t="shared" si="257"/>
        <v>0</v>
      </c>
      <c r="EZ153" s="12">
        <f t="shared" si="257"/>
        <v>0</v>
      </c>
      <c r="FA153" s="12">
        <f t="shared" si="257"/>
        <v>0</v>
      </c>
      <c r="FB153" s="12">
        <f t="shared" si="257"/>
        <v>0</v>
      </c>
      <c r="FC153" s="12">
        <f t="shared" si="257"/>
        <v>0</v>
      </c>
      <c r="FD153" s="12">
        <f t="shared" si="257"/>
        <v>0</v>
      </c>
      <c r="FE153" s="12">
        <f t="shared" si="257"/>
        <v>0</v>
      </c>
      <c r="FF153" s="12">
        <f t="shared" si="257"/>
        <v>0</v>
      </c>
      <c r="FG153" s="12">
        <f t="shared" si="257"/>
        <v>0</v>
      </c>
      <c r="FH153" s="12">
        <f t="shared" si="257"/>
        <v>0</v>
      </c>
    </row>
    <row r="154" spans="1:164" x14ac:dyDescent="0.2">
      <c r="A154" s="10"/>
      <c r="B154" s="10"/>
      <c r="C154" s="10" t="s">
        <v>911</v>
      </c>
      <c r="D154" s="10"/>
      <c r="E154" s="10"/>
      <c r="F154" s="10"/>
      <c r="G154" s="10"/>
      <c r="H154" s="12">
        <f t="shared" si="242"/>
        <v>-1536.3040000000012</v>
      </c>
      <c r="I154" s="12">
        <f t="shared" ref="I154:AN154" si="258">-IF(AND(I150&gt;=1,I150&lt;=$E$31),$E$57*$E$29/$E$31,0)</f>
        <v>0</v>
      </c>
      <c r="J154" s="12">
        <f t="shared" si="258"/>
        <v>0</v>
      </c>
      <c r="K154" s="12">
        <f t="shared" si="258"/>
        <v>0</v>
      </c>
      <c r="L154" s="12">
        <f t="shared" si="258"/>
        <v>0</v>
      </c>
      <c r="M154" s="12">
        <f t="shared" si="258"/>
        <v>0</v>
      </c>
      <c r="N154" s="12">
        <f t="shared" si="258"/>
        <v>0</v>
      </c>
      <c r="O154" s="12">
        <f t="shared" si="258"/>
        <v>0</v>
      </c>
      <c r="P154" s="12">
        <f t="shared" si="258"/>
        <v>0</v>
      </c>
      <c r="Q154" s="12">
        <f t="shared" si="258"/>
        <v>0</v>
      </c>
      <c r="R154" s="12">
        <f t="shared" si="258"/>
        <v>0</v>
      </c>
      <c r="S154" s="12">
        <f t="shared" si="258"/>
        <v>0</v>
      </c>
      <c r="T154" s="12">
        <f t="shared" si="258"/>
        <v>0</v>
      </c>
      <c r="U154" s="12">
        <f t="shared" si="258"/>
        <v>0</v>
      </c>
      <c r="V154" s="12">
        <f t="shared" si="258"/>
        <v>0</v>
      </c>
      <c r="W154" s="12">
        <f t="shared" si="258"/>
        <v>0</v>
      </c>
      <c r="X154" s="12">
        <f t="shared" si="258"/>
        <v>0</v>
      </c>
      <c r="Y154" s="12">
        <f t="shared" si="258"/>
        <v>0</v>
      </c>
      <c r="Z154" s="12">
        <f t="shared" si="258"/>
        <v>0</v>
      </c>
      <c r="AA154" s="12">
        <f t="shared" si="258"/>
        <v>0</v>
      </c>
      <c r="AB154" s="12">
        <f t="shared" si="258"/>
        <v>0</v>
      </c>
      <c r="AC154" s="12">
        <f t="shared" si="258"/>
        <v>0</v>
      </c>
      <c r="AD154" s="12">
        <f t="shared" si="258"/>
        <v>0</v>
      </c>
      <c r="AE154" s="12">
        <f t="shared" si="258"/>
        <v>0</v>
      </c>
      <c r="AF154" s="12">
        <f t="shared" si="258"/>
        <v>0</v>
      </c>
      <c r="AG154" s="12">
        <f t="shared" si="258"/>
        <v>0</v>
      </c>
      <c r="AH154" s="12">
        <f t="shared" si="258"/>
        <v>0</v>
      </c>
      <c r="AI154" s="12">
        <f t="shared" si="258"/>
        <v>0</v>
      </c>
      <c r="AJ154" s="12">
        <f t="shared" si="258"/>
        <v>0</v>
      </c>
      <c r="AK154" s="12">
        <f t="shared" si="258"/>
        <v>0</v>
      </c>
      <c r="AL154" s="12">
        <f t="shared" si="258"/>
        <v>0</v>
      </c>
      <c r="AM154" s="12">
        <f t="shared" si="258"/>
        <v>0</v>
      </c>
      <c r="AN154" s="12">
        <f t="shared" si="258"/>
        <v>0</v>
      </c>
      <c r="AO154" s="12">
        <f t="shared" ref="AO154:BT154" si="259">-IF(AND(AO150&gt;=1,AO150&lt;=$E$31),$E$57*$E$29/$E$31,0)</f>
        <v>0</v>
      </c>
      <c r="AP154" s="12">
        <f t="shared" si="259"/>
        <v>0</v>
      </c>
      <c r="AQ154" s="12">
        <f t="shared" si="259"/>
        <v>0</v>
      </c>
      <c r="AR154" s="12">
        <f t="shared" si="259"/>
        <v>0</v>
      </c>
      <c r="AS154" s="12">
        <f t="shared" si="259"/>
        <v>0</v>
      </c>
      <c r="AT154" s="12">
        <f t="shared" si="259"/>
        <v>0</v>
      </c>
      <c r="AU154" s="12">
        <f t="shared" si="259"/>
        <v>0</v>
      </c>
      <c r="AV154" s="12">
        <f t="shared" si="259"/>
        <v>0</v>
      </c>
      <c r="AW154" s="12">
        <f t="shared" si="259"/>
        <v>0</v>
      </c>
      <c r="AX154" s="12">
        <f t="shared" si="259"/>
        <v>0</v>
      </c>
      <c r="AY154" s="12">
        <f t="shared" si="259"/>
        <v>-42.675111111111114</v>
      </c>
      <c r="AZ154" s="12">
        <f t="shared" si="259"/>
        <v>-42.675111111111114</v>
      </c>
      <c r="BA154" s="12">
        <f t="shared" si="259"/>
        <v>-42.675111111111114</v>
      </c>
      <c r="BB154" s="12">
        <f t="shared" si="259"/>
        <v>-42.675111111111114</v>
      </c>
      <c r="BC154" s="12">
        <f t="shared" si="259"/>
        <v>-42.675111111111114</v>
      </c>
      <c r="BD154" s="12">
        <f t="shared" si="259"/>
        <v>-42.675111111111114</v>
      </c>
      <c r="BE154" s="12">
        <f t="shared" si="259"/>
        <v>-42.675111111111114</v>
      </c>
      <c r="BF154" s="12">
        <f t="shared" si="259"/>
        <v>-42.675111111111114</v>
      </c>
      <c r="BG154" s="12">
        <f t="shared" si="259"/>
        <v>-42.675111111111114</v>
      </c>
      <c r="BH154" s="12">
        <f t="shared" si="259"/>
        <v>-42.675111111111114</v>
      </c>
      <c r="BI154" s="12">
        <f t="shared" si="259"/>
        <v>-42.675111111111114</v>
      </c>
      <c r="BJ154" s="12">
        <f t="shared" si="259"/>
        <v>-42.675111111111114</v>
      </c>
      <c r="BK154" s="12">
        <f t="shared" si="259"/>
        <v>-42.675111111111114</v>
      </c>
      <c r="BL154" s="12">
        <f t="shared" si="259"/>
        <v>-42.675111111111114</v>
      </c>
      <c r="BM154" s="12">
        <f t="shared" si="259"/>
        <v>-42.675111111111114</v>
      </c>
      <c r="BN154" s="12">
        <f t="shared" si="259"/>
        <v>-42.675111111111114</v>
      </c>
      <c r="BO154" s="12">
        <f t="shared" si="259"/>
        <v>-42.675111111111114</v>
      </c>
      <c r="BP154" s="12">
        <f t="shared" si="259"/>
        <v>-42.675111111111114</v>
      </c>
      <c r="BQ154" s="12">
        <f t="shared" si="259"/>
        <v>-42.675111111111114</v>
      </c>
      <c r="BR154" s="12">
        <f t="shared" si="259"/>
        <v>-42.675111111111114</v>
      </c>
      <c r="BS154" s="12">
        <f t="shared" si="259"/>
        <v>-42.675111111111114</v>
      </c>
      <c r="BT154" s="12">
        <f t="shared" si="259"/>
        <v>-42.675111111111114</v>
      </c>
      <c r="BU154" s="12">
        <f t="shared" ref="BU154:CZ154" si="260">-IF(AND(BU150&gt;=1,BU150&lt;=$E$31),$E$57*$E$29/$E$31,0)</f>
        <v>-42.675111111111114</v>
      </c>
      <c r="BV154" s="12">
        <f t="shared" si="260"/>
        <v>-42.675111111111114</v>
      </c>
      <c r="BW154" s="12">
        <f t="shared" si="260"/>
        <v>-42.675111111111114</v>
      </c>
      <c r="BX154" s="12">
        <f t="shared" si="260"/>
        <v>-42.675111111111114</v>
      </c>
      <c r="BY154" s="12">
        <f t="shared" si="260"/>
        <v>-42.675111111111114</v>
      </c>
      <c r="BZ154" s="12">
        <f t="shared" si="260"/>
        <v>-42.675111111111114</v>
      </c>
      <c r="CA154" s="12">
        <f t="shared" si="260"/>
        <v>-42.675111111111114</v>
      </c>
      <c r="CB154" s="12">
        <f t="shared" si="260"/>
        <v>-42.675111111111114</v>
      </c>
      <c r="CC154" s="12">
        <f t="shared" si="260"/>
        <v>-42.675111111111114</v>
      </c>
      <c r="CD154" s="12">
        <f t="shared" si="260"/>
        <v>-42.675111111111114</v>
      </c>
      <c r="CE154" s="12">
        <f t="shared" si="260"/>
        <v>-42.675111111111114</v>
      </c>
      <c r="CF154" s="12">
        <f t="shared" si="260"/>
        <v>-42.675111111111114</v>
      </c>
      <c r="CG154" s="12">
        <f t="shared" si="260"/>
        <v>-42.675111111111114</v>
      </c>
      <c r="CH154" s="12">
        <f t="shared" si="260"/>
        <v>-42.675111111111114</v>
      </c>
      <c r="CI154" s="12">
        <f t="shared" si="260"/>
        <v>0</v>
      </c>
      <c r="CJ154" s="12">
        <f t="shared" si="260"/>
        <v>0</v>
      </c>
      <c r="CK154" s="12">
        <f t="shared" si="260"/>
        <v>0</v>
      </c>
      <c r="CL154" s="12">
        <f t="shared" si="260"/>
        <v>0</v>
      </c>
      <c r="CM154" s="12">
        <f t="shared" si="260"/>
        <v>0</v>
      </c>
      <c r="CN154" s="12">
        <f t="shared" si="260"/>
        <v>0</v>
      </c>
      <c r="CO154" s="12">
        <f t="shared" si="260"/>
        <v>0</v>
      </c>
      <c r="CP154" s="12">
        <f t="shared" si="260"/>
        <v>0</v>
      </c>
      <c r="CQ154" s="12">
        <f t="shared" si="260"/>
        <v>0</v>
      </c>
      <c r="CR154" s="12">
        <f t="shared" si="260"/>
        <v>0</v>
      </c>
      <c r="CS154" s="12">
        <f t="shared" si="260"/>
        <v>0</v>
      </c>
      <c r="CT154" s="12">
        <f t="shared" si="260"/>
        <v>0</v>
      </c>
      <c r="CU154" s="12">
        <f t="shared" si="260"/>
        <v>0</v>
      </c>
      <c r="CV154" s="12">
        <f t="shared" si="260"/>
        <v>0</v>
      </c>
      <c r="CW154" s="12">
        <f t="shared" si="260"/>
        <v>0</v>
      </c>
      <c r="CX154" s="12">
        <f t="shared" si="260"/>
        <v>0</v>
      </c>
      <c r="CY154" s="12">
        <f t="shared" si="260"/>
        <v>0</v>
      </c>
      <c r="CZ154" s="12">
        <f t="shared" si="260"/>
        <v>0</v>
      </c>
      <c r="DA154" s="12">
        <f t="shared" ref="DA154:EF154" si="261">-IF(AND(DA150&gt;=1,DA150&lt;=$E$31),$E$57*$E$29/$E$31,0)</f>
        <v>0</v>
      </c>
      <c r="DB154" s="12">
        <f t="shared" si="261"/>
        <v>0</v>
      </c>
      <c r="DC154" s="12">
        <f t="shared" si="261"/>
        <v>0</v>
      </c>
      <c r="DD154" s="12">
        <f t="shared" si="261"/>
        <v>0</v>
      </c>
      <c r="DE154" s="12">
        <f t="shared" si="261"/>
        <v>0</v>
      </c>
      <c r="DF154" s="12">
        <f t="shared" si="261"/>
        <v>0</v>
      </c>
      <c r="DG154" s="12">
        <f t="shared" si="261"/>
        <v>0</v>
      </c>
      <c r="DH154" s="12">
        <f t="shared" si="261"/>
        <v>0</v>
      </c>
      <c r="DI154" s="12">
        <f t="shared" si="261"/>
        <v>0</v>
      </c>
      <c r="DJ154" s="12">
        <f t="shared" si="261"/>
        <v>0</v>
      </c>
      <c r="DK154" s="12">
        <f t="shared" si="261"/>
        <v>0</v>
      </c>
      <c r="DL154" s="12">
        <f t="shared" si="261"/>
        <v>0</v>
      </c>
      <c r="DM154" s="12">
        <f t="shared" si="261"/>
        <v>0</v>
      </c>
      <c r="DN154" s="12">
        <f t="shared" si="261"/>
        <v>0</v>
      </c>
      <c r="DO154" s="12">
        <f t="shared" si="261"/>
        <v>0</v>
      </c>
      <c r="DP154" s="12">
        <f t="shared" si="261"/>
        <v>0</v>
      </c>
      <c r="DQ154" s="12">
        <f t="shared" si="261"/>
        <v>0</v>
      </c>
      <c r="DR154" s="12">
        <f t="shared" si="261"/>
        <v>0</v>
      </c>
      <c r="DS154" s="12">
        <f t="shared" si="261"/>
        <v>0</v>
      </c>
      <c r="DT154" s="12">
        <f t="shared" si="261"/>
        <v>0</v>
      </c>
      <c r="DU154" s="12">
        <f t="shared" si="261"/>
        <v>0</v>
      </c>
      <c r="DV154" s="12">
        <f t="shared" si="261"/>
        <v>0</v>
      </c>
      <c r="DW154" s="12">
        <f t="shared" si="261"/>
        <v>0</v>
      </c>
      <c r="DX154" s="12">
        <f t="shared" si="261"/>
        <v>0</v>
      </c>
      <c r="DY154" s="12">
        <f t="shared" si="261"/>
        <v>0</v>
      </c>
      <c r="DZ154" s="12">
        <f t="shared" si="261"/>
        <v>0</v>
      </c>
      <c r="EA154" s="12">
        <f t="shared" si="261"/>
        <v>0</v>
      </c>
      <c r="EB154" s="12">
        <f t="shared" si="261"/>
        <v>0</v>
      </c>
      <c r="EC154" s="12">
        <f t="shared" si="261"/>
        <v>0</v>
      </c>
      <c r="ED154" s="12">
        <f t="shared" si="261"/>
        <v>0</v>
      </c>
      <c r="EE154" s="12">
        <f t="shared" si="261"/>
        <v>0</v>
      </c>
      <c r="EF154" s="12">
        <f t="shared" si="261"/>
        <v>0</v>
      </c>
      <c r="EG154" s="12">
        <f t="shared" ref="EG154:FH154" si="262">-IF(AND(EG150&gt;=1,EG150&lt;=$E$31),$E$57*$E$29/$E$31,0)</f>
        <v>0</v>
      </c>
      <c r="EH154" s="12">
        <f t="shared" si="262"/>
        <v>0</v>
      </c>
      <c r="EI154" s="12">
        <f t="shared" si="262"/>
        <v>0</v>
      </c>
      <c r="EJ154" s="12">
        <f t="shared" si="262"/>
        <v>0</v>
      </c>
      <c r="EK154" s="12">
        <f t="shared" si="262"/>
        <v>0</v>
      </c>
      <c r="EL154" s="12">
        <f t="shared" si="262"/>
        <v>0</v>
      </c>
      <c r="EM154" s="12">
        <f t="shared" si="262"/>
        <v>0</v>
      </c>
      <c r="EN154" s="12">
        <f t="shared" si="262"/>
        <v>0</v>
      </c>
      <c r="EO154" s="12">
        <f t="shared" si="262"/>
        <v>0</v>
      </c>
      <c r="EP154" s="12">
        <f t="shared" si="262"/>
        <v>0</v>
      </c>
      <c r="EQ154" s="12">
        <f t="shared" si="262"/>
        <v>0</v>
      </c>
      <c r="ER154" s="12">
        <f t="shared" si="262"/>
        <v>0</v>
      </c>
      <c r="ES154" s="12">
        <f t="shared" si="262"/>
        <v>0</v>
      </c>
      <c r="ET154" s="12">
        <f t="shared" si="262"/>
        <v>0</v>
      </c>
      <c r="EU154" s="12">
        <f t="shared" si="262"/>
        <v>0</v>
      </c>
      <c r="EV154" s="12">
        <f t="shared" si="262"/>
        <v>0</v>
      </c>
      <c r="EW154" s="12">
        <f t="shared" si="262"/>
        <v>0</v>
      </c>
      <c r="EX154" s="12">
        <f t="shared" si="262"/>
        <v>0</v>
      </c>
      <c r="EY154" s="12">
        <f t="shared" si="262"/>
        <v>0</v>
      </c>
      <c r="EZ154" s="12">
        <f t="shared" si="262"/>
        <v>0</v>
      </c>
      <c r="FA154" s="12">
        <f t="shared" si="262"/>
        <v>0</v>
      </c>
      <c r="FB154" s="12">
        <f t="shared" si="262"/>
        <v>0</v>
      </c>
      <c r="FC154" s="12">
        <f t="shared" si="262"/>
        <v>0</v>
      </c>
      <c r="FD154" s="12">
        <f t="shared" si="262"/>
        <v>0</v>
      </c>
      <c r="FE154" s="12">
        <f t="shared" si="262"/>
        <v>0</v>
      </c>
      <c r="FF154" s="12">
        <f t="shared" si="262"/>
        <v>0</v>
      </c>
      <c r="FG154" s="12">
        <f t="shared" si="262"/>
        <v>0</v>
      </c>
      <c r="FH154" s="12">
        <f t="shared" si="262"/>
        <v>0</v>
      </c>
    </row>
    <row r="155" spans="1:164" x14ac:dyDescent="0.2">
      <c r="A155" s="10"/>
      <c r="B155" s="10"/>
      <c r="C155" s="10" t="s">
        <v>912</v>
      </c>
      <c r="D155" s="10"/>
      <c r="E155" s="10"/>
      <c r="F155" s="10"/>
      <c r="G155" s="10"/>
      <c r="H155" s="12">
        <f t="shared" si="242"/>
        <v>-4608.9120000000012</v>
      </c>
      <c r="I155" s="12">
        <f t="shared" ref="I155:AN155" si="263">-I151*$E$58*$E$29</f>
        <v>0</v>
      </c>
      <c r="J155" s="12">
        <f t="shared" si="263"/>
        <v>0</v>
      </c>
      <c r="K155" s="12">
        <f t="shared" si="263"/>
        <v>0</v>
      </c>
      <c r="L155" s="12">
        <f t="shared" si="263"/>
        <v>0</v>
      </c>
      <c r="M155" s="12">
        <f t="shared" si="263"/>
        <v>0</v>
      </c>
      <c r="N155" s="12">
        <f t="shared" si="263"/>
        <v>0</v>
      </c>
      <c r="O155" s="12">
        <f t="shared" si="263"/>
        <v>0</v>
      </c>
      <c r="P155" s="12">
        <f t="shared" si="263"/>
        <v>0</v>
      </c>
      <c r="Q155" s="12">
        <f t="shared" si="263"/>
        <v>0</v>
      </c>
      <c r="R155" s="12">
        <f t="shared" si="263"/>
        <v>0</v>
      </c>
      <c r="S155" s="12">
        <f t="shared" si="263"/>
        <v>0</v>
      </c>
      <c r="T155" s="12">
        <f t="shared" si="263"/>
        <v>0</v>
      </c>
      <c r="U155" s="12">
        <f t="shared" si="263"/>
        <v>0</v>
      </c>
      <c r="V155" s="12">
        <f t="shared" si="263"/>
        <v>0</v>
      </c>
      <c r="W155" s="12">
        <f t="shared" si="263"/>
        <v>0</v>
      </c>
      <c r="X155" s="12">
        <f t="shared" si="263"/>
        <v>0</v>
      </c>
      <c r="Y155" s="12">
        <f t="shared" si="263"/>
        <v>0</v>
      </c>
      <c r="Z155" s="12">
        <f t="shared" si="263"/>
        <v>0</v>
      </c>
      <c r="AA155" s="12">
        <f t="shared" si="263"/>
        <v>0</v>
      </c>
      <c r="AB155" s="12">
        <f t="shared" si="263"/>
        <v>0</v>
      </c>
      <c r="AC155" s="12">
        <f t="shared" si="263"/>
        <v>0</v>
      </c>
      <c r="AD155" s="12">
        <f t="shared" si="263"/>
        <v>0</v>
      </c>
      <c r="AE155" s="12">
        <f t="shared" si="263"/>
        <v>0</v>
      </c>
      <c r="AF155" s="12">
        <f t="shared" si="263"/>
        <v>0</v>
      </c>
      <c r="AG155" s="12">
        <f t="shared" si="263"/>
        <v>0</v>
      </c>
      <c r="AH155" s="12">
        <f t="shared" si="263"/>
        <v>0</v>
      </c>
      <c r="AI155" s="12">
        <f t="shared" si="263"/>
        <v>0</v>
      </c>
      <c r="AJ155" s="12">
        <f t="shared" si="263"/>
        <v>0</v>
      </c>
      <c r="AK155" s="12">
        <f t="shared" si="263"/>
        <v>0</v>
      </c>
      <c r="AL155" s="12">
        <f t="shared" si="263"/>
        <v>0</v>
      </c>
      <c r="AM155" s="12">
        <f t="shared" si="263"/>
        <v>0</v>
      </c>
      <c r="AN155" s="12">
        <f t="shared" si="263"/>
        <v>0</v>
      </c>
      <c r="AO155" s="12">
        <f t="shared" ref="AO155:BT155" si="264">-AO151*$E$58*$E$29</f>
        <v>0</v>
      </c>
      <c r="AP155" s="12">
        <f t="shared" si="264"/>
        <v>0</v>
      </c>
      <c r="AQ155" s="12">
        <f t="shared" si="264"/>
        <v>0</v>
      </c>
      <c r="AR155" s="12">
        <f t="shared" si="264"/>
        <v>0</v>
      </c>
      <c r="AS155" s="12">
        <f t="shared" si="264"/>
        <v>0</v>
      </c>
      <c r="AT155" s="12">
        <f t="shared" si="264"/>
        <v>0</v>
      </c>
      <c r="AU155" s="12">
        <f t="shared" si="264"/>
        <v>0</v>
      </c>
      <c r="AV155" s="12">
        <f t="shared" si="264"/>
        <v>0</v>
      </c>
      <c r="AW155" s="12">
        <f t="shared" si="264"/>
        <v>0</v>
      </c>
      <c r="AX155" s="12">
        <f t="shared" si="264"/>
        <v>0</v>
      </c>
      <c r="AY155" s="12">
        <f t="shared" si="264"/>
        <v>-8.7691508142884569</v>
      </c>
      <c r="AZ155" s="12">
        <f t="shared" si="264"/>
        <v>-26.240713910210598</v>
      </c>
      <c r="BA155" s="12">
        <f t="shared" si="264"/>
        <v>-43.512569328699783</v>
      </c>
      <c r="BB155" s="12">
        <f t="shared" si="264"/>
        <v>-60.453267820989844</v>
      </c>
      <c r="BC155" s="12">
        <f t="shared" si="264"/>
        <v>-76.933880442481069</v>
      </c>
      <c r="BD155" s="12">
        <f t="shared" si="264"/>
        <v>-92.82897977985786</v>
      </c>
      <c r="BE155" s="12">
        <f t="shared" si="264"/>
        <v>-108.01759452943949</v>
      </c>
      <c r="BF155" s="12">
        <f t="shared" si="264"/>
        <v>-122.38413016184519</v>
      </c>
      <c r="BG155" s="12">
        <f t="shared" si="264"/>
        <v>-135.81924866616106</v>
      </c>
      <c r="BH155" s="12">
        <f t="shared" si="264"/>
        <v>-148.22070067822287</v>
      </c>
      <c r="BI155" s="12">
        <f t="shared" si="264"/>
        <v>-159.49410366001737</v>
      </c>
      <c r="BJ155" s="12">
        <f t="shared" si="264"/>
        <v>-169.55366020778627</v>
      </c>
      <c r="BK155" s="12">
        <f t="shared" si="264"/>
        <v>-178.32281102207472</v>
      </c>
      <c r="BL155" s="12">
        <f t="shared" si="264"/>
        <v>-185.73481757022799</v>
      </c>
      <c r="BM155" s="12">
        <f t="shared" si="264"/>
        <v>-191.73327000692265</v>
      </c>
      <c r="BN155" s="12">
        <f t="shared" si="264"/>
        <v>-196.27251648715091</v>
      </c>
      <c r="BO155" s="12">
        <f t="shared" si="264"/>
        <v>-199.31801060432628</v>
      </c>
      <c r="BP155" s="12">
        <f t="shared" si="264"/>
        <v>-200.84657430929735</v>
      </c>
      <c r="BQ155" s="12">
        <f t="shared" si="264"/>
        <v>-200.84657430929735</v>
      </c>
      <c r="BR155" s="12">
        <f t="shared" si="264"/>
        <v>-199.31801060432628</v>
      </c>
      <c r="BS155" s="12">
        <f t="shared" si="264"/>
        <v>-196.27251648715097</v>
      </c>
      <c r="BT155" s="12">
        <f t="shared" si="264"/>
        <v>-191.73327000692265</v>
      </c>
      <c r="BU155" s="12">
        <f t="shared" ref="BU155:CZ155" si="265">-BU151*$E$58*$E$29</f>
        <v>-185.73481757022799</v>
      </c>
      <c r="BV155" s="12">
        <f t="shared" si="265"/>
        <v>-178.32281102207472</v>
      </c>
      <c r="BW155" s="12">
        <f t="shared" si="265"/>
        <v>-169.55366020778629</v>
      </c>
      <c r="BX155" s="12">
        <f t="shared" si="265"/>
        <v>-159.49410366001737</v>
      </c>
      <c r="BY155" s="12">
        <f t="shared" si="265"/>
        <v>-148.22070067822287</v>
      </c>
      <c r="BZ155" s="12">
        <f t="shared" si="265"/>
        <v>-135.81924866616109</v>
      </c>
      <c r="CA155" s="12">
        <f t="shared" si="265"/>
        <v>-122.38413016184526</v>
      </c>
      <c r="CB155" s="12">
        <f t="shared" si="265"/>
        <v>-108.01759452943952</v>
      </c>
      <c r="CC155" s="12">
        <f t="shared" si="265"/>
        <v>-92.82897977985786</v>
      </c>
      <c r="CD155" s="12">
        <f t="shared" si="265"/>
        <v>-76.933880442481069</v>
      </c>
      <c r="CE155" s="12">
        <f t="shared" si="265"/>
        <v>-60.453267820989893</v>
      </c>
      <c r="CF155" s="12">
        <f t="shared" si="265"/>
        <v>-43.51256932869984</v>
      </c>
      <c r="CG155" s="12">
        <f t="shared" si="265"/>
        <v>-26.240713910210598</v>
      </c>
      <c r="CH155" s="12">
        <f t="shared" si="265"/>
        <v>-8.7691508142884711</v>
      </c>
      <c r="CI155" s="12">
        <f t="shared" si="265"/>
        <v>0</v>
      </c>
      <c r="CJ155" s="12">
        <f t="shared" si="265"/>
        <v>0</v>
      </c>
      <c r="CK155" s="12">
        <f t="shared" si="265"/>
        <v>0</v>
      </c>
      <c r="CL155" s="12">
        <f t="shared" si="265"/>
        <v>0</v>
      </c>
      <c r="CM155" s="12">
        <f t="shared" si="265"/>
        <v>0</v>
      </c>
      <c r="CN155" s="12">
        <f t="shared" si="265"/>
        <v>0</v>
      </c>
      <c r="CO155" s="12">
        <f t="shared" si="265"/>
        <v>0</v>
      </c>
      <c r="CP155" s="12">
        <f t="shared" si="265"/>
        <v>0</v>
      </c>
      <c r="CQ155" s="12">
        <f t="shared" si="265"/>
        <v>0</v>
      </c>
      <c r="CR155" s="12">
        <f t="shared" si="265"/>
        <v>0</v>
      </c>
      <c r="CS155" s="12">
        <f t="shared" si="265"/>
        <v>0</v>
      </c>
      <c r="CT155" s="12">
        <f t="shared" si="265"/>
        <v>0</v>
      </c>
      <c r="CU155" s="12">
        <f t="shared" si="265"/>
        <v>0</v>
      </c>
      <c r="CV155" s="12">
        <f t="shared" si="265"/>
        <v>0</v>
      </c>
      <c r="CW155" s="12">
        <f t="shared" si="265"/>
        <v>0</v>
      </c>
      <c r="CX155" s="12">
        <f t="shared" si="265"/>
        <v>0</v>
      </c>
      <c r="CY155" s="12">
        <f t="shared" si="265"/>
        <v>0</v>
      </c>
      <c r="CZ155" s="12">
        <f t="shared" si="265"/>
        <v>0</v>
      </c>
      <c r="DA155" s="12">
        <f t="shared" ref="DA155:EF155" si="266">-DA151*$E$58*$E$29</f>
        <v>0</v>
      </c>
      <c r="DB155" s="12">
        <f t="shared" si="266"/>
        <v>0</v>
      </c>
      <c r="DC155" s="12">
        <f t="shared" si="266"/>
        <v>0</v>
      </c>
      <c r="DD155" s="12">
        <f t="shared" si="266"/>
        <v>0</v>
      </c>
      <c r="DE155" s="12">
        <f t="shared" si="266"/>
        <v>0</v>
      </c>
      <c r="DF155" s="12">
        <f t="shared" si="266"/>
        <v>0</v>
      </c>
      <c r="DG155" s="12">
        <f t="shared" si="266"/>
        <v>0</v>
      </c>
      <c r="DH155" s="12">
        <f t="shared" si="266"/>
        <v>0</v>
      </c>
      <c r="DI155" s="12">
        <f t="shared" si="266"/>
        <v>0</v>
      </c>
      <c r="DJ155" s="12">
        <f t="shared" si="266"/>
        <v>0</v>
      </c>
      <c r="DK155" s="12">
        <f t="shared" si="266"/>
        <v>0</v>
      </c>
      <c r="DL155" s="12">
        <f t="shared" si="266"/>
        <v>0</v>
      </c>
      <c r="DM155" s="12">
        <f t="shared" si="266"/>
        <v>0</v>
      </c>
      <c r="DN155" s="12">
        <f t="shared" si="266"/>
        <v>0</v>
      </c>
      <c r="DO155" s="12">
        <f t="shared" si="266"/>
        <v>0</v>
      </c>
      <c r="DP155" s="12">
        <f t="shared" si="266"/>
        <v>0</v>
      </c>
      <c r="DQ155" s="12">
        <f t="shared" si="266"/>
        <v>0</v>
      </c>
      <c r="DR155" s="12">
        <f t="shared" si="266"/>
        <v>0</v>
      </c>
      <c r="DS155" s="12">
        <f t="shared" si="266"/>
        <v>0</v>
      </c>
      <c r="DT155" s="12">
        <f t="shared" si="266"/>
        <v>0</v>
      </c>
      <c r="DU155" s="12">
        <f t="shared" si="266"/>
        <v>0</v>
      </c>
      <c r="DV155" s="12">
        <f t="shared" si="266"/>
        <v>0</v>
      </c>
      <c r="DW155" s="12">
        <f t="shared" si="266"/>
        <v>0</v>
      </c>
      <c r="DX155" s="12">
        <f t="shared" si="266"/>
        <v>0</v>
      </c>
      <c r="DY155" s="12">
        <f t="shared" si="266"/>
        <v>0</v>
      </c>
      <c r="DZ155" s="12">
        <f t="shared" si="266"/>
        <v>0</v>
      </c>
      <c r="EA155" s="12">
        <f t="shared" si="266"/>
        <v>0</v>
      </c>
      <c r="EB155" s="12">
        <f t="shared" si="266"/>
        <v>0</v>
      </c>
      <c r="EC155" s="12">
        <f t="shared" si="266"/>
        <v>0</v>
      </c>
      <c r="ED155" s="12">
        <f t="shared" si="266"/>
        <v>0</v>
      </c>
      <c r="EE155" s="12">
        <f t="shared" si="266"/>
        <v>0</v>
      </c>
      <c r="EF155" s="12">
        <f t="shared" si="266"/>
        <v>0</v>
      </c>
      <c r="EG155" s="12">
        <f t="shared" ref="EG155:FH155" si="267">-EG151*$E$58*$E$29</f>
        <v>0</v>
      </c>
      <c r="EH155" s="12">
        <f t="shared" si="267"/>
        <v>0</v>
      </c>
      <c r="EI155" s="12">
        <f t="shared" si="267"/>
        <v>0</v>
      </c>
      <c r="EJ155" s="12">
        <f t="shared" si="267"/>
        <v>0</v>
      </c>
      <c r="EK155" s="12">
        <f t="shared" si="267"/>
        <v>0</v>
      </c>
      <c r="EL155" s="12">
        <f t="shared" si="267"/>
        <v>0</v>
      </c>
      <c r="EM155" s="12">
        <f t="shared" si="267"/>
        <v>0</v>
      </c>
      <c r="EN155" s="12">
        <f t="shared" si="267"/>
        <v>0</v>
      </c>
      <c r="EO155" s="12">
        <f t="shared" si="267"/>
        <v>0</v>
      </c>
      <c r="EP155" s="12">
        <f t="shared" si="267"/>
        <v>0</v>
      </c>
      <c r="EQ155" s="12">
        <f t="shared" si="267"/>
        <v>0</v>
      </c>
      <c r="ER155" s="12">
        <f t="shared" si="267"/>
        <v>0</v>
      </c>
      <c r="ES155" s="12">
        <f t="shared" si="267"/>
        <v>0</v>
      </c>
      <c r="ET155" s="12">
        <f t="shared" si="267"/>
        <v>0</v>
      </c>
      <c r="EU155" s="12">
        <f t="shared" si="267"/>
        <v>0</v>
      </c>
      <c r="EV155" s="12">
        <f t="shared" si="267"/>
        <v>0</v>
      </c>
      <c r="EW155" s="12">
        <f t="shared" si="267"/>
        <v>0</v>
      </c>
      <c r="EX155" s="12">
        <f t="shared" si="267"/>
        <v>0</v>
      </c>
      <c r="EY155" s="12">
        <f t="shared" si="267"/>
        <v>0</v>
      </c>
      <c r="EZ155" s="12">
        <f t="shared" si="267"/>
        <v>0</v>
      </c>
      <c r="FA155" s="12">
        <f t="shared" si="267"/>
        <v>0</v>
      </c>
      <c r="FB155" s="12">
        <f t="shared" si="267"/>
        <v>0</v>
      </c>
      <c r="FC155" s="12">
        <f t="shared" si="267"/>
        <v>0</v>
      </c>
      <c r="FD155" s="12">
        <f t="shared" si="267"/>
        <v>0</v>
      </c>
      <c r="FE155" s="12">
        <f t="shared" si="267"/>
        <v>0</v>
      </c>
      <c r="FF155" s="12">
        <f t="shared" si="267"/>
        <v>0</v>
      </c>
      <c r="FG155" s="12">
        <f t="shared" si="267"/>
        <v>0</v>
      </c>
      <c r="FH155" s="12">
        <f t="shared" si="267"/>
        <v>0</v>
      </c>
    </row>
    <row r="156" spans="1:164" x14ac:dyDescent="0.2">
      <c r="A156" s="10"/>
      <c r="B156" s="10"/>
      <c r="C156" s="10" t="s">
        <v>913</v>
      </c>
      <c r="D156" s="10"/>
      <c r="E156" s="10"/>
      <c r="F156" s="10"/>
      <c r="G156" s="10"/>
      <c r="H156" s="12">
        <f t="shared" si="242"/>
        <v>0</v>
      </c>
      <c r="I156" s="12">
        <f t="shared" ref="I156:AN156" si="268">-IF(AND(I150&gt;=1,I150&lt;=$E$31),$E$59*$E$23/$E$31,0)</f>
        <v>0</v>
      </c>
      <c r="J156" s="12">
        <f t="shared" si="268"/>
        <v>0</v>
      </c>
      <c r="K156" s="12">
        <f t="shared" si="268"/>
        <v>0</v>
      </c>
      <c r="L156" s="12">
        <f t="shared" si="268"/>
        <v>0</v>
      </c>
      <c r="M156" s="12">
        <f t="shared" si="268"/>
        <v>0</v>
      </c>
      <c r="N156" s="12">
        <f t="shared" si="268"/>
        <v>0</v>
      </c>
      <c r="O156" s="12">
        <f t="shared" si="268"/>
        <v>0</v>
      </c>
      <c r="P156" s="12">
        <f t="shared" si="268"/>
        <v>0</v>
      </c>
      <c r="Q156" s="12">
        <f t="shared" si="268"/>
        <v>0</v>
      </c>
      <c r="R156" s="12">
        <f t="shared" si="268"/>
        <v>0</v>
      </c>
      <c r="S156" s="12">
        <f t="shared" si="268"/>
        <v>0</v>
      </c>
      <c r="T156" s="12">
        <f t="shared" si="268"/>
        <v>0</v>
      </c>
      <c r="U156" s="12">
        <f t="shared" si="268"/>
        <v>0</v>
      </c>
      <c r="V156" s="12">
        <f t="shared" si="268"/>
        <v>0</v>
      </c>
      <c r="W156" s="12">
        <f t="shared" si="268"/>
        <v>0</v>
      </c>
      <c r="X156" s="12">
        <f t="shared" si="268"/>
        <v>0</v>
      </c>
      <c r="Y156" s="12">
        <f t="shared" si="268"/>
        <v>0</v>
      </c>
      <c r="Z156" s="12">
        <f t="shared" si="268"/>
        <v>0</v>
      </c>
      <c r="AA156" s="12">
        <f t="shared" si="268"/>
        <v>0</v>
      </c>
      <c r="AB156" s="12">
        <f t="shared" si="268"/>
        <v>0</v>
      </c>
      <c r="AC156" s="12">
        <f t="shared" si="268"/>
        <v>0</v>
      </c>
      <c r="AD156" s="12">
        <f t="shared" si="268"/>
        <v>0</v>
      </c>
      <c r="AE156" s="12">
        <f t="shared" si="268"/>
        <v>0</v>
      </c>
      <c r="AF156" s="12">
        <f t="shared" si="268"/>
        <v>0</v>
      </c>
      <c r="AG156" s="12">
        <f t="shared" si="268"/>
        <v>0</v>
      </c>
      <c r="AH156" s="12">
        <f t="shared" si="268"/>
        <v>0</v>
      </c>
      <c r="AI156" s="12">
        <f t="shared" si="268"/>
        <v>0</v>
      </c>
      <c r="AJ156" s="12">
        <f t="shared" si="268"/>
        <v>0</v>
      </c>
      <c r="AK156" s="12">
        <f t="shared" si="268"/>
        <v>0</v>
      </c>
      <c r="AL156" s="12">
        <f t="shared" si="268"/>
        <v>0</v>
      </c>
      <c r="AM156" s="12">
        <f t="shared" si="268"/>
        <v>0</v>
      </c>
      <c r="AN156" s="12">
        <f t="shared" si="268"/>
        <v>0</v>
      </c>
      <c r="AO156" s="12">
        <f t="shared" ref="AO156:BT156" si="269">-IF(AND(AO150&gt;=1,AO150&lt;=$E$31),$E$59*$E$23/$E$31,0)</f>
        <v>0</v>
      </c>
      <c r="AP156" s="12">
        <f t="shared" si="269"/>
        <v>0</v>
      </c>
      <c r="AQ156" s="12">
        <f t="shared" si="269"/>
        <v>0</v>
      </c>
      <c r="AR156" s="12">
        <f t="shared" si="269"/>
        <v>0</v>
      </c>
      <c r="AS156" s="12">
        <f t="shared" si="269"/>
        <v>0</v>
      </c>
      <c r="AT156" s="12">
        <f t="shared" si="269"/>
        <v>0</v>
      </c>
      <c r="AU156" s="12">
        <f t="shared" si="269"/>
        <v>0</v>
      </c>
      <c r="AV156" s="12">
        <f t="shared" si="269"/>
        <v>0</v>
      </c>
      <c r="AW156" s="12">
        <f t="shared" si="269"/>
        <v>0</v>
      </c>
      <c r="AX156" s="12">
        <f t="shared" si="269"/>
        <v>0</v>
      </c>
      <c r="AY156" s="12">
        <f t="shared" si="269"/>
        <v>0</v>
      </c>
      <c r="AZ156" s="12">
        <f t="shared" si="269"/>
        <v>0</v>
      </c>
      <c r="BA156" s="12">
        <f t="shared" si="269"/>
        <v>0</v>
      </c>
      <c r="BB156" s="12">
        <f t="shared" si="269"/>
        <v>0</v>
      </c>
      <c r="BC156" s="12">
        <f t="shared" si="269"/>
        <v>0</v>
      </c>
      <c r="BD156" s="12">
        <f t="shared" si="269"/>
        <v>0</v>
      </c>
      <c r="BE156" s="12">
        <f t="shared" si="269"/>
        <v>0</v>
      </c>
      <c r="BF156" s="12">
        <f t="shared" si="269"/>
        <v>0</v>
      </c>
      <c r="BG156" s="12">
        <f t="shared" si="269"/>
        <v>0</v>
      </c>
      <c r="BH156" s="12">
        <f t="shared" si="269"/>
        <v>0</v>
      </c>
      <c r="BI156" s="12">
        <f t="shared" si="269"/>
        <v>0</v>
      </c>
      <c r="BJ156" s="12">
        <f t="shared" si="269"/>
        <v>0</v>
      </c>
      <c r="BK156" s="12">
        <f t="shared" si="269"/>
        <v>0</v>
      </c>
      <c r="BL156" s="12">
        <f t="shared" si="269"/>
        <v>0</v>
      </c>
      <c r="BM156" s="12">
        <f t="shared" si="269"/>
        <v>0</v>
      </c>
      <c r="BN156" s="12">
        <f t="shared" si="269"/>
        <v>0</v>
      </c>
      <c r="BO156" s="12">
        <f t="shared" si="269"/>
        <v>0</v>
      </c>
      <c r="BP156" s="12">
        <f t="shared" si="269"/>
        <v>0</v>
      </c>
      <c r="BQ156" s="12">
        <f t="shared" si="269"/>
        <v>0</v>
      </c>
      <c r="BR156" s="12">
        <f t="shared" si="269"/>
        <v>0</v>
      </c>
      <c r="BS156" s="12">
        <f t="shared" si="269"/>
        <v>0</v>
      </c>
      <c r="BT156" s="12">
        <f t="shared" si="269"/>
        <v>0</v>
      </c>
      <c r="BU156" s="12">
        <f t="shared" ref="BU156:CZ156" si="270">-IF(AND(BU150&gt;=1,BU150&lt;=$E$31),$E$59*$E$23/$E$31,0)</f>
        <v>0</v>
      </c>
      <c r="BV156" s="12">
        <f t="shared" si="270"/>
        <v>0</v>
      </c>
      <c r="BW156" s="12">
        <f t="shared" si="270"/>
        <v>0</v>
      </c>
      <c r="BX156" s="12">
        <f t="shared" si="270"/>
        <v>0</v>
      </c>
      <c r="BY156" s="12">
        <f t="shared" si="270"/>
        <v>0</v>
      </c>
      <c r="BZ156" s="12">
        <f t="shared" si="270"/>
        <v>0</v>
      </c>
      <c r="CA156" s="12">
        <f t="shared" si="270"/>
        <v>0</v>
      </c>
      <c r="CB156" s="12">
        <f t="shared" si="270"/>
        <v>0</v>
      </c>
      <c r="CC156" s="12">
        <f t="shared" si="270"/>
        <v>0</v>
      </c>
      <c r="CD156" s="12">
        <f t="shared" si="270"/>
        <v>0</v>
      </c>
      <c r="CE156" s="12">
        <f t="shared" si="270"/>
        <v>0</v>
      </c>
      <c r="CF156" s="12">
        <f t="shared" si="270"/>
        <v>0</v>
      </c>
      <c r="CG156" s="12">
        <f t="shared" si="270"/>
        <v>0</v>
      </c>
      <c r="CH156" s="12">
        <f t="shared" si="270"/>
        <v>0</v>
      </c>
      <c r="CI156" s="12">
        <f t="shared" si="270"/>
        <v>0</v>
      </c>
      <c r="CJ156" s="12">
        <f t="shared" si="270"/>
        <v>0</v>
      </c>
      <c r="CK156" s="12">
        <f t="shared" si="270"/>
        <v>0</v>
      </c>
      <c r="CL156" s="12">
        <f t="shared" si="270"/>
        <v>0</v>
      </c>
      <c r="CM156" s="12">
        <f t="shared" si="270"/>
        <v>0</v>
      </c>
      <c r="CN156" s="12">
        <f t="shared" si="270"/>
        <v>0</v>
      </c>
      <c r="CO156" s="12">
        <f t="shared" si="270"/>
        <v>0</v>
      </c>
      <c r="CP156" s="12">
        <f t="shared" si="270"/>
        <v>0</v>
      </c>
      <c r="CQ156" s="12">
        <f t="shared" si="270"/>
        <v>0</v>
      </c>
      <c r="CR156" s="12">
        <f t="shared" si="270"/>
        <v>0</v>
      </c>
      <c r="CS156" s="12">
        <f t="shared" si="270"/>
        <v>0</v>
      </c>
      <c r="CT156" s="12">
        <f t="shared" si="270"/>
        <v>0</v>
      </c>
      <c r="CU156" s="12">
        <f t="shared" si="270"/>
        <v>0</v>
      </c>
      <c r="CV156" s="12">
        <f t="shared" si="270"/>
        <v>0</v>
      </c>
      <c r="CW156" s="12">
        <f t="shared" si="270"/>
        <v>0</v>
      </c>
      <c r="CX156" s="12">
        <f t="shared" si="270"/>
        <v>0</v>
      </c>
      <c r="CY156" s="12">
        <f t="shared" si="270"/>
        <v>0</v>
      </c>
      <c r="CZ156" s="12">
        <f t="shared" si="270"/>
        <v>0</v>
      </c>
      <c r="DA156" s="12">
        <f t="shared" ref="DA156:EF156" si="271">-IF(AND(DA150&gt;=1,DA150&lt;=$E$31),$E$59*$E$23/$E$31,0)</f>
        <v>0</v>
      </c>
      <c r="DB156" s="12">
        <f t="shared" si="271"/>
        <v>0</v>
      </c>
      <c r="DC156" s="12">
        <f t="shared" si="271"/>
        <v>0</v>
      </c>
      <c r="DD156" s="12">
        <f t="shared" si="271"/>
        <v>0</v>
      </c>
      <c r="DE156" s="12">
        <f t="shared" si="271"/>
        <v>0</v>
      </c>
      <c r="DF156" s="12">
        <f t="shared" si="271"/>
        <v>0</v>
      </c>
      <c r="DG156" s="12">
        <f t="shared" si="271"/>
        <v>0</v>
      </c>
      <c r="DH156" s="12">
        <f t="shared" si="271"/>
        <v>0</v>
      </c>
      <c r="DI156" s="12">
        <f t="shared" si="271"/>
        <v>0</v>
      </c>
      <c r="DJ156" s="12">
        <f t="shared" si="271"/>
        <v>0</v>
      </c>
      <c r="DK156" s="12">
        <f t="shared" si="271"/>
        <v>0</v>
      </c>
      <c r="DL156" s="12">
        <f t="shared" si="271"/>
        <v>0</v>
      </c>
      <c r="DM156" s="12">
        <f t="shared" si="271"/>
        <v>0</v>
      </c>
      <c r="DN156" s="12">
        <f t="shared" si="271"/>
        <v>0</v>
      </c>
      <c r="DO156" s="12">
        <f t="shared" si="271"/>
        <v>0</v>
      </c>
      <c r="DP156" s="12">
        <f t="shared" si="271"/>
        <v>0</v>
      </c>
      <c r="DQ156" s="12">
        <f t="shared" si="271"/>
        <v>0</v>
      </c>
      <c r="DR156" s="12">
        <f t="shared" si="271"/>
        <v>0</v>
      </c>
      <c r="DS156" s="12">
        <f t="shared" si="271"/>
        <v>0</v>
      </c>
      <c r="DT156" s="12">
        <f t="shared" si="271"/>
        <v>0</v>
      </c>
      <c r="DU156" s="12">
        <f t="shared" si="271"/>
        <v>0</v>
      </c>
      <c r="DV156" s="12">
        <f t="shared" si="271"/>
        <v>0</v>
      </c>
      <c r="DW156" s="12">
        <f t="shared" si="271"/>
        <v>0</v>
      </c>
      <c r="DX156" s="12">
        <f t="shared" si="271"/>
        <v>0</v>
      </c>
      <c r="DY156" s="12">
        <f t="shared" si="271"/>
        <v>0</v>
      </c>
      <c r="DZ156" s="12">
        <f t="shared" si="271"/>
        <v>0</v>
      </c>
      <c r="EA156" s="12">
        <f t="shared" si="271"/>
        <v>0</v>
      </c>
      <c r="EB156" s="12">
        <f t="shared" si="271"/>
        <v>0</v>
      </c>
      <c r="EC156" s="12">
        <f t="shared" si="271"/>
        <v>0</v>
      </c>
      <c r="ED156" s="12">
        <f t="shared" si="271"/>
        <v>0</v>
      </c>
      <c r="EE156" s="12">
        <f t="shared" si="271"/>
        <v>0</v>
      </c>
      <c r="EF156" s="12">
        <f t="shared" si="271"/>
        <v>0</v>
      </c>
      <c r="EG156" s="12">
        <f t="shared" ref="EG156:FH156" si="272">-IF(AND(EG150&gt;=1,EG150&lt;=$E$31),$E$59*$E$23/$E$31,0)</f>
        <v>0</v>
      </c>
      <c r="EH156" s="12">
        <f t="shared" si="272"/>
        <v>0</v>
      </c>
      <c r="EI156" s="12">
        <f t="shared" si="272"/>
        <v>0</v>
      </c>
      <c r="EJ156" s="12">
        <f t="shared" si="272"/>
        <v>0</v>
      </c>
      <c r="EK156" s="12">
        <f t="shared" si="272"/>
        <v>0</v>
      </c>
      <c r="EL156" s="12">
        <f t="shared" si="272"/>
        <v>0</v>
      </c>
      <c r="EM156" s="12">
        <f t="shared" si="272"/>
        <v>0</v>
      </c>
      <c r="EN156" s="12">
        <f t="shared" si="272"/>
        <v>0</v>
      </c>
      <c r="EO156" s="12">
        <f t="shared" si="272"/>
        <v>0</v>
      </c>
      <c r="EP156" s="12">
        <f t="shared" si="272"/>
        <v>0</v>
      </c>
      <c r="EQ156" s="12">
        <f t="shared" si="272"/>
        <v>0</v>
      </c>
      <c r="ER156" s="12">
        <f t="shared" si="272"/>
        <v>0</v>
      </c>
      <c r="ES156" s="12">
        <f t="shared" si="272"/>
        <v>0</v>
      </c>
      <c r="ET156" s="12">
        <f t="shared" si="272"/>
        <v>0</v>
      </c>
      <c r="EU156" s="12">
        <f t="shared" si="272"/>
        <v>0</v>
      </c>
      <c r="EV156" s="12">
        <f t="shared" si="272"/>
        <v>0</v>
      </c>
      <c r="EW156" s="12">
        <f t="shared" si="272"/>
        <v>0</v>
      </c>
      <c r="EX156" s="12">
        <f t="shared" si="272"/>
        <v>0</v>
      </c>
      <c r="EY156" s="12">
        <f t="shared" si="272"/>
        <v>0</v>
      </c>
      <c r="EZ156" s="12">
        <f t="shared" si="272"/>
        <v>0</v>
      </c>
      <c r="FA156" s="12">
        <f t="shared" si="272"/>
        <v>0</v>
      </c>
      <c r="FB156" s="12">
        <f t="shared" si="272"/>
        <v>0</v>
      </c>
      <c r="FC156" s="12">
        <f t="shared" si="272"/>
        <v>0</v>
      </c>
      <c r="FD156" s="12">
        <f t="shared" si="272"/>
        <v>0</v>
      </c>
      <c r="FE156" s="12">
        <f t="shared" si="272"/>
        <v>0</v>
      </c>
      <c r="FF156" s="12">
        <f t="shared" si="272"/>
        <v>0</v>
      </c>
      <c r="FG156" s="12">
        <f t="shared" si="272"/>
        <v>0</v>
      </c>
      <c r="FH156" s="12">
        <f t="shared" si="272"/>
        <v>0</v>
      </c>
    </row>
    <row r="157" spans="1:164" x14ac:dyDescent="0.2">
      <c r="A157" s="10"/>
      <c r="B157" s="10"/>
      <c r="C157" s="10" t="s">
        <v>914</v>
      </c>
      <c r="D157" s="10"/>
      <c r="E157" s="10"/>
      <c r="F157" s="10"/>
      <c r="G157" s="10"/>
      <c r="H157" s="12">
        <f t="shared" si="242"/>
        <v>-6369.1600000000008</v>
      </c>
      <c r="I157" s="12">
        <f t="shared" ref="I157:AN157" si="273">-IF(AND(I$6&gt;=EDATE($E$32,-3),I$6&lt;EDATE($E$32,15)),$E$60*$E$23/18,0)</f>
        <v>0</v>
      </c>
      <c r="J157" s="12">
        <f t="shared" si="273"/>
        <v>0</v>
      </c>
      <c r="K157" s="12">
        <f t="shared" si="273"/>
        <v>0</v>
      </c>
      <c r="L157" s="12">
        <f t="shared" si="273"/>
        <v>0</v>
      </c>
      <c r="M157" s="12">
        <f t="shared" si="273"/>
        <v>0</v>
      </c>
      <c r="N157" s="12">
        <f t="shared" si="273"/>
        <v>0</v>
      </c>
      <c r="O157" s="12">
        <f t="shared" si="273"/>
        <v>0</v>
      </c>
      <c r="P157" s="12">
        <f t="shared" si="273"/>
        <v>0</v>
      </c>
      <c r="Q157" s="12">
        <f t="shared" si="273"/>
        <v>0</v>
      </c>
      <c r="R157" s="12">
        <f t="shared" si="273"/>
        <v>0</v>
      </c>
      <c r="S157" s="12">
        <f t="shared" si="273"/>
        <v>0</v>
      </c>
      <c r="T157" s="12">
        <f t="shared" si="273"/>
        <v>0</v>
      </c>
      <c r="U157" s="12">
        <f t="shared" si="273"/>
        <v>0</v>
      </c>
      <c r="V157" s="12">
        <f t="shared" si="273"/>
        <v>0</v>
      </c>
      <c r="W157" s="12">
        <f t="shared" si="273"/>
        <v>0</v>
      </c>
      <c r="X157" s="12">
        <f t="shared" si="273"/>
        <v>0</v>
      </c>
      <c r="Y157" s="12">
        <f t="shared" si="273"/>
        <v>0</v>
      </c>
      <c r="Z157" s="12">
        <f t="shared" si="273"/>
        <v>0</v>
      </c>
      <c r="AA157" s="12">
        <f t="shared" si="273"/>
        <v>0</v>
      </c>
      <c r="AB157" s="12">
        <f t="shared" si="273"/>
        <v>0</v>
      </c>
      <c r="AC157" s="12">
        <f t="shared" si="273"/>
        <v>0</v>
      </c>
      <c r="AD157" s="12">
        <f t="shared" si="273"/>
        <v>0</v>
      </c>
      <c r="AE157" s="12">
        <f t="shared" si="273"/>
        <v>0</v>
      </c>
      <c r="AF157" s="12">
        <f t="shared" si="273"/>
        <v>0</v>
      </c>
      <c r="AG157" s="12">
        <f t="shared" si="273"/>
        <v>0</v>
      </c>
      <c r="AH157" s="12">
        <f t="shared" si="273"/>
        <v>0</v>
      </c>
      <c r="AI157" s="12">
        <f t="shared" si="273"/>
        <v>0</v>
      </c>
      <c r="AJ157" s="12">
        <f t="shared" si="273"/>
        <v>0</v>
      </c>
      <c r="AK157" s="12">
        <f t="shared" si="273"/>
        <v>0</v>
      </c>
      <c r="AL157" s="12">
        <f t="shared" si="273"/>
        <v>0</v>
      </c>
      <c r="AM157" s="12">
        <f t="shared" si="273"/>
        <v>0</v>
      </c>
      <c r="AN157" s="12">
        <f t="shared" si="273"/>
        <v>0</v>
      </c>
      <c r="AO157" s="12">
        <f t="shared" ref="AO157:BT157" si="274">-IF(AND(AO$6&gt;=EDATE($E$32,-3),AO$6&lt;EDATE($E$32,15)),$E$60*$E$23/18,0)</f>
        <v>0</v>
      </c>
      <c r="AP157" s="12">
        <f t="shared" si="274"/>
        <v>-353.84222222222218</v>
      </c>
      <c r="AQ157" s="12">
        <f t="shared" si="274"/>
        <v>-353.84222222222218</v>
      </c>
      <c r="AR157" s="12">
        <f t="shared" si="274"/>
        <v>-353.84222222222218</v>
      </c>
      <c r="AS157" s="12">
        <f t="shared" si="274"/>
        <v>-353.84222222222218</v>
      </c>
      <c r="AT157" s="12">
        <f t="shared" si="274"/>
        <v>-353.84222222222218</v>
      </c>
      <c r="AU157" s="12">
        <f t="shared" si="274"/>
        <v>-353.84222222222218</v>
      </c>
      <c r="AV157" s="12">
        <f t="shared" si="274"/>
        <v>-353.84222222222218</v>
      </c>
      <c r="AW157" s="12">
        <f t="shared" si="274"/>
        <v>-353.84222222222218</v>
      </c>
      <c r="AX157" s="12">
        <f t="shared" si="274"/>
        <v>-353.84222222222218</v>
      </c>
      <c r="AY157" s="12">
        <f t="shared" si="274"/>
        <v>-353.84222222222218</v>
      </c>
      <c r="AZ157" s="12">
        <f t="shared" si="274"/>
        <v>-353.84222222222218</v>
      </c>
      <c r="BA157" s="12">
        <f t="shared" si="274"/>
        <v>-353.84222222222218</v>
      </c>
      <c r="BB157" s="12">
        <f t="shared" si="274"/>
        <v>-353.84222222222218</v>
      </c>
      <c r="BC157" s="12">
        <f t="shared" si="274"/>
        <v>-353.84222222222218</v>
      </c>
      <c r="BD157" s="12">
        <f t="shared" si="274"/>
        <v>-353.84222222222218</v>
      </c>
      <c r="BE157" s="12">
        <f t="shared" si="274"/>
        <v>-353.84222222222218</v>
      </c>
      <c r="BF157" s="12">
        <f t="shared" si="274"/>
        <v>-353.84222222222218</v>
      </c>
      <c r="BG157" s="12">
        <f t="shared" si="274"/>
        <v>-353.84222222222218</v>
      </c>
      <c r="BH157" s="12">
        <f t="shared" si="274"/>
        <v>0</v>
      </c>
      <c r="BI157" s="12">
        <f t="shared" si="274"/>
        <v>0</v>
      </c>
      <c r="BJ157" s="12">
        <f t="shared" si="274"/>
        <v>0</v>
      </c>
      <c r="BK157" s="12">
        <f t="shared" si="274"/>
        <v>0</v>
      </c>
      <c r="BL157" s="12">
        <f t="shared" si="274"/>
        <v>0</v>
      </c>
      <c r="BM157" s="12">
        <f t="shared" si="274"/>
        <v>0</v>
      </c>
      <c r="BN157" s="12">
        <f t="shared" si="274"/>
        <v>0</v>
      </c>
      <c r="BO157" s="12">
        <f t="shared" si="274"/>
        <v>0</v>
      </c>
      <c r="BP157" s="12">
        <f t="shared" si="274"/>
        <v>0</v>
      </c>
      <c r="BQ157" s="12">
        <f t="shared" si="274"/>
        <v>0</v>
      </c>
      <c r="BR157" s="12">
        <f t="shared" si="274"/>
        <v>0</v>
      </c>
      <c r="BS157" s="12">
        <f t="shared" si="274"/>
        <v>0</v>
      </c>
      <c r="BT157" s="12">
        <f t="shared" si="274"/>
        <v>0</v>
      </c>
      <c r="BU157" s="12">
        <f t="shared" ref="BU157:CZ157" si="275">-IF(AND(BU$6&gt;=EDATE($E$32,-3),BU$6&lt;EDATE($E$32,15)),$E$60*$E$23/18,0)</f>
        <v>0</v>
      </c>
      <c r="BV157" s="12">
        <f t="shared" si="275"/>
        <v>0</v>
      </c>
      <c r="BW157" s="12">
        <f t="shared" si="275"/>
        <v>0</v>
      </c>
      <c r="BX157" s="12">
        <f t="shared" si="275"/>
        <v>0</v>
      </c>
      <c r="BY157" s="12">
        <f t="shared" si="275"/>
        <v>0</v>
      </c>
      <c r="BZ157" s="12">
        <f t="shared" si="275"/>
        <v>0</v>
      </c>
      <c r="CA157" s="12">
        <f t="shared" si="275"/>
        <v>0</v>
      </c>
      <c r="CB157" s="12">
        <f t="shared" si="275"/>
        <v>0</v>
      </c>
      <c r="CC157" s="12">
        <f t="shared" si="275"/>
        <v>0</v>
      </c>
      <c r="CD157" s="12">
        <f t="shared" si="275"/>
        <v>0</v>
      </c>
      <c r="CE157" s="12">
        <f t="shared" si="275"/>
        <v>0</v>
      </c>
      <c r="CF157" s="12">
        <f t="shared" si="275"/>
        <v>0</v>
      </c>
      <c r="CG157" s="12">
        <f t="shared" si="275"/>
        <v>0</v>
      </c>
      <c r="CH157" s="12">
        <f t="shared" si="275"/>
        <v>0</v>
      </c>
      <c r="CI157" s="12">
        <f t="shared" si="275"/>
        <v>0</v>
      </c>
      <c r="CJ157" s="12">
        <f t="shared" si="275"/>
        <v>0</v>
      </c>
      <c r="CK157" s="12">
        <f t="shared" si="275"/>
        <v>0</v>
      </c>
      <c r="CL157" s="12">
        <f t="shared" si="275"/>
        <v>0</v>
      </c>
      <c r="CM157" s="12">
        <f t="shared" si="275"/>
        <v>0</v>
      </c>
      <c r="CN157" s="12">
        <f t="shared" si="275"/>
        <v>0</v>
      </c>
      <c r="CO157" s="12">
        <f t="shared" si="275"/>
        <v>0</v>
      </c>
      <c r="CP157" s="12">
        <f t="shared" si="275"/>
        <v>0</v>
      </c>
      <c r="CQ157" s="12">
        <f t="shared" si="275"/>
        <v>0</v>
      </c>
      <c r="CR157" s="12">
        <f t="shared" si="275"/>
        <v>0</v>
      </c>
      <c r="CS157" s="12">
        <f t="shared" si="275"/>
        <v>0</v>
      </c>
      <c r="CT157" s="12">
        <f t="shared" si="275"/>
        <v>0</v>
      </c>
      <c r="CU157" s="12">
        <f t="shared" si="275"/>
        <v>0</v>
      </c>
      <c r="CV157" s="12">
        <f t="shared" si="275"/>
        <v>0</v>
      </c>
      <c r="CW157" s="12">
        <f t="shared" si="275"/>
        <v>0</v>
      </c>
      <c r="CX157" s="12">
        <f t="shared" si="275"/>
        <v>0</v>
      </c>
      <c r="CY157" s="12">
        <f t="shared" si="275"/>
        <v>0</v>
      </c>
      <c r="CZ157" s="12">
        <f t="shared" si="275"/>
        <v>0</v>
      </c>
      <c r="DA157" s="12">
        <f t="shared" ref="DA157:EF157" si="276">-IF(AND(DA$6&gt;=EDATE($E$32,-3),DA$6&lt;EDATE($E$32,15)),$E$60*$E$23/18,0)</f>
        <v>0</v>
      </c>
      <c r="DB157" s="12">
        <f t="shared" si="276"/>
        <v>0</v>
      </c>
      <c r="DC157" s="12">
        <f t="shared" si="276"/>
        <v>0</v>
      </c>
      <c r="DD157" s="12">
        <f t="shared" si="276"/>
        <v>0</v>
      </c>
      <c r="DE157" s="12">
        <f t="shared" si="276"/>
        <v>0</v>
      </c>
      <c r="DF157" s="12">
        <f t="shared" si="276"/>
        <v>0</v>
      </c>
      <c r="DG157" s="12">
        <f t="shared" si="276"/>
        <v>0</v>
      </c>
      <c r="DH157" s="12">
        <f t="shared" si="276"/>
        <v>0</v>
      </c>
      <c r="DI157" s="12">
        <f t="shared" si="276"/>
        <v>0</v>
      </c>
      <c r="DJ157" s="12">
        <f t="shared" si="276"/>
        <v>0</v>
      </c>
      <c r="DK157" s="12">
        <f t="shared" si="276"/>
        <v>0</v>
      </c>
      <c r="DL157" s="12">
        <f t="shared" si="276"/>
        <v>0</v>
      </c>
      <c r="DM157" s="12">
        <f t="shared" si="276"/>
        <v>0</v>
      </c>
      <c r="DN157" s="12">
        <f t="shared" si="276"/>
        <v>0</v>
      </c>
      <c r="DO157" s="12">
        <f t="shared" si="276"/>
        <v>0</v>
      </c>
      <c r="DP157" s="12">
        <f t="shared" si="276"/>
        <v>0</v>
      </c>
      <c r="DQ157" s="12">
        <f t="shared" si="276"/>
        <v>0</v>
      </c>
      <c r="DR157" s="12">
        <f t="shared" si="276"/>
        <v>0</v>
      </c>
      <c r="DS157" s="12">
        <f t="shared" si="276"/>
        <v>0</v>
      </c>
      <c r="DT157" s="12">
        <f t="shared" si="276"/>
        <v>0</v>
      </c>
      <c r="DU157" s="12">
        <f t="shared" si="276"/>
        <v>0</v>
      </c>
      <c r="DV157" s="12">
        <f t="shared" si="276"/>
        <v>0</v>
      </c>
      <c r="DW157" s="12">
        <f t="shared" si="276"/>
        <v>0</v>
      </c>
      <c r="DX157" s="12">
        <f t="shared" si="276"/>
        <v>0</v>
      </c>
      <c r="DY157" s="12">
        <f t="shared" si="276"/>
        <v>0</v>
      </c>
      <c r="DZ157" s="12">
        <f t="shared" si="276"/>
        <v>0</v>
      </c>
      <c r="EA157" s="12">
        <f t="shared" si="276"/>
        <v>0</v>
      </c>
      <c r="EB157" s="12">
        <f t="shared" si="276"/>
        <v>0</v>
      </c>
      <c r="EC157" s="12">
        <f t="shared" si="276"/>
        <v>0</v>
      </c>
      <c r="ED157" s="12">
        <f t="shared" si="276"/>
        <v>0</v>
      </c>
      <c r="EE157" s="12">
        <f t="shared" si="276"/>
        <v>0</v>
      </c>
      <c r="EF157" s="12">
        <f t="shared" si="276"/>
        <v>0</v>
      </c>
      <c r="EG157" s="12">
        <f t="shared" ref="EG157:FH157" si="277">-IF(AND(EG$6&gt;=EDATE($E$32,-3),EG$6&lt;EDATE($E$32,15)),$E$60*$E$23/18,0)</f>
        <v>0</v>
      </c>
      <c r="EH157" s="12">
        <f t="shared" si="277"/>
        <v>0</v>
      </c>
      <c r="EI157" s="12">
        <f t="shared" si="277"/>
        <v>0</v>
      </c>
      <c r="EJ157" s="12">
        <f t="shared" si="277"/>
        <v>0</v>
      </c>
      <c r="EK157" s="12">
        <f t="shared" si="277"/>
        <v>0</v>
      </c>
      <c r="EL157" s="12">
        <f t="shared" si="277"/>
        <v>0</v>
      </c>
      <c r="EM157" s="12">
        <f t="shared" si="277"/>
        <v>0</v>
      </c>
      <c r="EN157" s="12">
        <f t="shared" si="277"/>
        <v>0</v>
      </c>
      <c r="EO157" s="12">
        <f t="shared" si="277"/>
        <v>0</v>
      </c>
      <c r="EP157" s="12">
        <f t="shared" si="277"/>
        <v>0</v>
      </c>
      <c r="EQ157" s="12">
        <f t="shared" si="277"/>
        <v>0</v>
      </c>
      <c r="ER157" s="12">
        <f t="shared" si="277"/>
        <v>0</v>
      </c>
      <c r="ES157" s="12">
        <f t="shared" si="277"/>
        <v>0</v>
      </c>
      <c r="ET157" s="12">
        <f t="shared" si="277"/>
        <v>0</v>
      </c>
      <c r="EU157" s="12">
        <f t="shared" si="277"/>
        <v>0</v>
      </c>
      <c r="EV157" s="12">
        <f t="shared" si="277"/>
        <v>0</v>
      </c>
      <c r="EW157" s="12">
        <f t="shared" si="277"/>
        <v>0</v>
      </c>
      <c r="EX157" s="12">
        <f t="shared" si="277"/>
        <v>0</v>
      </c>
      <c r="EY157" s="12">
        <f t="shared" si="277"/>
        <v>0</v>
      </c>
      <c r="EZ157" s="12">
        <f t="shared" si="277"/>
        <v>0</v>
      </c>
      <c r="FA157" s="12">
        <f t="shared" si="277"/>
        <v>0</v>
      </c>
      <c r="FB157" s="12">
        <f t="shared" si="277"/>
        <v>0</v>
      </c>
      <c r="FC157" s="12">
        <f t="shared" si="277"/>
        <v>0</v>
      </c>
      <c r="FD157" s="12">
        <f t="shared" si="277"/>
        <v>0</v>
      </c>
      <c r="FE157" s="12">
        <f t="shared" si="277"/>
        <v>0</v>
      </c>
      <c r="FF157" s="12">
        <f t="shared" si="277"/>
        <v>0</v>
      </c>
      <c r="FG157" s="12">
        <f t="shared" si="277"/>
        <v>0</v>
      </c>
      <c r="FH157" s="12">
        <f t="shared" si="277"/>
        <v>0</v>
      </c>
    </row>
    <row r="158" spans="1:164" x14ac:dyDescent="0.2">
      <c r="A158" s="10"/>
      <c r="B158" s="10"/>
      <c r="C158" s="10" t="s">
        <v>955</v>
      </c>
      <c r="D158" s="10"/>
      <c r="E158" s="10"/>
      <c r="F158" s="10"/>
      <c r="G158" s="10"/>
      <c r="H158" s="12">
        <f t="shared" si="242"/>
        <v>0</v>
      </c>
      <c r="I158" s="12">
        <f t="shared" ref="I158:AN158" si="278">-IF(AND(I$6&gt;=$E$32,I$6&lt;EDATE($E$32,$E$70)),$E$71/$E$70,0)</f>
        <v>0</v>
      </c>
      <c r="J158" s="12">
        <f t="shared" si="278"/>
        <v>0</v>
      </c>
      <c r="K158" s="12">
        <f t="shared" si="278"/>
        <v>0</v>
      </c>
      <c r="L158" s="12">
        <f t="shared" si="278"/>
        <v>0</v>
      </c>
      <c r="M158" s="12">
        <f t="shared" si="278"/>
        <v>0</v>
      </c>
      <c r="N158" s="12">
        <f t="shared" si="278"/>
        <v>0</v>
      </c>
      <c r="O158" s="12">
        <f t="shared" si="278"/>
        <v>0</v>
      </c>
      <c r="P158" s="12">
        <f t="shared" si="278"/>
        <v>0</v>
      </c>
      <c r="Q158" s="12">
        <f t="shared" si="278"/>
        <v>0</v>
      </c>
      <c r="R158" s="12">
        <f t="shared" si="278"/>
        <v>0</v>
      </c>
      <c r="S158" s="12">
        <f t="shared" si="278"/>
        <v>0</v>
      </c>
      <c r="T158" s="12">
        <f t="shared" si="278"/>
        <v>0</v>
      </c>
      <c r="U158" s="12">
        <f t="shared" si="278"/>
        <v>0</v>
      </c>
      <c r="V158" s="12">
        <f t="shared" si="278"/>
        <v>0</v>
      </c>
      <c r="W158" s="12">
        <f t="shared" si="278"/>
        <v>0</v>
      </c>
      <c r="X158" s="12">
        <f t="shared" si="278"/>
        <v>0</v>
      </c>
      <c r="Y158" s="12">
        <f t="shared" si="278"/>
        <v>0</v>
      </c>
      <c r="Z158" s="12">
        <f t="shared" si="278"/>
        <v>0</v>
      </c>
      <c r="AA158" s="12">
        <f t="shared" si="278"/>
        <v>0</v>
      </c>
      <c r="AB158" s="12">
        <f t="shared" si="278"/>
        <v>0</v>
      </c>
      <c r="AC158" s="12">
        <f t="shared" si="278"/>
        <v>0</v>
      </c>
      <c r="AD158" s="12">
        <f t="shared" si="278"/>
        <v>0</v>
      </c>
      <c r="AE158" s="12">
        <f t="shared" si="278"/>
        <v>0</v>
      </c>
      <c r="AF158" s="12">
        <f t="shared" si="278"/>
        <v>0</v>
      </c>
      <c r="AG158" s="12">
        <f t="shared" si="278"/>
        <v>0</v>
      </c>
      <c r="AH158" s="12">
        <f t="shared" si="278"/>
        <v>0</v>
      </c>
      <c r="AI158" s="12">
        <f t="shared" si="278"/>
        <v>0</v>
      </c>
      <c r="AJ158" s="12">
        <f t="shared" si="278"/>
        <v>0</v>
      </c>
      <c r="AK158" s="12">
        <f t="shared" si="278"/>
        <v>0</v>
      </c>
      <c r="AL158" s="12">
        <f t="shared" si="278"/>
        <v>0</v>
      </c>
      <c r="AM158" s="12">
        <f t="shared" si="278"/>
        <v>0</v>
      </c>
      <c r="AN158" s="12">
        <f t="shared" si="278"/>
        <v>0</v>
      </c>
      <c r="AO158" s="12">
        <f t="shared" ref="AO158:BT158" si="279">-IF(AND(AO$6&gt;=$E$32,AO$6&lt;EDATE($E$32,$E$70)),$E$71/$E$70,0)</f>
        <v>0</v>
      </c>
      <c r="AP158" s="12">
        <f t="shared" si="279"/>
        <v>0</v>
      </c>
      <c r="AQ158" s="12">
        <f t="shared" si="279"/>
        <v>0</v>
      </c>
      <c r="AR158" s="12">
        <f t="shared" si="279"/>
        <v>0</v>
      </c>
      <c r="AS158" s="12">
        <f t="shared" si="279"/>
        <v>0</v>
      </c>
      <c r="AT158" s="12">
        <f t="shared" si="279"/>
        <v>0</v>
      </c>
      <c r="AU158" s="12">
        <f t="shared" si="279"/>
        <v>0</v>
      </c>
      <c r="AV158" s="12">
        <f t="shared" si="279"/>
        <v>0</v>
      </c>
      <c r="AW158" s="12">
        <f t="shared" si="279"/>
        <v>0</v>
      </c>
      <c r="AX158" s="12">
        <f t="shared" si="279"/>
        <v>0</v>
      </c>
      <c r="AY158" s="12">
        <f t="shared" si="279"/>
        <v>0</v>
      </c>
      <c r="AZ158" s="12">
        <f t="shared" si="279"/>
        <v>0</v>
      </c>
      <c r="BA158" s="12">
        <f t="shared" si="279"/>
        <v>0</v>
      </c>
      <c r="BB158" s="12">
        <f t="shared" si="279"/>
        <v>0</v>
      </c>
      <c r="BC158" s="12">
        <f t="shared" si="279"/>
        <v>0</v>
      </c>
      <c r="BD158" s="12">
        <f t="shared" si="279"/>
        <v>0</v>
      </c>
      <c r="BE158" s="12">
        <f t="shared" si="279"/>
        <v>0</v>
      </c>
      <c r="BF158" s="12">
        <f t="shared" si="279"/>
        <v>0</v>
      </c>
      <c r="BG158" s="12">
        <f t="shared" si="279"/>
        <v>0</v>
      </c>
      <c r="BH158" s="12">
        <f t="shared" si="279"/>
        <v>0</v>
      </c>
      <c r="BI158" s="12">
        <f t="shared" si="279"/>
        <v>0</v>
      </c>
      <c r="BJ158" s="12">
        <f t="shared" si="279"/>
        <v>0</v>
      </c>
      <c r="BK158" s="12">
        <f t="shared" si="279"/>
        <v>0</v>
      </c>
      <c r="BL158" s="12">
        <f t="shared" si="279"/>
        <v>0</v>
      </c>
      <c r="BM158" s="12">
        <f t="shared" si="279"/>
        <v>0</v>
      </c>
      <c r="BN158" s="12">
        <f t="shared" si="279"/>
        <v>0</v>
      </c>
      <c r="BO158" s="12">
        <f t="shared" si="279"/>
        <v>0</v>
      </c>
      <c r="BP158" s="12">
        <f t="shared" si="279"/>
        <v>0</v>
      </c>
      <c r="BQ158" s="12">
        <f t="shared" si="279"/>
        <v>0</v>
      </c>
      <c r="BR158" s="12">
        <f t="shared" si="279"/>
        <v>0</v>
      </c>
      <c r="BS158" s="12">
        <f t="shared" si="279"/>
        <v>0</v>
      </c>
      <c r="BT158" s="12">
        <f t="shared" si="279"/>
        <v>0</v>
      </c>
      <c r="BU158" s="12">
        <f t="shared" ref="BU158:CZ158" si="280">-IF(AND(BU$6&gt;=$E$32,BU$6&lt;EDATE($E$32,$E$70)),$E$71/$E$70,0)</f>
        <v>0</v>
      </c>
      <c r="BV158" s="12">
        <f t="shared" si="280"/>
        <v>0</v>
      </c>
      <c r="BW158" s="12">
        <f t="shared" si="280"/>
        <v>0</v>
      </c>
      <c r="BX158" s="12">
        <f t="shared" si="280"/>
        <v>0</v>
      </c>
      <c r="BY158" s="12">
        <f t="shared" si="280"/>
        <v>0</v>
      </c>
      <c r="BZ158" s="12">
        <f t="shared" si="280"/>
        <v>0</v>
      </c>
      <c r="CA158" s="12">
        <f t="shared" si="280"/>
        <v>0</v>
      </c>
      <c r="CB158" s="12">
        <f t="shared" si="280"/>
        <v>0</v>
      </c>
      <c r="CC158" s="12">
        <f t="shared" si="280"/>
        <v>0</v>
      </c>
      <c r="CD158" s="12">
        <f t="shared" si="280"/>
        <v>0</v>
      </c>
      <c r="CE158" s="12">
        <f t="shared" si="280"/>
        <v>0</v>
      </c>
      <c r="CF158" s="12">
        <f t="shared" si="280"/>
        <v>0</v>
      </c>
      <c r="CG158" s="12">
        <f t="shared" si="280"/>
        <v>0</v>
      </c>
      <c r="CH158" s="12">
        <f t="shared" si="280"/>
        <v>0</v>
      </c>
      <c r="CI158" s="12">
        <f t="shared" si="280"/>
        <v>0</v>
      </c>
      <c r="CJ158" s="12">
        <f t="shared" si="280"/>
        <v>0</v>
      </c>
      <c r="CK158" s="12">
        <f t="shared" si="280"/>
        <v>0</v>
      </c>
      <c r="CL158" s="12">
        <f t="shared" si="280"/>
        <v>0</v>
      </c>
      <c r="CM158" s="12">
        <f t="shared" si="280"/>
        <v>0</v>
      </c>
      <c r="CN158" s="12">
        <f t="shared" si="280"/>
        <v>0</v>
      </c>
      <c r="CO158" s="12">
        <f t="shared" si="280"/>
        <v>0</v>
      </c>
      <c r="CP158" s="12">
        <f t="shared" si="280"/>
        <v>0</v>
      </c>
      <c r="CQ158" s="12">
        <f t="shared" si="280"/>
        <v>0</v>
      </c>
      <c r="CR158" s="12">
        <f t="shared" si="280"/>
        <v>0</v>
      </c>
      <c r="CS158" s="12">
        <f t="shared" si="280"/>
        <v>0</v>
      </c>
      <c r="CT158" s="12">
        <f t="shared" si="280"/>
        <v>0</v>
      </c>
      <c r="CU158" s="12">
        <f t="shared" si="280"/>
        <v>0</v>
      </c>
      <c r="CV158" s="12">
        <f t="shared" si="280"/>
        <v>0</v>
      </c>
      <c r="CW158" s="12">
        <f t="shared" si="280"/>
        <v>0</v>
      </c>
      <c r="CX158" s="12">
        <f t="shared" si="280"/>
        <v>0</v>
      </c>
      <c r="CY158" s="12">
        <f t="shared" si="280"/>
        <v>0</v>
      </c>
      <c r="CZ158" s="12">
        <f t="shared" si="280"/>
        <v>0</v>
      </c>
      <c r="DA158" s="12">
        <f t="shared" ref="DA158:EF158" si="281">-IF(AND(DA$6&gt;=$E$32,DA$6&lt;EDATE($E$32,$E$70)),$E$71/$E$70,0)</f>
        <v>0</v>
      </c>
      <c r="DB158" s="12">
        <f t="shared" si="281"/>
        <v>0</v>
      </c>
      <c r="DC158" s="12">
        <f t="shared" si="281"/>
        <v>0</v>
      </c>
      <c r="DD158" s="12">
        <f t="shared" si="281"/>
        <v>0</v>
      </c>
      <c r="DE158" s="12">
        <f t="shared" si="281"/>
        <v>0</v>
      </c>
      <c r="DF158" s="12">
        <f t="shared" si="281"/>
        <v>0</v>
      </c>
      <c r="DG158" s="12">
        <f t="shared" si="281"/>
        <v>0</v>
      </c>
      <c r="DH158" s="12">
        <f t="shared" si="281"/>
        <v>0</v>
      </c>
      <c r="DI158" s="12">
        <f t="shared" si="281"/>
        <v>0</v>
      </c>
      <c r="DJ158" s="12">
        <f t="shared" si="281"/>
        <v>0</v>
      </c>
      <c r="DK158" s="12">
        <f t="shared" si="281"/>
        <v>0</v>
      </c>
      <c r="DL158" s="12">
        <f t="shared" si="281"/>
        <v>0</v>
      </c>
      <c r="DM158" s="12">
        <f t="shared" si="281"/>
        <v>0</v>
      </c>
      <c r="DN158" s="12">
        <f t="shared" si="281"/>
        <v>0</v>
      </c>
      <c r="DO158" s="12">
        <f t="shared" si="281"/>
        <v>0</v>
      </c>
      <c r="DP158" s="12">
        <f t="shared" si="281"/>
        <v>0</v>
      </c>
      <c r="DQ158" s="12">
        <f t="shared" si="281"/>
        <v>0</v>
      </c>
      <c r="DR158" s="12">
        <f t="shared" si="281"/>
        <v>0</v>
      </c>
      <c r="DS158" s="12">
        <f t="shared" si="281"/>
        <v>0</v>
      </c>
      <c r="DT158" s="12">
        <f t="shared" si="281"/>
        <v>0</v>
      </c>
      <c r="DU158" s="12">
        <f t="shared" si="281"/>
        <v>0</v>
      </c>
      <c r="DV158" s="12">
        <f t="shared" si="281"/>
        <v>0</v>
      </c>
      <c r="DW158" s="12">
        <f t="shared" si="281"/>
        <v>0</v>
      </c>
      <c r="DX158" s="12">
        <f t="shared" si="281"/>
        <v>0</v>
      </c>
      <c r="DY158" s="12">
        <f t="shared" si="281"/>
        <v>0</v>
      </c>
      <c r="DZ158" s="12">
        <f t="shared" si="281"/>
        <v>0</v>
      </c>
      <c r="EA158" s="12">
        <f t="shared" si="281"/>
        <v>0</v>
      </c>
      <c r="EB158" s="12">
        <f t="shared" si="281"/>
        <v>0</v>
      </c>
      <c r="EC158" s="12">
        <f t="shared" si="281"/>
        <v>0</v>
      </c>
      <c r="ED158" s="12">
        <f t="shared" si="281"/>
        <v>0</v>
      </c>
      <c r="EE158" s="12">
        <f t="shared" si="281"/>
        <v>0</v>
      </c>
      <c r="EF158" s="12">
        <f t="shared" si="281"/>
        <v>0</v>
      </c>
      <c r="EG158" s="12">
        <f t="shared" ref="EG158:FH158" si="282">-IF(AND(EG$6&gt;=$E$32,EG$6&lt;EDATE($E$32,$E$70)),$E$71/$E$70,0)</f>
        <v>0</v>
      </c>
      <c r="EH158" s="12">
        <f t="shared" si="282"/>
        <v>0</v>
      </c>
      <c r="EI158" s="12">
        <f t="shared" si="282"/>
        <v>0</v>
      </c>
      <c r="EJ158" s="12">
        <f t="shared" si="282"/>
        <v>0</v>
      </c>
      <c r="EK158" s="12">
        <f t="shared" si="282"/>
        <v>0</v>
      </c>
      <c r="EL158" s="12">
        <f t="shared" si="282"/>
        <v>0</v>
      </c>
      <c r="EM158" s="12">
        <f t="shared" si="282"/>
        <v>0</v>
      </c>
      <c r="EN158" s="12">
        <f t="shared" si="282"/>
        <v>0</v>
      </c>
      <c r="EO158" s="12">
        <f t="shared" si="282"/>
        <v>0</v>
      </c>
      <c r="EP158" s="12">
        <f t="shared" si="282"/>
        <v>0</v>
      </c>
      <c r="EQ158" s="12">
        <f t="shared" si="282"/>
        <v>0</v>
      </c>
      <c r="ER158" s="12">
        <f t="shared" si="282"/>
        <v>0</v>
      </c>
      <c r="ES158" s="12">
        <f t="shared" si="282"/>
        <v>0</v>
      </c>
      <c r="ET158" s="12">
        <f t="shared" si="282"/>
        <v>0</v>
      </c>
      <c r="EU158" s="12">
        <f t="shared" si="282"/>
        <v>0</v>
      </c>
      <c r="EV158" s="12">
        <f t="shared" si="282"/>
        <v>0</v>
      </c>
      <c r="EW158" s="12">
        <f t="shared" si="282"/>
        <v>0</v>
      </c>
      <c r="EX158" s="12">
        <f t="shared" si="282"/>
        <v>0</v>
      </c>
      <c r="EY158" s="12">
        <f t="shared" si="282"/>
        <v>0</v>
      </c>
      <c r="EZ158" s="12">
        <f t="shared" si="282"/>
        <v>0</v>
      </c>
      <c r="FA158" s="12">
        <f t="shared" si="282"/>
        <v>0</v>
      </c>
      <c r="FB158" s="12">
        <f t="shared" si="282"/>
        <v>0</v>
      </c>
      <c r="FC158" s="12">
        <f t="shared" si="282"/>
        <v>0</v>
      </c>
      <c r="FD158" s="12">
        <f t="shared" si="282"/>
        <v>0</v>
      </c>
      <c r="FE158" s="12">
        <f t="shared" si="282"/>
        <v>0</v>
      </c>
      <c r="FF158" s="12">
        <f t="shared" si="282"/>
        <v>0</v>
      </c>
      <c r="FG158" s="12">
        <f t="shared" si="282"/>
        <v>0</v>
      </c>
      <c r="FH158" s="12">
        <f t="shared" si="282"/>
        <v>0</v>
      </c>
    </row>
    <row r="159" spans="1:164" x14ac:dyDescent="0.2">
      <c r="A159" s="10"/>
      <c r="B159" s="10"/>
      <c r="C159" s="238" t="s">
        <v>2</v>
      </c>
      <c r="D159" s="238"/>
      <c r="E159" s="238"/>
      <c r="F159" s="238"/>
      <c r="G159" s="238"/>
      <c r="H159" s="239">
        <f t="shared" si="242"/>
        <v>-176253.68799999999</v>
      </c>
      <c r="I159" s="239">
        <f t="shared" ref="I159:AN159" si="283">SUM(I152:I158)</f>
        <v>0</v>
      </c>
      <c r="J159" s="239">
        <f t="shared" si="283"/>
        <v>0</v>
      </c>
      <c r="K159" s="239">
        <f t="shared" si="283"/>
        <v>0</v>
      </c>
      <c r="L159" s="239">
        <f t="shared" si="283"/>
        <v>0</v>
      </c>
      <c r="M159" s="239">
        <f t="shared" si="283"/>
        <v>0</v>
      </c>
      <c r="N159" s="239">
        <f t="shared" si="283"/>
        <v>0</v>
      </c>
      <c r="O159" s="239">
        <f t="shared" si="283"/>
        <v>0</v>
      </c>
      <c r="P159" s="239">
        <f t="shared" si="283"/>
        <v>0</v>
      </c>
      <c r="Q159" s="239">
        <f t="shared" si="283"/>
        <v>0</v>
      </c>
      <c r="R159" s="239">
        <f t="shared" si="283"/>
        <v>0</v>
      </c>
      <c r="S159" s="239">
        <f t="shared" si="283"/>
        <v>0</v>
      </c>
      <c r="T159" s="239">
        <f t="shared" si="283"/>
        <v>0</v>
      </c>
      <c r="U159" s="239">
        <f t="shared" si="283"/>
        <v>0</v>
      </c>
      <c r="V159" s="239">
        <f t="shared" si="283"/>
        <v>0</v>
      </c>
      <c r="W159" s="239">
        <f t="shared" si="283"/>
        <v>0</v>
      </c>
      <c r="X159" s="239">
        <f t="shared" si="283"/>
        <v>0</v>
      </c>
      <c r="Y159" s="239">
        <f t="shared" si="283"/>
        <v>0</v>
      </c>
      <c r="Z159" s="239">
        <f t="shared" si="283"/>
        <v>0</v>
      </c>
      <c r="AA159" s="239">
        <f t="shared" si="283"/>
        <v>0</v>
      </c>
      <c r="AB159" s="239">
        <f t="shared" si="283"/>
        <v>0</v>
      </c>
      <c r="AC159" s="239">
        <f t="shared" si="283"/>
        <v>0</v>
      </c>
      <c r="AD159" s="239">
        <f t="shared" si="283"/>
        <v>0</v>
      </c>
      <c r="AE159" s="239">
        <f t="shared" si="283"/>
        <v>0</v>
      </c>
      <c r="AF159" s="239">
        <f t="shared" si="283"/>
        <v>0</v>
      </c>
      <c r="AG159" s="239">
        <f t="shared" si="283"/>
        <v>0</v>
      </c>
      <c r="AH159" s="239">
        <f t="shared" si="283"/>
        <v>0</v>
      </c>
      <c r="AI159" s="239">
        <f t="shared" si="283"/>
        <v>0</v>
      </c>
      <c r="AJ159" s="239">
        <f t="shared" si="283"/>
        <v>0</v>
      </c>
      <c r="AK159" s="239">
        <f t="shared" si="283"/>
        <v>0</v>
      </c>
      <c r="AL159" s="239">
        <f t="shared" si="283"/>
        <v>0</v>
      </c>
      <c r="AM159" s="239">
        <f t="shared" si="283"/>
        <v>-384.07599999999996</v>
      </c>
      <c r="AN159" s="239">
        <f t="shared" si="283"/>
        <v>-384.07599999999996</v>
      </c>
      <c r="AO159" s="239">
        <f t="shared" ref="AO159:BT159" si="284">SUM(AO152:AO158)</f>
        <v>-384.07599999999996</v>
      </c>
      <c r="AP159" s="239">
        <f t="shared" si="284"/>
        <v>-737.91822222222208</v>
      </c>
      <c r="AQ159" s="239">
        <f t="shared" si="284"/>
        <v>-737.91822222222208</v>
      </c>
      <c r="AR159" s="239">
        <f t="shared" si="284"/>
        <v>-737.91822222222208</v>
      </c>
      <c r="AS159" s="239">
        <f t="shared" si="284"/>
        <v>-737.91822222222208</v>
      </c>
      <c r="AT159" s="239">
        <f t="shared" si="284"/>
        <v>-737.91822222222208</v>
      </c>
      <c r="AU159" s="239">
        <f t="shared" si="284"/>
        <v>-737.91822222222208</v>
      </c>
      <c r="AV159" s="239">
        <f t="shared" si="284"/>
        <v>-737.91822222222208</v>
      </c>
      <c r="AW159" s="239">
        <f t="shared" si="284"/>
        <v>-737.91822222222208</v>
      </c>
      <c r="AX159" s="239">
        <f t="shared" si="284"/>
        <v>-737.91822222222208</v>
      </c>
      <c r="AY159" s="239">
        <f t="shared" si="284"/>
        <v>-708.05609153827015</v>
      </c>
      <c r="AZ159" s="239">
        <f t="shared" si="284"/>
        <v>-1328.7626098859587</v>
      </c>
      <c r="BA159" s="239">
        <f t="shared" si="284"/>
        <v>-1942.3741787739937</v>
      </c>
      <c r="BB159" s="239">
        <f t="shared" si="284"/>
        <v>-2544.220843654341</v>
      </c>
      <c r="BC159" s="239">
        <f t="shared" si="284"/>
        <v>-3129.7221880023103</v>
      </c>
      <c r="BD159" s="239">
        <f t="shared" si="284"/>
        <v>-3694.4221930520343</v>
      </c>
      <c r="BE159" s="239">
        <f t="shared" si="284"/>
        <v>-4234.0231507899016</v>
      </c>
      <c r="BF159" s="239">
        <f t="shared" si="284"/>
        <v>-4744.4183721075551</v>
      </c>
      <c r="BG159" s="239">
        <f t="shared" si="284"/>
        <v>-5221.7234411857144</v>
      </c>
      <c r="BH159" s="239">
        <f t="shared" si="284"/>
        <v>-5308.4635560217857</v>
      </c>
      <c r="BI159" s="239">
        <f t="shared" si="284"/>
        <v>-5708.9700634443143</v>
      </c>
      <c r="BJ159" s="239">
        <f t="shared" si="284"/>
        <v>-6066.352644877149</v>
      </c>
      <c r="BK159" s="239">
        <f t="shared" si="284"/>
        <v>-6377.8914030820861</v>
      </c>
      <c r="BL159" s="239">
        <f t="shared" si="284"/>
        <v>-6641.2153399969393</v>
      </c>
      <c r="BM159" s="239">
        <f t="shared" si="284"/>
        <v>-6854.3204014624462</v>
      </c>
      <c r="BN159" s="239">
        <f t="shared" si="284"/>
        <v>-7015.5847292844992</v>
      </c>
      <c r="BO159" s="239">
        <f t="shared" si="284"/>
        <v>-7123.7810045543119</v>
      </c>
      <c r="BP159" s="239">
        <f t="shared" si="284"/>
        <v>-7178.0857882863802</v>
      </c>
      <c r="BQ159" s="239">
        <f t="shared" si="284"/>
        <v>-7178.0857882863802</v>
      </c>
      <c r="BR159" s="239">
        <f t="shared" si="284"/>
        <v>-7123.7810045543119</v>
      </c>
      <c r="BS159" s="239">
        <f t="shared" si="284"/>
        <v>-7015.5847292845001</v>
      </c>
      <c r="BT159" s="239">
        <f t="shared" si="284"/>
        <v>-6854.3204014624462</v>
      </c>
      <c r="BU159" s="239">
        <f t="shared" ref="BU159:CZ159" si="285">SUM(BU152:BU158)</f>
        <v>-6641.2153399969393</v>
      </c>
      <c r="BV159" s="239">
        <f t="shared" si="285"/>
        <v>-6377.8914030820861</v>
      </c>
      <c r="BW159" s="239">
        <f t="shared" si="285"/>
        <v>-6066.3526448771499</v>
      </c>
      <c r="BX159" s="239">
        <f t="shared" si="285"/>
        <v>-5708.9700634443143</v>
      </c>
      <c r="BY159" s="239">
        <f t="shared" si="285"/>
        <v>-5308.4635560217857</v>
      </c>
      <c r="BZ159" s="239">
        <f t="shared" si="285"/>
        <v>-4867.8812189634928</v>
      </c>
      <c r="CA159" s="239">
        <f t="shared" si="285"/>
        <v>-4390.5761498853353</v>
      </c>
      <c r="CB159" s="239">
        <f t="shared" si="285"/>
        <v>-3880.1809285676809</v>
      </c>
      <c r="CC159" s="239">
        <f t="shared" si="285"/>
        <v>-3340.5799708298123</v>
      </c>
      <c r="CD159" s="239">
        <f t="shared" si="285"/>
        <v>-2775.8799657800887</v>
      </c>
      <c r="CE159" s="239">
        <f t="shared" si="285"/>
        <v>-2190.3786214321208</v>
      </c>
      <c r="CF159" s="239">
        <f t="shared" si="285"/>
        <v>-1588.5319565517736</v>
      </c>
      <c r="CG159" s="239">
        <f t="shared" si="285"/>
        <v>-974.92038766373651</v>
      </c>
      <c r="CH159" s="239">
        <f t="shared" si="285"/>
        <v>-354.21386931604843</v>
      </c>
      <c r="CI159" s="239">
        <f t="shared" si="285"/>
        <v>0</v>
      </c>
      <c r="CJ159" s="239">
        <f t="shared" si="285"/>
        <v>0</v>
      </c>
      <c r="CK159" s="239">
        <f t="shared" si="285"/>
        <v>0</v>
      </c>
      <c r="CL159" s="239">
        <f t="shared" si="285"/>
        <v>0</v>
      </c>
      <c r="CM159" s="239">
        <f t="shared" si="285"/>
        <v>0</v>
      </c>
      <c r="CN159" s="239">
        <f t="shared" si="285"/>
        <v>0</v>
      </c>
      <c r="CO159" s="239">
        <f t="shared" si="285"/>
        <v>0</v>
      </c>
      <c r="CP159" s="239">
        <f t="shared" si="285"/>
        <v>0</v>
      </c>
      <c r="CQ159" s="239">
        <f t="shared" si="285"/>
        <v>0</v>
      </c>
      <c r="CR159" s="239">
        <f t="shared" si="285"/>
        <v>0</v>
      </c>
      <c r="CS159" s="239">
        <f t="shared" si="285"/>
        <v>0</v>
      </c>
      <c r="CT159" s="239">
        <f t="shared" si="285"/>
        <v>0</v>
      </c>
      <c r="CU159" s="239">
        <f t="shared" si="285"/>
        <v>0</v>
      </c>
      <c r="CV159" s="239">
        <f t="shared" si="285"/>
        <v>0</v>
      </c>
      <c r="CW159" s="239">
        <f t="shared" si="285"/>
        <v>0</v>
      </c>
      <c r="CX159" s="239">
        <f t="shared" si="285"/>
        <v>0</v>
      </c>
      <c r="CY159" s="239">
        <f t="shared" si="285"/>
        <v>0</v>
      </c>
      <c r="CZ159" s="239">
        <f t="shared" si="285"/>
        <v>0</v>
      </c>
      <c r="DA159" s="239">
        <f t="shared" ref="DA159:EF159" si="286">SUM(DA152:DA158)</f>
        <v>0</v>
      </c>
      <c r="DB159" s="239">
        <f t="shared" si="286"/>
        <v>0</v>
      </c>
      <c r="DC159" s="239">
        <f t="shared" si="286"/>
        <v>0</v>
      </c>
      <c r="DD159" s="239">
        <f t="shared" si="286"/>
        <v>0</v>
      </c>
      <c r="DE159" s="239">
        <f t="shared" si="286"/>
        <v>0</v>
      </c>
      <c r="DF159" s="239">
        <f t="shared" si="286"/>
        <v>0</v>
      </c>
      <c r="DG159" s="239">
        <f t="shared" si="286"/>
        <v>0</v>
      </c>
      <c r="DH159" s="239">
        <f t="shared" si="286"/>
        <v>0</v>
      </c>
      <c r="DI159" s="239">
        <f t="shared" si="286"/>
        <v>0</v>
      </c>
      <c r="DJ159" s="239">
        <f t="shared" si="286"/>
        <v>0</v>
      </c>
      <c r="DK159" s="239">
        <f t="shared" si="286"/>
        <v>0</v>
      </c>
      <c r="DL159" s="239">
        <f t="shared" si="286"/>
        <v>0</v>
      </c>
      <c r="DM159" s="239">
        <f t="shared" si="286"/>
        <v>0</v>
      </c>
      <c r="DN159" s="239">
        <f t="shared" si="286"/>
        <v>0</v>
      </c>
      <c r="DO159" s="239">
        <f t="shared" si="286"/>
        <v>0</v>
      </c>
      <c r="DP159" s="239">
        <f t="shared" si="286"/>
        <v>0</v>
      </c>
      <c r="DQ159" s="239">
        <f t="shared" si="286"/>
        <v>0</v>
      </c>
      <c r="DR159" s="239">
        <f t="shared" si="286"/>
        <v>0</v>
      </c>
      <c r="DS159" s="239">
        <f t="shared" si="286"/>
        <v>0</v>
      </c>
      <c r="DT159" s="239">
        <f t="shared" si="286"/>
        <v>0</v>
      </c>
      <c r="DU159" s="239">
        <f t="shared" si="286"/>
        <v>0</v>
      </c>
      <c r="DV159" s="239">
        <f t="shared" si="286"/>
        <v>0</v>
      </c>
      <c r="DW159" s="239">
        <f t="shared" si="286"/>
        <v>0</v>
      </c>
      <c r="DX159" s="239">
        <f t="shared" si="286"/>
        <v>0</v>
      </c>
      <c r="DY159" s="239">
        <f t="shared" si="286"/>
        <v>0</v>
      </c>
      <c r="DZ159" s="239">
        <f t="shared" si="286"/>
        <v>0</v>
      </c>
      <c r="EA159" s="239">
        <f t="shared" si="286"/>
        <v>0</v>
      </c>
      <c r="EB159" s="239">
        <f t="shared" si="286"/>
        <v>0</v>
      </c>
      <c r="EC159" s="239">
        <f t="shared" si="286"/>
        <v>0</v>
      </c>
      <c r="ED159" s="239">
        <f t="shared" si="286"/>
        <v>0</v>
      </c>
      <c r="EE159" s="239">
        <f t="shared" si="286"/>
        <v>0</v>
      </c>
      <c r="EF159" s="239">
        <f t="shared" si="286"/>
        <v>0</v>
      </c>
      <c r="EG159" s="239">
        <f t="shared" ref="EG159:FH159" si="287">SUM(EG152:EG158)</f>
        <v>0</v>
      </c>
      <c r="EH159" s="239">
        <f t="shared" si="287"/>
        <v>0</v>
      </c>
      <c r="EI159" s="239">
        <f t="shared" si="287"/>
        <v>0</v>
      </c>
      <c r="EJ159" s="239">
        <f t="shared" si="287"/>
        <v>0</v>
      </c>
      <c r="EK159" s="239">
        <f t="shared" si="287"/>
        <v>0</v>
      </c>
      <c r="EL159" s="239">
        <f t="shared" si="287"/>
        <v>0</v>
      </c>
      <c r="EM159" s="239">
        <f t="shared" si="287"/>
        <v>0</v>
      </c>
      <c r="EN159" s="239">
        <f t="shared" si="287"/>
        <v>0</v>
      </c>
      <c r="EO159" s="239">
        <f t="shared" si="287"/>
        <v>0</v>
      </c>
      <c r="EP159" s="239">
        <f t="shared" si="287"/>
        <v>0</v>
      </c>
      <c r="EQ159" s="239">
        <f t="shared" si="287"/>
        <v>0</v>
      </c>
      <c r="ER159" s="239">
        <f t="shared" si="287"/>
        <v>0</v>
      </c>
      <c r="ES159" s="239">
        <f t="shared" si="287"/>
        <v>0</v>
      </c>
      <c r="ET159" s="239">
        <f t="shared" si="287"/>
        <v>0</v>
      </c>
      <c r="EU159" s="239">
        <f t="shared" si="287"/>
        <v>0</v>
      </c>
      <c r="EV159" s="239">
        <f t="shared" si="287"/>
        <v>0</v>
      </c>
      <c r="EW159" s="239">
        <f t="shared" si="287"/>
        <v>0</v>
      </c>
      <c r="EX159" s="239">
        <f t="shared" si="287"/>
        <v>0</v>
      </c>
      <c r="EY159" s="239">
        <f t="shared" si="287"/>
        <v>0</v>
      </c>
      <c r="EZ159" s="239">
        <f t="shared" si="287"/>
        <v>0</v>
      </c>
      <c r="FA159" s="239">
        <f t="shared" si="287"/>
        <v>0</v>
      </c>
      <c r="FB159" s="239">
        <f t="shared" si="287"/>
        <v>0</v>
      </c>
      <c r="FC159" s="239">
        <f t="shared" si="287"/>
        <v>0</v>
      </c>
      <c r="FD159" s="239">
        <f t="shared" si="287"/>
        <v>0</v>
      </c>
      <c r="FE159" s="239">
        <f t="shared" si="287"/>
        <v>0</v>
      </c>
      <c r="FF159" s="239">
        <f t="shared" si="287"/>
        <v>0</v>
      </c>
      <c r="FG159" s="239">
        <f t="shared" si="287"/>
        <v>0</v>
      </c>
      <c r="FH159" s="239">
        <f t="shared" si="287"/>
        <v>0</v>
      </c>
    </row>
    <row r="160" spans="1:164" x14ac:dyDescent="0.2">
      <c r="A160" s="10"/>
      <c r="B160" s="31" t="s">
        <v>915</v>
      </c>
      <c r="C160" s="31"/>
      <c r="D160" s="31"/>
      <c r="E160" s="31"/>
      <c r="F160" s="31"/>
      <c r="G160" s="31"/>
      <c r="H160" s="32">
        <f t="shared" si="242"/>
        <v>101441.68799999995</v>
      </c>
      <c r="I160" s="32">
        <f t="shared" ref="I160:AN160" si="288">I149+I159</f>
        <v>0</v>
      </c>
      <c r="J160" s="32">
        <f t="shared" si="288"/>
        <v>0</v>
      </c>
      <c r="K160" s="32">
        <f t="shared" si="288"/>
        <v>0</v>
      </c>
      <c r="L160" s="32">
        <f t="shared" si="288"/>
        <v>0</v>
      </c>
      <c r="M160" s="32">
        <f t="shared" si="288"/>
        <v>0</v>
      </c>
      <c r="N160" s="32">
        <f t="shared" si="288"/>
        <v>0</v>
      </c>
      <c r="O160" s="32">
        <f t="shared" si="288"/>
        <v>0</v>
      </c>
      <c r="P160" s="32">
        <f t="shared" si="288"/>
        <v>0</v>
      </c>
      <c r="Q160" s="32">
        <f t="shared" si="288"/>
        <v>0</v>
      </c>
      <c r="R160" s="32">
        <f t="shared" si="288"/>
        <v>0</v>
      </c>
      <c r="S160" s="32">
        <f t="shared" si="288"/>
        <v>0</v>
      </c>
      <c r="T160" s="32">
        <f t="shared" si="288"/>
        <v>0</v>
      </c>
      <c r="U160" s="32">
        <f t="shared" si="288"/>
        <v>0</v>
      </c>
      <c r="V160" s="32">
        <f t="shared" si="288"/>
        <v>0</v>
      </c>
      <c r="W160" s="32">
        <f t="shared" si="288"/>
        <v>0</v>
      </c>
      <c r="X160" s="32">
        <f t="shared" si="288"/>
        <v>0</v>
      </c>
      <c r="Y160" s="32">
        <f t="shared" si="288"/>
        <v>0</v>
      </c>
      <c r="Z160" s="32">
        <f t="shared" si="288"/>
        <v>0</v>
      </c>
      <c r="AA160" s="32">
        <f t="shared" si="288"/>
        <v>0</v>
      </c>
      <c r="AB160" s="32">
        <f t="shared" si="288"/>
        <v>0</v>
      </c>
      <c r="AC160" s="32">
        <f t="shared" si="288"/>
        <v>0</v>
      </c>
      <c r="AD160" s="32">
        <f t="shared" si="288"/>
        <v>0</v>
      </c>
      <c r="AE160" s="32">
        <f t="shared" si="288"/>
        <v>0</v>
      </c>
      <c r="AF160" s="32">
        <f t="shared" si="288"/>
        <v>0</v>
      </c>
      <c r="AG160" s="32">
        <f t="shared" si="288"/>
        <v>0</v>
      </c>
      <c r="AH160" s="32">
        <f t="shared" si="288"/>
        <v>0</v>
      </c>
      <c r="AI160" s="32">
        <f t="shared" si="288"/>
        <v>0</v>
      </c>
      <c r="AJ160" s="32">
        <f t="shared" si="288"/>
        <v>0</v>
      </c>
      <c r="AK160" s="32">
        <f t="shared" si="288"/>
        <v>0</v>
      </c>
      <c r="AL160" s="32">
        <f t="shared" si="288"/>
        <v>0</v>
      </c>
      <c r="AM160" s="32">
        <f t="shared" si="288"/>
        <v>-384.07599999999996</v>
      </c>
      <c r="AN160" s="32">
        <f t="shared" si="288"/>
        <v>-384.07599999999996</v>
      </c>
      <c r="AO160" s="32">
        <f t="shared" ref="AO160:BT160" si="289">AO149+AO159</f>
        <v>-384.07599999999996</v>
      </c>
      <c r="AP160" s="32">
        <f t="shared" si="289"/>
        <v>-737.91822222222208</v>
      </c>
      <c r="AQ160" s="32">
        <f t="shared" si="289"/>
        <v>-737.91822222222208</v>
      </c>
      <c r="AR160" s="32">
        <f t="shared" si="289"/>
        <v>-737.91822222222208</v>
      </c>
      <c r="AS160" s="32">
        <f t="shared" si="289"/>
        <v>67.325577777777653</v>
      </c>
      <c r="AT160" s="32">
        <f t="shared" si="289"/>
        <v>174.51388021680214</v>
      </c>
      <c r="AU160" s="32">
        <f t="shared" si="289"/>
        <v>284.38189021680228</v>
      </c>
      <c r="AV160" s="32">
        <f t="shared" si="289"/>
        <v>397.06702867834065</v>
      </c>
      <c r="AW160" s="32">
        <f t="shared" si="289"/>
        <v>512.71756552044553</v>
      </c>
      <c r="AX160" s="32">
        <f t="shared" si="289"/>
        <v>631.49379254747282</v>
      </c>
      <c r="AY160" s="32">
        <f t="shared" si="289"/>
        <v>234.97604545364698</v>
      </c>
      <c r="AZ160" s="32">
        <f t="shared" si="289"/>
        <v>-343.87599289404136</v>
      </c>
      <c r="BA160" s="32">
        <f t="shared" si="289"/>
        <v>-914.40206766442952</v>
      </c>
      <c r="BB160" s="32">
        <f t="shared" si="289"/>
        <v>-1471.8576173932615</v>
      </c>
      <c r="BC160" s="32">
        <f t="shared" si="289"/>
        <v>-2011.5806242412309</v>
      </c>
      <c r="BD160" s="32">
        <f t="shared" si="289"/>
        <v>-2529.0255712264388</v>
      </c>
      <c r="BE160" s="32">
        <f t="shared" si="289"/>
        <v>-3019.7963022976392</v>
      </c>
      <c r="BF160" s="32">
        <f t="shared" si="289"/>
        <v>-3479.6774960290859</v>
      </c>
      <c r="BG160" s="32">
        <f t="shared" si="289"/>
        <v>-3904.6644651072452</v>
      </c>
      <c r="BH160" s="32">
        <f t="shared" si="289"/>
        <v>-3937.1487725359093</v>
      </c>
      <c r="BI160" s="32">
        <f t="shared" si="289"/>
        <v>-4281.3127107276687</v>
      </c>
      <c r="BJ160" s="32">
        <f t="shared" si="289"/>
        <v>-4580.0990201605036</v>
      </c>
      <c r="BK160" s="32">
        <f t="shared" si="289"/>
        <v>-4830.5999950321075</v>
      </c>
      <c r="BL160" s="32">
        <f t="shared" si="289"/>
        <v>-5030.2323319469597</v>
      </c>
      <c r="BM160" s="32">
        <f t="shared" si="289"/>
        <v>-5176.7507206851951</v>
      </c>
      <c r="BN160" s="32">
        <f t="shared" si="289"/>
        <v>-5268.2575818405803</v>
      </c>
      <c r="BO160" s="32">
        <f t="shared" si="289"/>
        <v>-5303.2085171103936</v>
      </c>
      <c r="BP160" s="32">
        <f t="shared" si="289"/>
        <v>-5280.4129429477252</v>
      </c>
      <c r="BQ160" s="32">
        <f t="shared" si="289"/>
        <v>-5199.0292318366137</v>
      </c>
      <c r="BR160" s="32">
        <f t="shared" si="289"/>
        <v>-5058.553459869252</v>
      </c>
      <c r="BS160" s="32">
        <f t="shared" si="289"/>
        <v>-4858.8005095994395</v>
      </c>
      <c r="BT160" s="32">
        <f t="shared" si="289"/>
        <v>-4599.8757284440526</v>
      </c>
      <c r="BU160" s="32">
        <f t="shared" ref="BU160:CZ160" si="290">BU149+BU159</f>
        <v>-4282.1344669785449</v>
      </c>
      <c r="BV160" s="32">
        <f t="shared" si="290"/>
        <v>-3906.1253916021533</v>
      </c>
      <c r="BW160" s="32">
        <f t="shared" si="290"/>
        <v>-3472.5110667305507</v>
      </c>
      <c r="BX160" s="32">
        <f t="shared" si="290"/>
        <v>-2981.9551398431695</v>
      </c>
      <c r="BY160" s="32">
        <f t="shared" si="290"/>
        <v>-2434.9579524206415</v>
      </c>
      <c r="BZ160" s="32">
        <f t="shared" si="290"/>
        <v>-1831.6081931401259</v>
      </c>
      <c r="CA160" s="32">
        <f t="shared" si="290"/>
        <v>-1171.1897740619688</v>
      </c>
      <c r="CB160" s="32">
        <f t="shared" si="290"/>
        <v>-451.5221527443141</v>
      </c>
      <c r="CC160" s="32">
        <f t="shared" si="290"/>
        <v>332.22993832688735</v>
      </c>
      <c r="CD160" s="32">
        <f t="shared" si="290"/>
        <v>1189.9113033766116</v>
      </c>
      <c r="CE160" s="32">
        <f t="shared" si="290"/>
        <v>2141.6393477245801</v>
      </c>
      <c r="CF160" s="32">
        <f t="shared" si="290"/>
        <v>3231.7882792715936</v>
      </c>
      <c r="CG160" s="32">
        <f t="shared" si="290"/>
        <v>4577.8532481596303</v>
      </c>
      <c r="CH160" s="32">
        <f t="shared" si="290"/>
        <v>6663.466566507318</v>
      </c>
      <c r="CI160" s="32">
        <f t="shared" si="290"/>
        <v>26368.322400000005</v>
      </c>
      <c r="CJ160" s="32">
        <f t="shared" si="290"/>
        <v>1093.3724666666662</v>
      </c>
      <c r="CK160" s="32">
        <f t="shared" si="290"/>
        <v>1093.3724666666662</v>
      </c>
      <c r="CL160" s="32">
        <f t="shared" si="290"/>
        <v>1093.3724666666662</v>
      </c>
      <c r="CM160" s="32">
        <f t="shared" si="290"/>
        <v>1093.3724666666662</v>
      </c>
      <c r="CN160" s="32">
        <f t="shared" si="290"/>
        <v>1093.3724666666662</v>
      </c>
      <c r="CO160" s="32">
        <f t="shared" si="290"/>
        <v>1093.3724666666662</v>
      </c>
      <c r="CP160" s="32">
        <f t="shared" si="290"/>
        <v>1093.3724666666662</v>
      </c>
      <c r="CQ160" s="32">
        <f t="shared" si="290"/>
        <v>1093.3724666666662</v>
      </c>
      <c r="CR160" s="32">
        <f t="shared" si="290"/>
        <v>1093.3724666666662</v>
      </c>
      <c r="CS160" s="32">
        <f t="shared" si="290"/>
        <v>1093.3724666666662</v>
      </c>
      <c r="CT160" s="32">
        <f t="shared" si="290"/>
        <v>1093.3724666666662</v>
      </c>
      <c r="CU160" s="32">
        <f t="shared" si="290"/>
        <v>1093.3724666666662</v>
      </c>
      <c r="CV160" s="32">
        <f t="shared" si="290"/>
        <v>146490.67999999993</v>
      </c>
      <c r="CW160" s="32">
        <f t="shared" si="290"/>
        <v>0</v>
      </c>
      <c r="CX160" s="32">
        <f t="shared" si="290"/>
        <v>0</v>
      </c>
      <c r="CY160" s="32">
        <f t="shared" si="290"/>
        <v>0</v>
      </c>
      <c r="CZ160" s="32">
        <f t="shared" si="290"/>
        <v>0</v>
      </c>
      <c r="DA160" s="32">
        <f t="shared" ref="DA160:EF160" si="291">DA149+DA159</f>
        <v>0</v>
      </c>
      <c r="DB160" s="32">
        <f t="shared" si="291"/>
        <v>0</v>
      </c>
      <c r="DC160" s="32">
        <f t="shared" si="291"/>
        <v>0</v>
      </c>
      <c r="DD160" s="32">
        <f t="shared" si="291"/>
        <v>0</v>
      </c>
      <c r="DE160" s="32">
        <f t="shared" si="291"/>
        <v>0</v>
      </c>
      <c r="DF160" s="32">
        <f t="shared" si="291"/>
        <v>0</v>
      </c>
      <c r="DG160" s="32">
        <f t="shared" si="291"/>
        <v>0</v>
      </c>
      <c r="DH160" s="32">
        <f t="shared" si="291"/>
        <v>0</v>
      </c>
      <c r="DI160" s="32">
        <f t="shared" si="291"/>
        <v>0</v>
      </c>
      <c r="DJ160" s="32">
        <f t="shared" si="291"/>
        <v>0</v>
      </c>
      <c r="DK160" s="32">
        <f t="shared" si="291"/>
        <v>0</v>
      </c>
      <c r="DL160" s="32">
        <f t="shared" si="291"/>
        <v>0</v>
      </c>
      <c r="DM160" s="32">
        <f t="shared" si="291"/>
        <v>0</v>
      </c>
      <c r="DN160" s="32">
        <f t="shared" si="291"/>
        <v>0</v>
      </c>
      <c r="DO160" s="32">
        <f t="shared" si="291"/>
        <v>0</v>
      </c>
      <c r="DP160" s="32">
        <f t="shared" si="291"/>
        <v>0</v>
      </c>
      <c r="DQ160" s="32">
        <f t="shared" si="291"/>
        <v>0</v>
      </c>
      <c r="DR160" s="32">
        <f t="shared" si="291"/>
        <v>0</v>
      </c>
      <c r="DS160" s="32">
        <f t="shared" si="291"/>
        <v>0</v>
      </c>
      <c r="DT160" s="32">
        <f t="shared" si="291"/>
        <v>0</v>
      </c>
      <c r="DU160" s="32">
        <f t="shared" si="291"/>
        <v>0</v>
      </c>
      <c r="DV160" s="32">
        <f t="shared" si="291"/>
        <v>0</v>
      </c>
      <c r="DW160" s="32">
        <f t="shared" si="291"/>
        <v>0</v>
      </c>
      <c r="DX160" s="32">
        <f t="shared" si="291"/>
        <v>0</v>
      </c>
      <c r="DY160" s="32">
        <f t="shared" si="291"/>
        <v>0</v>
      </c>
      <c r="DZ160" s="32">
        <f t="shared" si="291"/>
        <v>0</v>
      </c>
      <c r="EA160" s="32">
        <f t="shared" si="291"/>
        <v>0</v>
      </c>
      <c r="EB160" s="32">
        <f t="shared" si="291"/>
        <v>0</v>
      </c>
      <c r="EC160" s="32">
        <f t="shared" si="291"/>
        <v>0</v>
      </c>
      <c r="ED160" s="32">
        <f t="shared" si="291"/>
        <v>0</v>
      </c>
      <c r="EE160" s="32">
        <f t="shared" si="291"/>
        <v>0</v>
      </c>
      <c r="EF160" s="32">
        <f t="shared" si="291"/>
        <v>0</v>
      </c>
      <c r="EG160" s="32">
        <f t="shared" ref="EG160:FH160" si="292">EG149+EG159</f>
        <v>0</v>
      </c>
      <c r="EH160" s="32">
        <f t="shared" si="292"/>
        <v>0</v>
      </c>
      <c r="EI160" s="32">
        <f t="shared" si="292"/>
        <v>0</v>
      </c>
      <c r="EJ160" s="32">
        <f t="shared" si="292"/>
        <v>0</v>
      </c>
      <c r="EK160" s="32">
        <f t="shared" si="292"/>
        <v>0</v>
      </c>
      <c r="EL160" s="32">
        <f t="shared" si="292"/>
        <v>0</v>
      </c>
      <c r="EM160" s="32">
        <f t="shared" si="292"/>
        <v>0</v>
      </c>
      <c r="EN160" s="32">
        <f t="shared" si="292"/>
        <v>0</v>
      </c>
      <c r="EO160" s="32">
        <f t="shared" si="292"/>
        <v>0</v>
      </c>
      <c r="EP160" s="32">
        <f t="shared" si="292"/>
        <v>0</v>
      </c>
      <c r="EQ160" s="32">
        <f t="shared" si="292"/>
        <v>0</v>
      </c>
      <c r="ER160" s="32">
        <f t="shared" si="292"/>
        <v>0</v>
      </c>
      <c r="ES160" s="32">
        <f t="shared" si="292"/>
        <v>0</v>
      </c>
      <c r="ET160" s="32">
        <f t="shared" si="292"/>
        <v>0</v>
      </c>
      <c r="EU160" s="32">
        <f t="shared" si="292"/>
        <v>0</v>
      </c>
      <c r="EV160" s="32">
        <f t="shared" si="292"/>
        <v>0</v>
      </c>
      <c r="EW160" s="32">
        <f t="shared" si="292"/>
        <v>0</v>
      </c>
      <c r="EX160" s="32">
        <f t="shared" si="292"/>
        <v>0</v>
      </c>
      <c r="EY160" s="32">
        <f t="shared" si="292"/>
        <v>0</v>
      </c>
      <c r="EZ160" s="32">
        <f t="shared" si="292"/>
        <v>0</v>
      </c>
      <c r="FA160" s="32">
        <f t="shared" si="292"/>
        <v>0</v>
      </c>
      <c r="FB160" s="32">
        <f t="shared" si="292"/>
        <v>0</v>
      </c>
      <c r="FC160" s="32">
        <f t="shared" si="292"/>
        <v>0</v>
      </c>
      <c r="FD160" s="32">
        <f t="shared" si="292"/>
        <v>0</v>
      </c>
      <c r="FE160" s="32">
        <f t="shared" si="292"/>
        <v>0</v>
      </c>
      <c r="FF160" s="32">
        <f t="shared" si="292"/>
        <v>0</v>
      </c>
      <c r="FG160" s="32">
        <f t="shared" si="292"/>
        <v>0</v>
      </c>
      <c r="FH160" s="32">
        <f t="shared" si="292"/>
        <v>0</v>
      </c>
    </row>
    <row r="161" spans="1:164" x14ac:dyDescent="0.2">
      <c r="A161" s="10"/>
      <c r="B161" s="10"/>
      <c r="C161" s="10" t="s">
        <v>916</v>
      </c>
      <c r="D161" s="10"/>
      <c r="E161" s="10"/>
      <c r="F161" s="10"/>
      <c r="G161" s="10"/>
      <c r="H161" s="12"/>
      <c r="I161" s="12">
        <f>I160</f>
        <v>0</v>
      </c>
      <c r="J161" s="12">
        <f t="shared" ref="J161:AO161" si="293">I161+J160</f>
        <v>0</v>
      </c>
      <c r="K161" s="12">
        <f t="shared" si="293"/>
        <v>0</v>
      </c>
      <c r="L161" s="12">
        <f t="shared" si="293"/>
        <v>0</v>
      </c>
      <c r="M161" s="12">
        <f t="shared" si="293"/>
        <v>0</v>
      </c>
      <c r="N161" s="12">
        <f t="shared" si="293"/>
        <v>0</v>
      </c>
      <c r="O161" s="12">
        <f t="shared" si="293"/>
        <v>0</v>
      </c>
      <c r="P161" s="12">
        <f t="shared" si="293"/>
        <v>0</v>
      </c>
      <c r="Q161" s="12">
        <f t="shared" si="293"/>
        <v>0</v>
      </c>
      <c r="R161" s="12">
        <f t="shared" si="293"/>
        <v>0</v>
      </c>
      <c r="S161" s="12">
        <f t="shared" si="293"/>
        <v>0</v>
      </c>
      <c r="T161" s="12">
        <f t="shared" si="293"/>
        <v>0</v>
      </c>
      <c r="U161" s="12">
        <f t="shared" si="293"/>
        <v>0</v>
      </c>
      <c r="V161" s="12">
        <f t="shared" si="293"/>
        <v>0</v>
      </c>
      <c r="W161" s="12">
        <f t="shared" si="293"/>
        <v>0</v>
      </c>
      <c r="X161" s="12">
        <f t="shared" si="293"/>
        <v>0</v>
      </c>
      <c r="Y161" s="12">
        <f t="shared" si="293"/>
        <v>0</v>
      </c>
      <c r="Z161" s="12">
        <f t="shared" si="293"/>
        <v>0</v>
      </c>
      <c r="AA161" s="12">
        <f t="shared" si="293"/>
        <v>0</v>
      </c>
      <c r="AB161" s="12">
        <f t="shared" si="293"/>
        <v>0</v>
      </c>
      <c r="AC161" s="12">
        <f t="shared" si="293"/>
        <v>0</v>
      </c>
      <c r="AD161" s="12">
        <f t="shared" si="293"/>
        <v>0</v>
      </c>
      <c r="AE161" s="12">
        <f t="shared" si="293"/>
        <v>0</v>
      </c>
      <c r="AF161" s="12">
        <f t="shared" si="293"/>
        <v>0</v>
      </c>
      <c r="AG161" s="12">
        <f t="shared" si="293"/>
        <v>0</v>
      </c>
      <c r="AH161" s="12">
        <f t="shared" si="293"/>
        <v>0</v>
      </c>
      <c r="AI161" s="12">
        <f t="shared" si="293"/>
        <v>0</v>
      </c>
      <c r="AJ161" s="12">
        <f t="shared" si="293"/>
        <v>0</v>
      </c>
      <c r="AK161" s="12">
        <f t="shared" si="293"/>
        <v>0</v>
      </c>
      <c r="AL161" s="12">
        <f t="shared" si="293"/>
        <v>0</v>
      </c>
      <c r="AM161" s="12">
        <f t="shared" si="293"/>
        <v>-384.07599999999996</v>
      </c>
      <c r="AN161" s="12">
        <f t="shared" si="293"/>
        <v>-768.15199999999993</v>
      </c>
      <c r="AO161" s="12">
        <f t="shared" si="293"/>
        <v>-1152.2279999999998</v>
      </c>
      <c r="AP161" s="12">
        <f t="shared" ref="AP161:BU161" si="294">AO161+AP160</f>
        <v>-1890.1462222222219</v>
      </c>
      <c r="AQ161" s="12">
        <f t="shared" si="294"/>
        <v>-2628.0644444444442</v>
      </c>
      <c r="AR161" s="12">
        <f t="shared" si="294"/>
        <v>-3365.9826666666663</v>
      </c>
      <c r="AS161" s="12">
        <f t="shared" si="294"/>
        <v>-3298.6570888888887</v>
      </c>
      <c r="AT161" s="12">
        <f t="shared" si="294"/>
        <v>-3124.1432086720865</v>
      </c>
      <c r="AU161" s="12">
        <f t="shared" si="294"/>
        <v>-2839.7613184552843</v>
      </c>
      <c r="AV161" s="12">
        <f t="shared" si="294"/>
        <v>-2442.6942897769436</v>
      </c>
      <c r="AW161" s="12">
        <f t="shared" si="294"/>
        <v>-1929.9767242564981</v>
      </c>
      <c r="AX161" s="12">
        <f t="shared" si="294"/>
        <v>-1298.4829317090253</v>
      </c>
      <c r="AY161" s="12">
        <f t="shared" si="294"/>
        <v>-1063.5068862553783</v>
      </c>
      <c r="AZ161" s="12">
        <f t="shared" si="294"/>
        <v>-1407.3828791494198</v>
      </c>
      <c r="BA161" s="12">
        <f t="shared" si="294"/>
        <v>-2321.7849468138493</v>
      </c>
      <c r="BB161" s="12">
        <f t="shared" si="294"/>
        <v>-3793.6425642071108</v>
      </c>
      <c r="BC161" s="12">
        <f t="shared" si="294"/>
        <v>-5805.2231884483417</v>
      </c>
      <c r="BD161" s="12">
        <f t="shared" si="294"/>
        <v>-8334.2487596747815</v>
      </c>
      <c r="BE161" s="12">
        <f t="shared" si="294"/>
        <v>-11354.045061972422</v>
      </c>
      <c r="BF161" s="12">
        <f t="shared" si="294"/>
        <v>-14833.722558001507</v>
      </c>
      <c r="BG161" s="12">
        <f t="shared" si="294"/>
        <v>-18738.387023108753</v>
      </c>
      <c r="BH161" s="12">
        <f t="shared" si="294"/>
        <v>-22675.535795644661</v>
      </c>
      <c r="BI161" s="12">
        <f t="shared" si="294"/>
        <v>-26956.848506372327</v>
      </c>
      <c r="BJ161" s="12">
        <f t="shared" si="294"/>
        <v>-31536.947526532829</v>
      </c>
      <c r="BK161" s="12">
        <f t="shared" si="294"/>
        <v>-36367.547521564935</v>
      </c>
      <c r="BL161" s="12">
        <f t="shared" si="294"/>
        <v>-41397.779853511893</v>
      </c>
      <c r="BM161" s="12">
        <f t="shared" si="294"/>
        <v>-46574.530574197088</v>
      </c>
      <c r="BN161" s="12">
        <f t="shared" si="294"/>
        <v>-51842.78815603767</v>
      </c>
      <c r="BO161" s="12">
        <f t="shared" si="294"/>
        <v>-57145.996673148067</v>
      </c>
      <c r="BP161" s="12">
        <f t="shared" si="294"/>
        <v>-62426.409616095792</v>
      </c>
      <c r="BQ161" s="12">
        <f t="shared" si="294"/>
        <v>-67625.438847932412</v>
      </c>
      <c r="BR161" s="12">
        <f t="shared" si="294"/>
        <v>-72683.992307801658</v>
      </c>
      <c r="BS161" s="12">
        <f t="shared" si="294"/>
        <v>-77542.792817401103</v>
      </c>
      <c r="BT161" s="12">
        <f t="shared" si="294"/>
        <v>-82142.668545845154</v>
      </c>
      <c r="BU161" s="12">
        <f t="shared" si="294"/>
        <v>-86424.803012823701</v>
      </c>
      <c r="BV161" s="12">
        <f t="shared" ref="BV161:DA161" si="295">BU161+BV160</f>
        <v>-90330.928404425853</v>
      </c>
      <c r="BW161" s="12">
        <f t="shared" si="295"/>
        <v>-93803.439471156409</v>
      </c>
      <c r="BX161" s="12">
        <f t="shared" si="295"/>
        <v>-96785.394610999574</v>
      </c>
      <c r="BY161" s="12">
        <f t="shared" si="295"/>
        <v>-99220.352563420209</v>
      </c>
      <c r="BZ161" s="12">
        <f t="shared" si="295"/>
        <v>-101051.96075656034</v>
      </c>
      <c r="CA161" s="12">
        <f t="shared" si="295"/>
        <v>-102223.15053062231</v>
      </c>
      <c r="CB161" s="12">
        <f t="shared" si="295"/>
        <v>-102674.67268336663</v>
      </c>
      <c r="CC161" s="12">
        <f t="shared" si="295"/>
        <v>-102342.44274503975</v>
      </c>
      <c r="CD161" s="12">
        <f t="shared" si="295"/>
        <v>-101152.53144166313</v>
      </c>
      <c r="CE161" s="12">
        <f t="shared" si="295"/>
        <v>-99010.892093938543</v>
      </c>
      <c r="CF161" s="12">
        <f t="shared" si="295"/>
        <v>-95779.103814666945</v>
      </c>
      <c r="CG161" s="12">
        <f t="shared" si="295"/>
        <v>-91201.250566507311</v>
      </c>
      <c r="CH161" s="12">
        <f t="shared" si="295"/>
        <v>-84537.784</v>
      </c>
      <c r="CI161" s="12">
        <f t="shared" si="295"/>
        <v>-58169.461599999995</v>
      </c>
      <c r="CJ161" s="12">
        <f t="shared" si="295"/>
        <v>-57076.089133333327</v>
      </c>
      <c r="CK161" s="12">
        <f t="shared" si="295"/>
        <v>-55982.71666666666</v>
      </c>
      <c r="CL161" s="12">
        <f t="shared" si="295"/>
        <v>-54889.344199999992</v>
      </c>
      <c r="CM161" s="12">
        <f t="shared" si="295"/>
        <v>-53795.971733333325</v>
      </c>
      <c r="CN161" s="12">
        <f t="shared" si="295"/>
        <v>-52702.599266666657</v>
      </c>
      <c r="CO161" s="12">
        <f t="shared" si="295"/>
        <v>-51609.226799999989</v>
      </c>
      <c r="CP161" s="12">
        <f t="shared" si="295"/>
        <v>-50515.854333333322</v>
      </c>
      <c r="CQ161" s="12">
        <f t="shared" si="295"/>
        <v>-49422.481866666654</v>
      </c>
      <c r="CR161" s="12">
        <f t="shared" si="295"/>
        <v>-48329.109399999987</v>
      </c>
      <c r="CS161" s="12">
        <f t="shared" si="295"/>
        <v>-47235.736933333319</v>
      </c>
      <c r="CT161" s="12">
        <f t="shared" si="295"/>
        <v>-46142.364466666651</v>
      </c>
      <c r="CU161" s="12">
        <f t="shared" si="295"/>
        <v>-45048.991999999984</v>
      </c>
      <c r="CV161" s="12">
        <f t="shared" si="295"/>
        <v>101441.68799999995</v>
      </c>
      <c r="CW161" s="12">
        <f t="shared" si="295"/>
        <v>101441.68799999995</v>
      </c>
      <c r="CX161" s="12">
        <f t="shared" si="295"/>
        <v>101441.68799999995</v>
      </c>
      <c r="CY161" s="12">
        <f t="shared" si="295"/>
        <v>101441.68799999995</v>
      </c>
      <c r="CZ161" s="12">
        <f t="shared" si="295"/>
        <v>101441.68799999995</v>
      </c>
      <c r="DA161" s="12">
        <f t="shared" si="295"/>
        <v>101441.68799999995</v>
      </c>
      <c r="DB161" s="12">
        <f t="shared" ref="DB161:EG161" si="296">DA161+DB160</f>
        <v>101441.68799999995</v>
      </c>
      <c r="DC161" s="12">
        <f t="shared" si="296"/>
        <v>101441.68799999995</v>
      </c>
      <c r="DD161" s="12">
        <f t="shared" si="296"/>
        <v>101441.68799999995</v>
      </c>
      <c r="DE161" s="12">
        <f t="shared" si="296"/>
        <v>101441.68799999995</v>
      </c>
      <c r="DF161" s="12">
        <f t="shared" si="296"/>
        <v>101441.68799999995</v>
      </c>
      <c r="DG161" s="12">
        <f t="shared" si="296"/>
        <v>101441.68799999995</v>
      </c>
      <c r="DH161" s="12">
        <f t="shared" si="296"/>
        <v>101441.68799999995</v>
      </c>
      <c r="DI161" s="12">
        <f t="shared" si="296"/>
        <v>101441.68799999995</v>
      </c>
      <c r="DJ161" s="12">
        <f t="shared" si="296"/>
        <v>101441.68799999995</v>
      </c>
      <c r="DK161" s="12">
        <f t="shared" si="296"/>
        <v>101441.68799999995</v>
      </c>
      <c r="DL161" s="12">
        <f t="shared" si="296"/>
        <v>101441.68799999995</v>
      </c>
      <c r="DM161" s="12">
        <f t="shared" si="296"/>
        <v>101441.68799999995</v>
      </c>
      <c r="DN161" s="12">
        <f t="shared" si="296"/>
        <v>101441.68799999995</v>
      </c>
      <c r="DO161" s="12">
        <f t="shared" si="296"/>
        <v>101441.68799999995</v>
      </c>
      <c r="DP161" s="12">
        <f t="shared" si="296"/>
        <v>101441.68799999995</v>
      </c>
      <c r="DQ161" s="12">
        <f t="shared" si="296"/>
        <v>101441.68799999995</v>
      </c>
      <c r="DR161" s="12">
        <f t="shared" si="296"/>
        <v>101441.68799999995</v>
      </c>
      <c r="DS161" s="12">
        <f t="shared" si="296"/>
        <v>101441.68799999995</v>
      </c>
      <c r="DT161" s="12">
        <f t="shared" si="296"/>
        <v>101441.68799999995</v>
      </c>
      <c r="DU161" s="12">
        <f t="shared" si="296"/>
        <v>101441.68799999995</v>
      </c>
      <c r="DV161" s="12">
        <f t="shared" si="296"/>
        <v>101441.68799999995</v>
      </c>
      <c r="DW161" s="12">
        <f t="shared" si="296"/>
        <v>101441.68799999995</v>
      </c>
      <c r="DX161" s="12">
        <f t="shared" si="296"/>
        <v>101441.68799999995</v>
      </c>
      <c r="DY161" s="12">
        <f t="shared" si="296"/>
        <v>101441.68799999995</v>
      </c>
      <c r="DZ161" s="12">
        <f t="shared" si="296"/>
        <v>101441.68799999995</v>
      </c>
      <c r="EA161" s="12">
        <f t="shared" si="296"/>
        <v>101441.68799999995</v>
      </c>
      <c r="EB161" s="12">
        <f t="shared" si="296"/>
        <v>101441.68799999995</v>
      </c>
      <c r="EC161" s="12">
        <f t="shared" si="296"/>
        <v>101441.68799999995</v>
      </c>
      <c r="ED161" s="12">
        <f t="shared" si="296"/>
        <v>101441.68799999995</v>
      </c>
      <c r="EE161" s="12">
        <f t="shared" si="296"/>
        <v>101441.68799999995</v>
      </c>
      <c r="EF161" s="12">
        <f t="shared" si="296"/>
        <v>101441.68799999995</v>
      </c>
      <c r="EG161" s="12">
        <f t="shared" si="296"/>
        <v>101441.68799999995</v>
      </c>
      <c r="EH161" s="12">
        <f t="shared" ref="EH161:FH161" si="297">EG161+EH160</f>
        <v>101441.68799999995</v>
      </c>
      <c r="EI161" s="12">
        <f t="shared" si="297"/>
        <v>101441.68799999995</v>
      </c>
      <c r="EJ161" s="12">
        <f t="shared" si="297"/>
        <v>101441.68799999995</v>
      </c>
      <c r="EK161" s="12">
        <f t="shared" si="297"/>
        <v>101441.68799999995</v>
      </c>
      <c r="EL161" s="12">
        <f t="shared" si="297"/>
        <v>101441.68799999995</v>
      </c>
      <c r="EM161" s="12">
        <f t="shared" si="297"/>
        <v>101441.68799999995</v>
      </c>
      <c r="EN161" s="12">
        <f t="shared" si="297"/>
        <v>101441.68799999995</v>
      </c>
      <c r="EO161" s="12">
        <f t="shared" si="297"/>
        <v>101441.68799999995</v>
      </c>
      <c r="EP161" s="12">
        <f t="shared" si="297"/>
        <v>101441.68799999995</v>
      </c>
      <c r="EQ161" s="12">
        <f t="shared" si="297"/>
        <v>101441.68799999995</v>
      </c>
      <c r="ER161" s="12">
        <f t="shared" si="297"/>
        <v>101441.68799999995</v>
      </c>
      <c r="ES161" s="12">
        <f t="shared" si="297"/>
        <v>101441.68799999995</v>
      </c>
      <c r="ET161" s="12">
        <f t="shared" si="297"/>
        <v>101441.68799999995</v>
      </c>
      <c r="EU161" s="12">
        <f t="shared" si="297"/>
        <v>101441.68799999995</v>
      </c>
      <c r="EV161" s="12">
        <f t="shared" si="297"/>
        <v>101441.68799999995</v>
      </c>
      <c r="EW161" s="12">
        <f t="shared" si="297"/>
        <v>101441.68799999995</v>
      </c>
      <c r="EX161" s="12">
        <f t="shared" si="297"/>
        <v>101441.68799999995</v>
      </c>
      <c r="EY161" s="12">
        <f t="shared" si="297"/>
        <v>101441.68799999995</v>
      </c>
      <c r="EZ161" s="12">
        <f t="shared" si="297"/>
        <v>101441.68799999995</v>
      </c>
      <c r="FA161" s="12">
        <f t="shared" si="297"/>
        <v>101441.68799999995</v>
      </c>
      <c r="FB161" s="12">
        <f t="shared" si="297"/>
        <v>101441.68799999995</v>
      </c>
      <c r="FC161" s="12">
        <f t="shared" si="297"/>
        <v>101441.68799999995</v>
      </c>
      <c r="FD161" s="12">
        <f t="shared" si="297"/>
        <v>101441.68799999995</v>
      </c>
      <c r="FE161" s="12">
        <f t="shared" si="297"/>
        <v>101441.68799999995</v>
      </c>
      <c r="FF161" s="12">
        <f t="shared" si="297"/>
        <v>101441.68799999995</v>
      </c>
      <c r="FG161" s="12">
        <f t="shared" si="297"/>
        <v>101441.68799999995</v>
      </c>
      <c r="FH161" s="12">
        <f t="shared" si="297"/>
        <v>101441.68799999995</v>
      </c>
    </row>
    <row r="162" spans="1:164" x14ac:dyDescent="0.2">
      <c r="A162" s="10"/>
      <c r="B162" s="10"/>
      <c r="C162" s="201" t="s">
        <v>764</v>
      </c>
      <c r="D162" s="194"/>
      <c r="E162" s="194"/>
      <c r="F162" s="194"/>
      <c r="G162" s="194"/>
      <c r="H162" s="216"/>
      <c r="I162" s="216">
        <f>SUM($I151:I151)*$E$29</f>
        <v>0</v>
      </c>
      <c r="J162" s="216">
        <f>SUM($I151:J151)*$E$29</f>
        <v>0</v>
      </c>
      <c r="K162" s="216">
        <f>SUM($I151:K151)*$E$29</f>
        <v>0</v>
      </c>
      <c r="L162" s="216">
        <f>SUM($I151:L151)*$E$29</f>
        <v>0</v>
      </c>
      <c r="M162" s="216">
        <f>SUM($I151:M151)*$E$29</f>
        <v>0</v>
      </c>
      <c r="N162" s="216">
        <f>SUM($I151:N151)*$E$29</f>
        <v>0</v>
      </c>
      <c r="O162" s="216">
        <f>SUM($I151:O151)*$E$29</f>
        <v>0</v>
      </c>
      <c r="P162" s="216">
        <f>SUM($I151:P151)*$E$29</f>
        <v>0</v>
      </c>
      <c r="Q162" s="216">
        <f>SUM($I151:Q151)*$E$29</f>
        <v>0</v>
      </c>
      <c r="R162" s="216">
        <f>SUM($I151:R151)*$E$29</f>
        <v>0</v>
      </c>
      <c r="S162" s="216">
        <f>SUM($I151:S151)*$E$29</f>
        <v>0</v>
      </c>
      <c r="T162" s="216">
        <f>SUM($I151:T151)*$E$29</f>
        <v>0</v>
      </c>
      <c r="U162" s="216">
        <f>SUM($I151:U151)*$E$29</f>
        <v>0</v>
      </c>
      <c r="V162" s="216">
        <f>SUM($I151:V151)*$E$29</f>
        <v>0</v>
      </c>
      <c r="W162" s="216">
        <f>SUM($I151:W151)*$E$29</f>
        <v>0</v>
      </c>
      <c r="X162" s="216">
        <f>SUM($I151:X151)*$E$29</f>
        <v>0</v>
      </c>
      <c r="Y162" s="216">
        <f>SUM($I151:Y151)*$E$29</f>
        <v>0</v>
      </c>
      <c r="Z162" s="216">
        <f>SUM($I151:Z151)*$E$29</f>
        <v>0</v>
      </c>
      <c r="AA162" s="216">
        <f>SUM($I151:AA151)*$E$29</f>
        <v>0</v>
      </c>
      <c r="AB162" s="216">
        <f>SUM($I151:AB151)*$E$29</f>
        <v>0</v>
      </c>
      <c r="AC162" s="216">
        <f>SUM($I151:AC151)*$E$29</f>
        <v>0</v>
      </c>
      <c r="AD162" s="216">
        <f>SUM($I151:AD151)*$E$29</f>
        <v>0</v>
      </c>
      <c r="AE162" s="216">
        <f>SUM($I151:AE151)*$E$29</f>
        <v>0</v>
      </c>
      <c r="AF162" s="216">
        <f>SUM($I151:AF151)*$E$29</f>
        <v>0</v>
      </c>
      <c r="AG162" s="216">
        <f>SUM($I151:AG151)*$E$29</f>
        <v>0</v>
      </c>
      <c r="AH162" s="216">
        <f>SUM($I151:AH151)*$E$29</f>
        <v>0</v>
      </c>
      <c r="AI162" s="216">
        <f>SUM($I151:AI151)*$E$29</f>
        <v>0</v>
      </c>
      <c r="AJ162" s="216">
        <f>SUM($I151:AJ151)*$E$29</f>
        <v>0</v>
      </c>
      <c r="AK162" s="216">
        <f>SUM($I151:AK151)*$E$29</f>
        <v>0</v>
      </c>
      <c r="AL162" s="216">
        <f>SUM($I151:AL151)*$E$29</f>
        <v>0</v>
      </c>
      <c r="AM162" s="216">
        <f>SUM($I151:AM151)*$E$29</f>
        <v>0</v>
      </c>
      <c r="AN162" s="216">
        <f>SUM($I151:AN151)*$E$29</f>
        <v>0</v>
      </c>
      <c r="AO162" s="216">
        <f>SUM($I151:AO151)*$E$29</f>
        <v>0</v>
      </c>
      <c r="AP162" s="216">
        <f>SUM($I151:AP151)*$E$29</f>
        <v>0</v>
      </c>
      <c r="AQ162" s="216">
        <f>SUM($I151:AQ151)*$E$29</f>
        <v>0</v>
      </c>
      <c r="AR162" s="216">
        <f>SUM($I151:AR151)*$E$29</f>
        <v>0</v>
      </c>
      <c r="AS162" s="216">
        <f>SUM($I151:AS151)*$E$29</f>
        <v>0</v>
      </c>
      <c r="AT162" s="216">
        <f>SUM($I151:AT151)*$E$29</f>
        <v>0</v>
      </c>
      <c r="AU162" s="216">
        <f>SUM($I151:AU151)*$E$29</f>
        <v>0</v>
      </c>
      <c r="AV162" s="216">
        <f>SUM($I151:AV151)*$E$29</f>
        <v>0</v>
      </c>
      <c r="AW162" s="216">
        <f>SUM($I151:AW151)*$E$29</f>
        <v>0</v>
      </c>
      <c r="AX162" s="216">
        <f>SUM($I151:AX151)*$E$29</f>
        <v>0</v>
      </c>
      <c r="AY162" s="216">
        <f>SUM($I151:AY151)*$E$29</f>
        <v>292.30502714294857</v>
      </c>
      <c r="AZ162" s="216">
        <f>SUM($I151:AZ151)*$E$29</f>
        <v>1166.9954908166353</v>
      </c>
      <c r="BA162" s="216">
        <f>SUM($I151:BA151)*$E$29</f>
        <v>2617.4144684399616</v>
      </c>
      <c r="BB162" s="216">
        <f>SUM($I151:BB151)*$E$29</f>
        <v>4632.52339580629</v>
      </c>
      <c r="BC162" s="216">
        <f>SUM($I151:BC151)*$E$29</f>
        <v>7196.9860772223255</v>
      </c>
      <c r="BD162" s="216">
        <f>SUM($I151:BD151)*$E$29</f>
        <v>10291.285403217587</v>
      </c>
      <c r="BE162" s="216">
        <f>SUM($I151:BE151)*$E$29</f>
        <v>13891.871887532237</v>
      </c>
      <c r="BF162" s="216">
        <f>SUM($I151:BF151)*$E$29</f>
        <v>17971.342892927074</v>
      </c>
      <c r="BG162" s="216">
        <f>SUM($I151:BG151)*$E$29</f>
        <v>22498.651181799109</v>
      </c>
      <c r="BH162" s="216">
        <f>SUM($I151:BH151)*$E$29</f>
        <v>27439.341204406541</v>
      </c>
      <c r="BI162" s="216">
        <f>SUM($I151:BI151)*$E$29</f>
        <v>32755.811326407118</v>
      </c>
      <c r="BJ162" s="216">
        <f>SUM($I151:BJ151)*$E$29</f>
        <v>38407.599999999991</v>
      </c>
      <c r="BK162" s="216">
        <f>SUM($I151:BK151)*$E$29</f>
        <v>44351.693700735821</v>
      </c>
      <c r="BL162" s="216">
        <f>SUM($I151:BL151)*$E$29</f>
        <v>50542.854286410089</v>
      </c>
      <c r="BM162" s="216">
        <f>SUM($I151:BM151)*$E$29</f>
        <v>56933.96328664085</v>
      </c>
      <c r="BN162" s="216">
        <f>SUM($I151:BN151)*$E$29</f>
        <v>63476.380502879212</v>
      </c>
      <c r="BO162" s="216">
        <f>SUM($I151:BO151)*$E$29</f>
        <v>70120.314189690092</v>
      </c>
      <c r="BP162" s="216">
        <f>SUM($I151:BP151)*$E$29</f>
        <v>76815.199999999997</v>
      </c>
      <c r="BQ162" s="216">
        <f>SUM($I151:BQ151)*$E$29</f>
        <v>83510.085810309902</v>
      </c>
      <c r="BR162" s="216">
        <f>SUM($I151:BR151)*$E$29</f>
        <v>90154.019497120782</v>
      </c>
      <c r="BS162" s="216">
        <f>SUM($I151:BS151)*$E$29</f>
        <v>96696.436713359144</v>
      </c>
      <c r="BT162" s="216">
        <f>SUM($I151:BT151)*$E$29</f>
        <v>103087.54571358991</v>
      </c>
      <c r="BU162" s="216">
        <f>SUM($I151:BU151)*$E$29</f>
        <v>109278.70629926416</v>
      </c>
      <c r="BV162" s="216">
        <f>SUM($I151:BV151)*$E$29</f>
        <v>115222.79999999997</v>
      </c>
      <c r="BW162" s="216">
        <f>SUM($I151:BW151)*$E$29</f>
        <v>120874.58867359285</v>
      </c>
      <c r="BX162" s="216">
        <f>SUM($I151:BX151)*$E$29</f>
        <v>126191.05879559343</v>
      </c>
      <c r="BY162" s="216">
        <f>SUM($I151:BY151)*$E$29</f>
        <v>131131.74881820087</v>
      </c>
      <c r="BZ162" s="216">
        <f>SUM($I151:BZ151)*$E$29</f>
        <v>135659.05710707288</v>
      </c>
      <c r="CA162" s="216">
        <f>SUM($I151:CA151)*$E$29</f>
        <v>139738.52811246773</v>
      </c>
      <c r="CB162" s="216">
        <f>SUM($I151:CB151)*$E$29</f>
        <v>143339.1145967824</v>
      </c>
      <c r="CC162" s="216">
        <f>SUM($I151:CC151)*$E$29</f>
        <v>146433.41392277763</v>
      </c>
      <c r="CD162" s="216">
        <f>SUM($I151:CD151)*$E$29</f>
        <v>148997.87660419368</v>
      </c>
      <c r="CE162" s="216">
        <f>SUM($I151:CE151)*$E$29</f>
        <v>151012.98553156</v>
      </c>
      <c r="CF162" s="216">
        <f>SUM($I151:CF151)*$E$29</f>
        <v>152463.40450918334</v>
      </c>
      <c r="CG162" s="216">
        <f>SUM($I151:CG151)*$E$29</f>
        <v>153338.09497285701</v>
      </c>
      <c r="CH162" s="216">
        <f>SUM($I151:CH151)*$E$29</f>
        <v>153630.39999999997</v>
      </c>
      <c r="CI162" s="216">
        <f>SUM($I151:CI151)*$E$29</f>
        <v>153630.39999999997</v>
      </c>
      <c r="CJ162" s="216">
        <f>SUM($I151:CJ151)*$E$29</f>
        <v>153630.39999999997</v>
      </c>
      <c r="CK162" s="216">
        <f>SUM($I151:CK151)*$E$29</f>
        <v>153630.39999999997</v>
      </c>
      <c r="CL162" s="216">
        <f>SUM($I151:CL151)*$E$29</f>
        <v>153630.39999999997</v>
      </c>
      <c r="CM162" s="216">
        <f>SUM($I151:CM151)*$E$29</f>
        <v>153630.39999999997</v>
      </c>
      <c r="CN162" s="216">
        <f>SUM($I151:CN151)*$E$29</f>
        <v>153630.39999999997</v>
      </c>
      <c r="CO162" s="216">
        <f>SUM($I151:CO151)*$E$29</f>
        <v>153630.39999999997</v>
      </c>
      <c r="CP162" s="216">
        <f>SUM($I151:CP151)*$E$29</f>
        <v>153630.39999999997</v>
      </c>
      <c r="CQ162" s="216">
        <f>SUM($I151:CQ151)*$E$29</f>
        <v>153630.39999999997</v>
      </c>
      <c r="CR162" s="216">
        <f>SUM($I151:CR151)*$E$29</f>
        <v>153630.39999999997</v>
      </c>
      <c r="CS162" s="216">
        <f>SUM($I151:CS151)*$E$29</f>
        <v>153630.39999999997</v>
      </c>
      <c r="CT162" s="216">
        <f>SUM($I151:CT151)*$E$29</f>
        <v>153630.39999999997</v>
      </c>
      <c r="CU162" s="216">
        <f>SUM($I151:CU151)*$E$29</f>
        <v>153630.39999999997</v>
      </c>
      <c r="CV162" s="216">
        <f>SUM($I151:CV151)*$E$29</f>
        <v>153630.39999999997</v>
      </c>
      <c r="CW162" s="216">
        <f>SUM($I151:CW151)*$E$29</f>
        <v>153630.39999999997</v>
      </c>
      <c r="CX162" s="216">
        <f>SUM($I151:CX151)*$E$29</f>
        <v>153630.39999999997</v>
      </c>
      <c r="CY162" s="216">
        <f>SUM($I151:CY151)*$E$29</f>
        <v>153630.39999999997</v>
      </c>
      <c r="CZ162" s="216">
        <f>SUM($I151:CZ151)*$E$29</f>
        <v>153630.39999999997</v>
      </c>
      <c r="DA162" s="216">
        <f>SUM($I151:DA151)*$E$29</f>
        <v>153630.39999999997</v>
      </c>
      <c r="DB162" s="216">
        <f>SUM($I151:DB151)*$E$29</f>
        <v>153630.39999999997</v>
      </c>
      <c r="DC162" s="216">
        <f>SUM($I151:DC151)*$E$29</f>
        <v>153630.39999999997</v>
      </c>
      <c r="DD162" s="216">
        <f>SUM($I151:DD151)*$E$29</f>
        <v>153630.39999999997</v>
      </c>
      <c r="DE162" s="216">
        <f>SUM($I151:DE151)*$E$29</f>
        <v>153630.39999999997</v>
      </c>
      <c r="DF162" s="216">
        <f>SUM($I151:DF151)*$E$29</f>
        <v>153630.39999999997</v>
      </c>
      <c r="DG162" s="216">
        <f>SUM($I151:DG151)*$E$29</f>
        <v>153630.39999999997</v>
      </c>
      <c r="DH162" s="216">
        <f>SUM($I151:DH151)*$E$29</f>
        <v>153630.39999999997</v>
      </c>
      <c r="DI162" s="216">
        <f>SUM($I151:DI151)*$E$29</f>
        <v>153630.39999999997</v>
      </c>
      <c r="DJ162" s="216">
        <f>SUM($I151:DJ151)*$E$29</f>
        <v>153630.39999999997</v>
      </c>
      <c r="DK162" s="216">
        <f>SUM($I151:DK151)*$E$29</f>
        <v>153630.39999999997</v>
      </c>
      <c r="DL162" s="216">
        <f>SUM($I151:DL151)*$E$29</f>
        <v>153630.39999999997</v>
      </c>
      <c r="DM162" s="216">
        <f>SUM($I151:DM151)*$E$29</f>
        <v>153630.39999999997</v>
      </c>
      <c r="DN162" s="216">
        <f>SUM($I151:DN151)*$E$29</f>
        <v>153630.39999999997</v>
      </c>
      <c r="DO162" s="216">
        <f>SUM($I151:DO151)*$E$29</f>
        <v>153630.39999999997</v>
      </c>
      <c r="DP162" s="216">
        <f>SUM($I151:DP151)*$E$29</f>
        <v>153630.39999999997</v>
      </c>
      <c r="DQ162" s="216">
        <f>SUM($I151:DQ151)*$E$29</f>
        <v>153630.39999999997</v>
      </c>
      <c r="DR162" s="216">
        <f>SUM($I151:DR151)*$E$29</f>
        <v>153630.39999999997</v>
      </c>
      <c r="DS162" s="216">
        <f>SUM($I151:DS151)*$E$29</f>
        <v>153630.39999999997</v>
      </c>
      <c r="DT162" s="216">
        <f>SUM($I151:DT151)*$E$29</f>
        <v>153630.39999999997</v>
      </c>
      <c r="DU162" s="216">
        <f>SUM($I151:DU151)*$E$29</f>
        <v>153630.39999999997</v>
      </c>
      <c r="DV162" s="216">
        <f>SUM($I151:DV151)*$E$29</f>
        <v>153630.39999999997</v>
      </c>
      <c r="DW162" s="216">
        <f>SUM($I151:DW151)*$E$29</f>
        <v>153630.39999999997</v>
      </c>
      <c r="DX162" s="216">
        <f>SUM($I151:DX151)*$E$29</f>
        <v>153630.39999999997</v>
      </c>
      <c r="DY162" s="216">
        <f>SUM($I151:DY151)*$E$29</f>
        <v>153630.39999999997</v>
      </c>
      <c r="DZ162" s="216">
        <f>SUM($I151:DZ151)*$E$29</f>
        <v>153630.39999999997</v>
      </c>
      <c r="EA162" s="216">
        <f>SUM($I151:EA151)*$E$29</f>
        <v>153630.39999999997</v>
      </c>
      <c r="EB162" s="216">
        <f>SUM($I151:EB151)*$E$29</f>
        <v>153630.39999999997</v>
      </c>
      <c r="EC162" s="216">
        <f>SUM($I151:EC151)*$E$29</f>
        <v>153630.39999999997</v>
      </c>
      <c r="ED162" s="216">
        <f>SUM($I151:ED151)*$E$29</f>
        <v>153630.39999999997</v>
      </c>
      <c r="EE162" s="216">
        <f>SUM($I151:EE151)*$E$29</f>
        <v>153630.39999999997</v>
      </c>
      <c r="EF162" s="216">
        <f>SUM($I151:EF151)*$E$29</f>
        <v>153630.39999999997</v>
      </c>
      <c r="EG162" s="216">
        <f>SUM($I151:EG151)*$E$29</f>
        <v>153630.39999999997</v>
      </c>
      <c r="EH162" s="216">
        <f>SUM($I151:EH151)*$E$29</f>
        <v>153630.39999999997</v>
      </c>
      <c r="EI162" s="216">
        <f>SUM($I151:EI151)*$E$29</f>
        <v>153630.39999999997</v>
      </c>
      <c r="EJ162" s="216">
        <f>SUM($I151:EJ151)*$E$29</f>
        <v>153630.39999999997</v>
      </c>
      <c r="EK162" s="216">
        <f>SUM($I151:EK151)*$E$29</f>
        <v>153630.39999999997</v>
      </c>
      <c r="EL162" s="216">
        <f>SUM($I151:EL151)*$E$29</f>
        <v>153630.39999999997</v>
      </c>
      <c r="EM162" s="216">
        <f>SUM($I151:EM151)*$E$29</f>
        <v>153630.39999999997</v>
      </c>
      <c r="EN162" s="216">
        <f>SUM($I151:EN151)*$E$29</f>
        <v>153630.39999999997</v>
      </c>
      <c r="EO162" s="216">
        <f>SUM($I151:EO151)*$E$29</f>
        <v>153630.39999999997</v>
      </c>
      <c r="EP162" s="216">
        <f>SUM($I151:EP151)*$E$29</f>
        <v>153630.39999999997</v>
      </c>
      <c r="EQ162" s="216">
        <f>SUM($I151:EQ151)*$E$29</f>
        <v>153630.39999999997</v>
      </c>
      <c r="ER162" s="216">
        <f>SUM($I151:ER151)*$E$29</f>
        <v>153630.39999999997</v>
      </c>
      <c r="ES162" s="216">
        <f>SUM($I151:ES151)*$E$29</f>
        <v>153630.39999999997</v>
      </c>
      <c r="ET162" s="216">
        <f>SUM($I151:ET151)*$E$29</f>
        <v>153630.39999999997</v>
      </c>
      <c r="EU162" s="216">
        <f>SUM($I151:EU151)*$E$29</f>
        <v>153630.39999999997</v>
      </c>
      <c r="EV162" s="216">
        <f>SUM($I151:EV151)*$E$29</f>
        <v>153630.39999999997</v>
      </c>
      <c r="EW162" s="216">
        <f>SUM($I151:EW151)*$E$29</f>
        <v>153630.39999999997</v>
      </c>
      <c r="EX162" s="216">
        <f>SUM($I151:EX151)*$E$29</f>
        <v>153630.39999999997</v>
      </c>
      <c r="EY162" s="216">
        <f>SUM($I151:EY151)*$E$29</f>
        <v>153630.39999999997</v>
      </c>
      <c r="EZ162" s="216">
        <f>SUM($I151:EZ151)*$E$29</f>
        <v>153630.39999999997</v>
      </c>
      <c r="FA162" s="216">
        <f>SUM($I151:FA151)*$E$29</f>
        <v>153630.39999999997</v>
      </c>
      <c r="FB162" s="216">
        <f>SUM($I151:FB151)*$E$29</f>
        <v>153630.39999999997</v>
      </c>
      <c r="FC162" s="216">
        <f>SUM($I151:FC151)*$E$29</f>
        <v>153630.39999999997</v>
      </c>
      <c r="FD162" s="216">
        <f>SUM($I151:FD151)*$E$29</f>
        <v>153630.39999999997</v>
      </c>
      <c r="FE162" s="216">
        <f>SUM($I151:FE151)*$E$29</f>
        <v>153630.39999999997</v>
      </c>
      <c r="FF162" s="216">
        <f>SUM($I151:FF151)*$E$29</f>
        <v>153630.39999999997</v>
      </c>
      <c r="FG162" s="216">
        <f>SUM($I151:FG151)*$E$29</f>
        <v>153630.39999999997</v>
      </c>
      <c r="FH162" s="216">
        <f>SUM($I151:FH151)*$E$29</f>
        <v>153630.39999999997</v>
      </c>
    </row>
    <row r="163" spans="1:164" x14ac:dyDescent="0.2">
      <c r="A163" s="10"/>
      <c r="B163" s="10"/>
      <c r="C163" s="201" t="s">
        <v>765</v>
      </c>
      <c r="D163" s="194"/>
      <c r="E163" s="194"/>
      <c r="F163" s="194"/>
      <c r="G163" s="194"/>
      <c r="H163" s="216"/>
      <c r="I163" s="216">
        <f t="shared" ref="I163:AN163" si="298">IF(I$6&lt;$E$76,MAX(0,I162-(1-$E$74)*$E$29),0)</f>
        <v>0</v>
      </c>
      <c r="J163" s="216">
        <f t="shared" si="298"/>
        <v>0</v>
      </c>
      <c r="K163" s="216">
        <f t="shared" si="298"/>
        <v>0</v>
      </c>
      <c r="L163" s="216">
        <f t="shared" si="298"/>
        <v>0</v>
      </c>
      <c r="M163" s="216">
        <f t="shared" si="298"/>
        <v>0</v>
      </c>
      <c r="N163" s="216">
        <f t="shared" si="298"/>
        <v>0</v>
      </c>
      <c r="O163" s="216">
        <f t="shared" si="298"/>
        <v>0</v>
      </c>
      <c r="P163" s="216">
        <f t="shared" si="298"/>
        <v>0</v>
      </c>
      <c r="Q163" s="216">
        <f t="shared" si="298"/>
        <v>0</v>
      </c>
      <c r="R163" s="216">
        <f t="shared" si="298"/>
        <v>0</v>
      </c>
      <c r="S163" s="216">
        <f t="shared" si="298"/>
        <v>0</v>
      </c>
      <c r="T163" s="216">
        <f t="shared" si="298"/>
        <v>0</v>
      </c>
      <c r="U163" s="216">
        <f t="shared" si="298"/>
        <v>0</v>
      </c>
      <c r="V163" s="216">
        <f t="shared" si="298"/>
        <v>0</v>
      </c>
      <c r="W163" s="216">
        <f t="shared" si="298"/>
        <v>0</v>
      </c>
      <c r="X163" s="216">
        <f t="shared" si="298"/>
        <v>0</v>
      </c>
      <c r="Y163" s="216">
        <f t="shared" si="298"/>
        <v>0</v>
      </c>
      <c r="Z163" s="216">
        <f t="shared" si="298"/>
        <v>0</v>
      </c>
      <c r="AA163" s="216">
        <f t="shared" si="298"/>
        <v>0</v>
      </c>
      <c r="AB163" s="216">
        <f t="shared" si="298"/>
        <v>0</v>
      </c>
      <c r="AC163" s="216">
        <f t="shared" si="298"/>
        <v>0</v>
      </c>
      <c r="AD163" s="216">
        <f t="shared" si="298"/>
        <v>0</v>
      </c>
      <c r="AE163" s="216">
        <f t="shared" si="298"/>
        <v>0</v>
      </c>
      <c r="AF163" s="216">
        <f t="shared" si="298"/>
        <v>0</v>
      </c>
      <c r="AG163" s="216">
        <f t="shared" si="298"/>
        <v>0</v>
      </c>
      <c r="AH163" s="216">
        <f t="shared" si="298"/>
        <v>0</v>
      </c>
      <c r="AI163" s="216">
        <f t="shared" si="298"/>
        <v>0</v>
      </c>
      <c r="AJ163" s="216">
        <f t="shared" si="298"/>
        <v>0</v>
      </c>
      <c r="AK163" s="216">
        <f t="shared" si="298"/>
        <v>0</v>
      </c>
      <c r="AL163" s="216">
        <f t="shared" si="298"/>
        <v>0</v>
      </c>
      <c r="AM163" s="216">
        <f t="shared" si="298"/>
        <v>0</v>
      </c>
      <c r="AN163" s="216">
        <f t="shared" si="298"/>
        <v>0</v>
      </c>
      <c r="AO163" s="216">
        <f t="shared" ref="AO163:BT163" si="299">IF(AO$6&lt;$E$76,MAX(0,AO162-(1-$E$74)*$E$29),0)</f>
        <v>0</v>
      </c>
      <c r="AP163" s="216">
        <f t="shared" si="299"/>
        <v>0</v>
      </c>
      <c r="AQ163" s="216">
        <f t="shared" si="299"/>
        <v>0</v>
      </c>
      <c r="AR163" s="216">
        <f t="shared" si="299"/>
        <v>0</v>
      </c>
      <c r="AS163" s="216">
        <f t="shared" si="299"/>
        <v>0</v>
      </c>
      <c r="AT163" s="216">
        <f t="shared" si="299"/>
        <v>0</v>
      </c>
      <c r="AU163" s="216">
        <f t="shared" si="299"/>
        <v>0</v>
      </c>
      <c r="AV163" s="216">
        <f t="shared" si="299"/>
        <v>0</v>
      </c>
      <c r="AW163" s="216">
        <f t="shared" si="299"/>
        <v>0</v>
      </c>
      <c r="AX163" s="216">
        <f t="shared" si="299"/>
        <v>0</v>
      </c>
      <c r="AY163" s="216">
        <f t="shared" si="299"/>
        <v>0</v>
      </c>
      <c r="AZ163" s="216">
        <f t="shared" si="299"/>
        <v>0</v>
      </c>
      <c r="BA163" s="216">
        <f t="shared" si="299"/>
        <v>0</v>
      </c>
      <c r="BB163" s="216">
        <f t="shared" si="299"/>
        <v>0</v>
      </c>
      <c r="BC163" s="216">
        <f t="shared" si="299"/>
        <v>0</v>
      </c>
      <c r="BD163" s="216">
        <f t="shared" si="299"/>
        <v>0</v>
      </c>
      <c r="BE163" s="216">
        <f t="shared" si="299"/>
        <v>0</v>
      </c>
      <c r="BF163" s="216">
        <f t="shared" si="299"/>
        <v>0</v>
      </c>
      <c r="BG163" s="216">
        <f t="shared" si="299"/>
        <v>0</v>
      </c>
      <c r="BH163" s="216">
        <f t="shared" si="299"/>
        <v>0</v>
      </c>
      <c r="BI163" s="216">
        <f t="shared" si="299"/>
        <v>0</v>
      </c>
      <c r="BJ163" s="216">
        <f t="shared" si="299"/>
        <v>0</v>
      </c>
      <c r="BK163" s="216">
        <f t="shared" si="299"/>
        <v>0</v>
      </c>
      <c r="BL163" s="216">
        <f t="shared" si="299"/>
        <v>0</v>
      </c>
      <c r="BM163" s="216">
        <f t="shared" si="299"/>
        <v>0</v>
      </c>
      <c r="BN163" s="216">
        <f t="shared" si="299"/>
        <v>2024.2205028792087</v>
      </c>
      <c r="BO163" s="216">
        <f t="shared" si="299"/>
        <v>8668.154189690089</v>
      </c>
      <c r="BP163" s="216">
        <f t="shared" si="299"/>
        <v>15363.039999999994</v>
      </c>
      <c r="BQ163" s="216">
        <f t="shared" si="299"/>
        <v>22057.925810309898</v>
      </c>
      <c r="BR163" s="216">
        <f t="shared" si="299"/>
        <v>28701.859497120779</v>
      </c>
      <c r="BS163" s="216">
        <f t="shared" si="299"/>
        <v>35244.276713359141</v>
      </c>
      <c r="BT163" s="216">
        <f t="shared" si="299"/>
        <v>41635.385713589902</v>
      </c>
      <c r="BU163" s="216">
        <f t="shared" ref="BU163:CZ163" si="300">IF(BU$6&lt;$E$76,MAX(0,BU162-(1-$E$74)*$E$29),0)</f>
        <v>47826.546299264155</v>
      </c>
      <c r="BV163" s="216">
        <f t="shared" si="300"/>
        <v>53770.63999999997</v>
      </c>
      <c r="BW163" s="216">
        <f t="shared" si="300"/>
        <v>59422.428673592847</v>
      </c>
      <c r="BX163" s="216">
        <f t="shared" si="300"/>
        <v>64738.898795593428</v>
      </c>
      <c r="BY163" s="216">
        <f t="shared" si="300"/>
        <v>69679.588818200864</v>
      </c>
      <c r="BZ163" s="216">
        <f t="shared" si="300"/>
        <v>74206.897107072873</v>
      </c>
      <c r="CA163" s="216">
        <f t="shared" si="300"/>
        <v>78286.368112467724</v>
      </c>
      <c r="CB163" s="216">
        <f t="shared" si="300"/>
        <v>81886.954596782394</v>
      </c>
      <c r="CC163" s="216">
        <f t="shared" si="300"/>
        <v>84981.253922777629</v>
      </c>
      <c r="CD163" s="216">
        <f t="shared" si="300"/>
        <v>87545.716604193673</v>
      </c>
      <c r="CE163" s="216">
        <f t="shared" si="300"/>
        <v>89560.825531559996</v>
      </c>
      <c r="CF163" s="216">
        <f t="shared" si="300"/>
        <v>91011.244509183336</v>
      </c>
      <c r="CG163" s="216">
        <f t="shared" si="300"/>
        <v>91885.934972857009</v>
      </c>
      <c r="CH163" s="216">
        <f t="shared" si="300"/>
        <v>92178.239999999962</v>
      </c>
      <c r="CI163" s="216">
        <f t="shared" si="300"/>
        <v>92178.239999999962</v>
      </c>
      <c r="CJ163" s="216">
        <f t="shared" si="300"/>
        <v>92178.239999999962</v>
      </c>
      <c r="CK163" s="216">
        <f t="shared" si="300"/>
        <v>92178.239999999962</v>
      </c>
      <c r="CL163" s="216">
        <f t="shared" si="300"/>
        <v>92178.239999999962</v>
      </c>
      <c r="CM163" s="216">
        <f t="shared" si="300"/>
        <v>92178.239999999962</v>
      </c>
      <c r="CN163" s="216">
        <f t="shared" si="300"/>
        <v>92178.239999999962</v>
      </c>
      <c r="CO163" s="216">
        <f t="shared" si="300"/>
        <v>92178.239999999962</v>
      </c>
      <c r="CP163" s="216">
        <f t="shared" si="300"/>
        <v>92178.239999999962</v>
      </c>
      <c r="CQ163" s="216">
        <f t="shared" si="300"/>
        <v>92178.239999999962</v>
      </c>
      <c r="CR163" s="216">
        <f t="shared" si="300"/>
        <v>92178.239999999962</v>
      </c>
      <c r="CS163" s="216">
        <f t="shared" si="300"/>
        <v>92178.239999999962</v>
      </c>
      <c r="CT163" s="216">
        <f t="shared" si="300"/>
        <v>92178.239999999962</v>
      </c>
      <c r="CU163" s="216">
        <f t="shared" si="300"/>
        <v>92178.239999999962</v>
      </c>
      <c r="CV163" s="216">
        <f t="shared" si="300"/>
        <v>0</v>
      </c>
      <c r="CW163" s="216">
        <f t="shared" si="300"/>
        <v>0</v>
      </c>
      <c r="CX163" s="216">
        <f t="shared" si="300"/>
        <v>0</v>
      </c>
      <c r="CY163" s="216">
        <f t="shared" si="300"/>
        <v>0</v>
      </c>
      <c r="CZ163" s="216">
        <f t="shared" si="300"/>
        <v>0</v>
      </c>
      <c r="DA163" s="216">
        <f t="shared" ref="DA163:EF163" si="301">IF(DA$6&lt;$E$76,MAX(0,DA162-(1-$E$74)*$E$29),0)</f>
        <v>0</v>
      </c>
      <c r="DB163" s="216">
        <f t="shared" si="301"/>
        <v>0</v>
      </c>
      <c r="DC163" s="216">
        <f t="shared" si="301"/>
        <v>0</v>
      </c>
      <c r="DD163" s="216">
        <f t="shared" si="301"/>
        <v>0</v>
      </c>
      <c r="DE163" s="216">
        <f t="shared" si="301"/>
        <v>0</v>
      </c>
      <c r="DF163" s="216">
        <f t="shared" si="301"/>
        <v>0</v>
      </c>
      <c r="DG163" s="216">
        <f t="shared" si="301"/>
        <v>0</v>
      </c>
      <c r="DH163" s="216">
        <f t="shared" si="301"/>
        <v>0</v>
      </c>
      <c r="DI163" s="216">
        <f t="shared" si="301"/>
        <v>0</v>
      </c>
      <c r="DJ163" s="216">
        <f t="shared" si="301"/>
        <v>0</v>
      </c>
      <c r="DK163" s="216">
        <f t="shared" si="301"/>
        <v>0</v>
      </c>
      <c r="DL163" s="216">
        <f t="shared" si="301"/>
        <v>0</v>
      </c>
      <c r="DM163" s="216">
        <f t="shared" si="301"/>
        <v>0</v>
      </c>
      <c r="DN163" s="216">
        <f t="shared" si="301"/>
        <v>0</v>
      </c>
      <c r="DO163" s="216">
        <f t="shared" si="301"/>
        <v>0</v>
      </c>
      <c r="DP163" s="216">
        <f t="shared" si="301"/>
        <v>0</v>
      </c>
      <c r="DQ163" s="216">
        <f t="shared" si="301"/>
        <v>0</v>
      </c>
      <c r="DR163" s="216">
        <f t="shared" si="301"/>
        <v>0</v>
      </c>
      <c r="DS163" s="216">
        <f t="shared" si="301"/>
        <v>0</v>
      </c>
      <c r="DT163" s="216">
        <f t="shared" si="301"/>
        <v>0</v>
      </c>
      <c r="DU163" s="216">
        <f t="shared" si="301"/>
        <v>0</v>
      </c>
      <c r="DV163" s="216">
        <f t="shared" si="301"/>
        <v>0</v>
      </c>
      <c r="DW163" s="216">
        <f t="shared" si="301"/>
        <v>0</v>
      </c>
      <c r="DX163" s="216">
        <f t="shared" si="301"/>
        <v>0</v>
      </c>
      <c r="DY163" s="216">
        <f t="shared" si="301"/>
        <v>0</v>
      </c>
      <c r="DZ163" s="216">
        <f t="shared" si="301"/>
        <v>0</v>
      </c>
      <c r="EA163" s="216">
        <f t="shared" si="301"/>
        <v>0</v>
      </c>
      <c r="EB163" s="216">
        <f t="shared" si="301"/>
        <v>0</v>
      </c>
      <c r="EC163" s="216">
        <f t="shared" si="301"/>
        <v>0</v>
      </c>
      <c r="ED163" s="216">
        <f t="shared" si="301"/>
        <v>0</v>
      </c>
      <c r="EE163" s="216">
        <f t="shared" si="301"/>
        <v>0</v>
      </c>
      <c r="EF163" s="216">
        <f t="shared" si="301"/>
        <v>0</v>
      </c>
      <c r="EG163" s="216">
        <f t="shared" ref="EG163:FH163" si="302">IF(EG$6&lt;$E$76,MAX(0,EG162-(1-$E$74)*$E$29),0)</f>
        <v>0</v>
      </c>
      <c r="EH163" s="216">
        <f t="shared" si="302"/>
        <v>0</v>
      </c>
      <c r="EI163" s="216">
        <f t="shared" si="302"/>
        <v>0</v>
      </c>
      <c r="EJ163" s="216">
        <f t="shared" si="302"/>
        <v>0</v>
      </c>
      <c r="EK163" s="216">
        <f t="shared" si="302"/>
        <v>0</v>
      </c>
      <c r="EL163" s="216">
        <f t="shared" si="302"/>
        <v>0</v>
      </c>
      <c r="EM163" s="216">
        <f t="shared" si="302"/>
        <v>0</v>
      </c>
      <c r="EN163" s="216">
        <f t="shared" si="302"/>
        <v>0</v>
      </c>
      <c r="EO163" s="216">
        <f t="shared" si="302"/>
        <v>0</v>
      </c>
      <c r="EP163" s="216">
        <f t="shared" si="302"/>
        <v>0</v>
      </c>
      <c r="EQ163" s="216">
        <f t="shared" si="302"/>
        <v>0</v>
      </c>
      <c r="ER163" s="216">
        <f t="shared" si="302"/>
        <v>0</v>
      </c>
      <c r="ES163" s="216">
        <f t="shared" si="302"/>
        <v>0</v>
      </c>
      <c r="ET163" s="216">
        <f t="shared" si="302"/>
        <v>0</v>
      </c>
      <c r="EU163" s="216">
        <f t="shared" si="302"/>
        <v>0</v>
      </c>
      <c r="EV163" s="216">
        <f t="shared" si="302"/>
        <v>0</v>
      </c>
      <c r="EW163" s="216">
        <f t="shared" si="302"/>
        <v>0</v>
      </c>
      <c r="EX163" s="216">
        <f t="shared" si="302"/>
        <v>0</v>
      </c>
      <c r="EY163" s="216">
        <f t="shared" si="302"/>
        <v>0</v>
      </c>
      <c r="EZ163" s="216">
        <f t="shared" si="302"/>
        <v>0</v>
      </c>
      <c r="FA163" s="216">
        <f t="shared" si="302"/>
        <v>0</v>
      </c>
      <c r="FB163" s="216">
        <f t="shared" si="302"/>
        <v>0</v>
      </c>
      <c r="FC163" s="216">
        <f t="shared" si="302"/>
        <v>0</v>
      </c>
      <c r="FD163" s="216">
        <f t="shared" si="302"/>
        <v>0</v>
      </c>
      <c r="FE163" s="216">
        <f t="shared" si="302"/>
        <v>0</v>
      </c>
      <c r="FF163" s="216">
        <f t="shared" si="302"/>
        <v>0</v>
      </c>
      <c r="FG163" s="216">
        <f t="shared" si="302"/>
        <v>0</v>
      </c>
      <c r="FH163" s="216">
        <f t="shared" si="302"/>
        <v>0</v>
      </c>
    </row>
    <row r="164" spans="1:164" x14ac:dyDescent="0.2">
      <c r="A164" s="10"/>
      <c r="B164" s="10"/>
      <c r="C164" s="10" t="s">
        <v>766</v>
      </c>
      <c r="D164" s="10"/>
      <c r="E164" s="10"/>
      <c r="F164" s="10"/>
      <c r="G164" s="10"/>
      <c r="H164" s="12"/>
      <c r="I164" s="12">
        <f>0</f>
        <v>0</v>
      </c>
      <c r="J164" s="12">
        <f t="shared" ref="J164:AO164" si="303">I168</f>
        <v>0</v>
      </c>
      <c r="K164" s="12">
        <f t="shared" si="303"/>
        <v>0</v>
      </c>
      <c r="L164" s="12">
        <f t="shared" si="303"/>
        <v>0</v>
      </c>
      <c r="M164" s="12">
        <f t="shared" si="303"/>
        <v>0</v>
      </c>
      <c r="N164" s="12">
        <f t="shared" si="303"/>
        <v>0</v>
      </c>
      <c r="O164" s="12">
        <f t="shared" si="303"/>
        <v>0</v>
      </c>
      <c r="P164" s="12">
        <f t="shared" si="303"/>
        <v>0</v>
      </c>
      <c r="Q164" s="12">
        <f t="shared" si="303"/>
        <v>0</v>
      </c>
      <c r="R164" s="12">
        <f t="shared" si="303"/>
        <v>0</v>
      </c>
      <c r="S164" s="12">
        <f t="shared" si="303"/>
        <v>0</v>
      </c>
      <c r="T164" s="12">
        <f t="shared" si="303"/>
        <v>0</v>
      </c>
      <c r="U164" s="12">
        <f t="shared" si="303"/>
        <v>0</v>
      </c>
      <c r="V164" s="12">
        <f t="shared" si="303"/>
        <v>0</v>
      </c>
      <c r="W164" s="12">
        <f t="shared" si="303"/>
        <v>0</v>
      </c>
      <c r="X164" s="12">
        <f t="shared" si="303"/>
        <v>0</v>
      </c>
      <c r="Y164" s="12">
        <f t="shared" si="303"/>
        <v>0</v>
      </c>
      <c r="Z164" s="12">
        <f t="shared" si="303"/>
        <v>0</v>
      </c>
      <c r="AA164" s="12">
        <f t="shared" si="303"/>
        <v>0</v>
      </c>
      <c r="AB164" s="12">
        <f t="shared" si="303"/>
        <v>0</v>
      </c>
      <c r="AC164" s="12">
        <f t="shared" si="303"/>
        <v>0</v>
      </c>
      <c r="AD164" s="12">
        <f t="shared" si="303"/>
        <v>0</v>
      </c>
      <c r="AE164" s="12">
        <f t="shared" si="303"/>
        <v>0</v>
      </c>
      <c r="AF164" s="12">
        <f t="shared" si="303"/>
        <v>0</v>
      </c>
      <c r="AG164" s="12">
        <f t="shared" si="303"/>
        <v>0</v>
      </c>
      <c r="AH164" s="12">
        <f t="shared" si="303"/>
        <v>0</v>
      </c>
      <c r="AI164" s="12">
        <f t="shared" si="303"/>
        <v>0</v>
      </c>
      <c r="AJ164" s="12">
        <f t="shared" si="303"/>
        <v>0</v>
      </c>
      <c r="AK164" s="12">
        <f t="shared" si="303"/>
        <v>0</v>
      </c>
      <c r="AL164" s="12">
        <f t="shared" si="303"/>
        <v>0</v>
      </c>
      <c r="AM164" s="12">
        <f t="shared" si="303"/>
        <v>0</v>
      </c>
      <c r="AN164" s="12">
        <f t="shared" si="303"/>
        <v>0</v>
      </c>
      <c r="AO164" s="12">
        <f t="shared" si="303"/>
        <v>0</v>
      </c>
      <c r="AP164" s="12">
        <f t="shared" ref="AP164:BU164" si="304">AO168</f>
        <v>0</v>
      </c>
      <c r="AQ164" s="12">
        <f t="shared" si="304"/>
        <v>0</v>
      </c>
      <c r="AR164" s="12">
        <f t="shared" si="304"/>
        <v>0</v>
      </c>
      <c r="AS164" s="12">
        <f t="shared" si="304"/>
        <v>0</v>
      </c>
      <c r="AT164" s="12">
        <f t="shared" si="304"/>
        <v>0</v>
      </c>
      <c r="AU164" s="12">
        <f t="shared" si="304"/>
        <v>0</v>
      </c>
      <c r="AV164" s="12">
        <f t="shared" si="304"/>
        <v>0</v>
      </c>
      <c r="AW164" s="12">
        <f t="shared" si="304"/>
        <v>0</v>
      </c>
      <c r="AX164" s="12">
        <f t="shared" si="304"/>
        <v>0</v>
      </c>
      <c r="AY164" s="12">
        <f t="shared" si="304"/>
        <v>0</v>
      </c>
      <c r="AZ164" s="12">
        <f t="shared" si="304"/>
        <v>0</v>
      </c>
      <c r="BA164" s="12">
        <f t="shared" si="304"/>
        <v>0</v>
      </c>
      <c r="BB164" s="12">
        <f t="shared" si="304"/>
        <v>0</v>
      </c>
      <c r="BC164" s="12">
        <f t="shared" si="304"/>
        <v>0</v>
      </c>
      <c r="BD164" s="12">
        <f t="shared" si="304"/>
        <v>0</v>
      </c>
      <c r="BE164" s="12">
        <f t="shared" si="304"/>
        <v>0</v>
      </c>
      <c r="BF164" s="12">
        <f t="shared" si="304"/>
        <v>0</v>
      </c>
      <c r="BG164" s="12">
        <f t="shared" si="304"/>
        <v>0</v>
      </c>
      <c r="BH164" s="12">
        <f t="shared" si="304"/>
        <v>0</v>
      </c>
      <c r="BI164" s="12">
        <f t="shared" si="304"/>
        <v>0</v>
      </c>
      <c r="BJ164" s="12">
        <f t="shared" si="304"/>
        <v>0</v>
      </c>
      <c r="BK164" s="12">
        <f t="shared" si="304"/>
        <v>0</v>
      </c>
      <c r="BL164" s="12">
        <f t="shared" si="304"/>
        <v>0</v>
      </c>
      <c r="BM164" s="12">
        <f t="shared" si="304"/>
        <v>0</v>
      </c>
      <c r="BN164" s="12">
        <f t="shared" si="304"/>
        <v>0</v>
      </c>
      <c r="BO164" s="12">
        <f t="shared" si="304"/>
        <v>2024.2205028792087</v>
      </c>
      <c r="BP164" s="12">
        <f t="shared" si="304"/>
        <v>8668.154189690089</v>
      </c>
      <c r="BQ164" s="12">
        <f t="shared" si="304"/>
        <v>15363.039999999994</v>
      </c>
      <c r="BR164" s="12">
        <f t="shared" si="304"/>
        <v>22057.925810309898</v>
      </c>
      <c r="BS164" s="12">
        <f t="shared" si="304"/>
        <v>28701.859497120779</v>
      </c>
      <c r="BT164" s="12">
        <f t="shared" si="304"/>
        <v>35244.276713359141</v>
      </c>
      <c r="BU164" s="12">
        <f t="shared" si="304"/>
        <v>41635.385713589902</v>
      </c>
      <c r="BV164" s="12">
        <f t="shared" ref="BV164:DA164" si="305">BU168</f>
        <v>47826.546299264155</v>
      </c>
      <c r="BW164" s="12">
        <f t="shared" si="305"/>
        <v>53770.63999999997</v>
      </c>
      <c r="BX164" s="12">
        <f t="shared" si="305"/>
        <v>59422.428673592847</v>
      </c>
      <c r="BY164" s="12">
        <f t="shared" si="305"/>
        <v>64738.898795593428</v>
      </c>
      <c r="BZ164" s="12">
        <f t="shared" si="305"/>
        <v>69679.588818200864</v>
      </c>
      <c r="CA164" s="12">
        <f t="shared" si="305"/>
        <v>74206.897107072873</v>
      </c>
      <c r="CB164" s="12">
        <f t="shared" si="305"/>
        <v>78286.368112467724</v>
      </c>
      <c r="CC164" s="12">
        <f t="shared" si="305"/>
        <v>81886.954596782394</v>
      </c>
      <c r="CD164" s="12">
        <f t="shared" si="305"/>
        <v>84981.253922777629</v>
      </c>
      <c r="CE164" s="12">
        <f t="shared" si="305"/>
        <v>87545.716604193673</v>
      </c>
      <c r="CF164" s="12">
        <f t="shared" si="305"/>
        <v>89560.825531559996</v>
      </c>
      <c r="CG164" s="12">
        <f t="shared" si="305"/>
        <v>91011.244509183336</v>
      </c>
      <c r="CH164" s="12">
        <f t="shared" si="305"/>
        <v>91885.934972857009</v>
      </c>
      <c r="CI164" s="12">
        <f t="shared" si="305"/>
        <v>92178.239999999962</v>
      </c>
      <c r="CJ164" s="12">
        <f t="shared" si="305"/>
        <v>92178.239999999962</v>
      </c>
      <c r="CK164" s="12">
        <f t="shared" si="305"/>
        <v>92178.239999999962</v>
      </c>
      <c r="CL164" s="12">
        <f t="shared" si="305"/>
        <v>92178.239999999962</v>
      </c>
      <c r="CM164" s="12">
        <f t="shared" si="305"/>
        <v>92178.239999999962</v>
      </c>
      <c r="CN164" s="12">
        <f t="shared" si="305"/>
        <v>92178.239999999962</v>
      </c>
      <c r="CO164" s="12">
        <f t="shared" si="305"/>
        <v>92178.239999999962</v>
      </c>
      <c r="CP164" s="12">
        <f t="shared" si="305"/>
        <v>92178.239999999962</v>
      </c>
      <c r="CQ164" s="12">
        <f t="shared" si="305"/>
        <v>92178.239999999962</v>
      </c>
      <c r="CR164" s="12">
        <f t="shared" si="305"/>
        <v>92178.239999999962</v>
      </c>
      <c r="CS164" s="12">
        <f t="shared" si="305"/>
        <v>92178.239999999962</v>
      </c>
      <c r="CT164" s="12">
        <f t="shared" si="305"/>
        <v>92178.239999999962</v>
      </c>
      <c r="CU164" s="12">
        <f t="shared" si="305"/>
        <v>92178.239999999962</v>
      </c>
      <c r="CV164" s="12">
        <f t="shared" si="305"/>
        <v>92178.239999999962</v>
      </c>
      <c r="CW164" s="12">
        <f t="shared" si="305"/>
        <v>0</v>
      </c>
      <c r="CX164" s="12">
        <f t="shared" si="305"/>
        <v>0</v>
      </c>
      <c r="CY164" s="12">
        <f t="shared" si="305"/>
        <v>0</v>
      </c>
      <c r="CZ164" s="12">
        <f t="shared" si="305"/>
        <v>0</v>
      </c>
      <c r="DA164" s="12">
        <f t="shared" si="305"/>
        <v>0</v>
      </c>
      <c r="DB164" s="12">
        <f t="shared" ref="DB164:EG164" si="306">DA168</f>
        <v>0</v>
      </c>
      <c r="DC164" s="12">
        <f t="shared" si="306"/>
        <v>0</v>
      </c>
      <c r="DD164" s="12">
        <f t="shared" si="306"/>
        <v>0</v>
      </c>
      <c r="DE164" s="12">
        <f t="shared" si="306"/>
        <v>0</v>
      </c>
      <c r="DF164" s="12">
        <f t="shared" si="306"/>
        <v>0</v>
      </c>
      <c r="DG164" s="12">
        <f t="shared" si="306"/>
        <v>0</v>
      </c>
      <c r="DH164" s="12">
        <f t="shared" si="306"/>
        <v>0</v>
      </c>
      <c r="DI164" s="12">
        <f t="shared" si="306"/>
        <v>0</v>
      </c>
      <c r="DJ164" s="12">
        <f t="shared" si="306"/>
        <v>0</v>
      </c>
      <c r="DK164" s="12">
        <f t="shared" si="306"/>
        <v>0</v>
      </c>
      <c r="DL164" s="12">
        <f t="shared" si="306"/>
        <v>0</v>
      </c>
      <c r="DM164" s="12">
        <f t="shared" si="306"/>
        <v>0</v>
      </c>
      <c r="DN164" s="12">
        <f t="shared" si="306"/>
        <v>0</v>
      </c>
      <c r="DO164" s="12">
        <f t="shared" si="306"/>
        <v>0</v>
      </c>
      <c r="DP164" s="12">
        <f t="shared" si="306"/>
        <v>0</v>
      </c>
      <c r="DQ164" s="12">
        <f t="shared" si="306"/>
        <v>0</v>
      </c>
      <c r="DR164" s="12">
        <f t="shared" si="306"/>
        <v>0</v>
      </c>
      <c r="DS164" s="12">
        <f t="shared" si="306"/>
        <v>0</v>
      </c>
      <c r="DT164" s="12">
        <f t="shared" si="306"/>
        <v>0</v>
      </c>
      <c r="DU164" s="12">
        <f t="shared" si="306"/>
        <v>0</v>
      </c>
      <c r="DV164" s="12">
        <f t="shared" si="306"/>
        <v>0</v>
      </c>
      <c r="DW164" s="12">
        <f t="shared" si="306"/>
        <v>0</v>
      </c>
      <c r="DX164" s="12">
        <f t="shared" si="306"/>
        <v>0</v>
      </c>
      <c r="DY164" s="12">
        <f t="shared" si="306"/>
        <v>0</v>
      </c>
      <c r="DZ164" s="12">
        <f t="shared" si="306"/>
        <v>0</v>
      </c>
      <c r="EA164" s="12">
        <f t="shared" si="306"/>
        <v>0</v>
      </c>
      <c r="EB164" s="12">
        <f t="shared" si="306"/>
        <v>0</v>
      </c>
      <c r="EC164" s="12">
        <f t="shared" si="306"/>
        <v>0</v>
      </c>
      <c r="ED164" s="12">
        <f t="shared" si="306"/>
        <v>0</v>
      </c>
      <c r="EE164" s="12">
        <f t="shared" si="306"/>
        <v>0</v>
      </c>
      <c r="EF164" s="12">
        <f t="shared" si="306"/>
        <v>0</v>
      </c>
      <c r="EG164" s="12">
        <f t="shared" si="306"/>
        <v>0</v>
      </c>
      <c r="EH164" s="12">
        <f t="shared" ref="EH164:FH164" si="307">EG168</f>
        <v>0</v>
      </c>
      <c r="EI164" s="12">
        <f t="shared" si="307"/>
        <v>0</v>
      </c>
      <c r="EJ164" s="12">
        <f t="shared" si="307"/>
        <v>0</v>
      </c>
      <c r="EK164" s="12">
        <f t="shared" si="307"/>
        <v>0</v>
      </c>
      <c r="EL164" s="12">
        <f t="shared" si="307"/>
        <v>0</v>
      </c>
      <c r="EM164" s="12">
        <f t="shared" si="307"/>
        <v>0</v>
      </c>
      <c r="EN164" s="12">
        <f t="shared" si="307"/>
        <v>0</v>
      </c>
      <c r="EO164" s="12">
        <f t="shared" si="307"/>
        <v>0</v>
      </c>
      <c r="EP164" s="12">
        <f t="shared" si="307"/>
        <v>0</v>
      </c>
      <c r="EQ164" s="12">
        <f t="shared" si="307"/>
        <v>0</v>
      </c>
      <c r="ER164" s="12">
        <f t="shared" si="307"/>
        <v>0</v>
      </c>
      <c r="ES164" s="12">
        <f t="shared" si="307"/>
        <v>0</v>
      </c>
      <c r="ET164" s="12">
        <f t="shared" si="307"/>
        <v>0</v>
      </c>
      <c r="EU164" s="12">
        <f t="shared" si="307"/>
        <v>0</v>
      </c>
      <c r="EV164" s="12">
        <f t="shared" si="307"/>
        <v>0</v>
      </c>
      <c r="EW164" s="12">
        <f t="shared" si="307"/>
        <v>0</v>
      </c>
      <c r="EX164" s="12">
        <f t="shared" si="307"/>
        <v>0</v>
      </c>
      <c r="EY164" s="12">
        <f t="shared" si="307"/>
        <v>0</v>
      </c>
      <c r="EZ164" s="12">
        <f t="shared" si="307"/>
        <v>0</v>
      </c>
      <c r="FA164" s="12">
        <f t="shared" si="307"/>
        <v>0</v>
      </c>
      <c r="FB164" s="12">
        <f t="shared" si="307"/>
        <v>0</v>
      </c>
      <c r="FC164" s="12">
        <f t="shared" si="307"/>
        <v>0</v>
      </c>
      <c r="FD164" s="12">
        <f t="shared" si="307"/>
        <v>0</v>
      </c>
      <c r="FE164" s="12">
        <f t="shared" si="307"/>
        <v>0</v>
      </c>
      <c r="FF164" s="12">
        <f t="shared" si="307"/>
        <v>0</v>
      </c>
      <c r="FG164" s="12">
        <f t="shared" si="307"/>
        <v>0</v>
      </c>
      <c r="FH164" s="12">
        <f t="shared" si="307"/>
        <v>0</v>
      </c>
    </row>
    <row r="165" spans="1:164" x14ac:dyDescent="0.2">
      <c r="A165" s="10"/>
      <c r="B165" s="10"/>
      <c r="C165" s="10" t="s">
        <v>767</v>
      </c>
      <c r="D165" s="10"/>
      <c r="E165" s="10"/>
      <c r="F165" s="10"/>
      <c r="G165" s="10"/>
      <c r="H165" s="12">
        <f>SUM(I165:FH165)</f>
        <v>92178.239999999962</v>
      </c>
      <c r="I165" s="12">
        <f>MAX(0,I163)</f>
        <v>0</v>
      </c>
      <c r="J165" s="12">
        <f t="shared" ref="J165:AO165" si="308">MAX(0,J163-I163)</f>
        <v>0</v>
      </c>
      <c r="K165" s="12">
        <f t="shared" si="308"/>
        <v>0</v>
      </c>
      <c r="L165" s="12">
        <f t="shared" si="308"/>
        <v>0</v>
      </c>
      <c r="M165" s="12">
        <f t="shared" si="308"/>
        <v>0</v>
      </c>
      <c r="N165" s="12">
        <f t="shared" si="308"/>
        <v>0</v>
      </c>
      <c r="O165" s="12">
        <f t="shared" si="308"/>
        <v>0</v>
      </c>
      <c r="P165" s="12">
        <f t="shared" si="308"/>
        <v>0</v>
      </c>
      <c r="Q165" s="12">
        <f t="shared" si="308"/>
        <v>0</v>
      </c>
      <c r="R165" s="12">
        <f t="shared" si="308"/>
        <v>0</v>
      </c>
      <c r="S165" s="12">
        <f t="shared" si="308"/>
        <v>0</v>
      </c>
      <c r="T165" s="12">
        <f t="shared" si="308"/>
        <v>0</v>
      </c>
      <c r="U165" s="12">
        <f t="shared" si="308"/>
        <v>0</v>
      </c>
      <c r="V165" s="12">
        <f t="shared" si="308"/>
        <v>0</v>
      </c>
      <c r="W165" s="12">
        <f t="shared" si="308"/>
        <v>0</v>
      </c>
      <c r="X165" s="12">
        <f t="shared" si="308"/>
        <v>0</v>
      </c>
      <c r="Y165" s="12">
        <f t="shared" si="308"/>
        <v>0</v>
      </c>
      <c r="Z165" s="12">
        <f t="shared" si="308"/>
        <v>0</v>
      </c>
      <c r="AA165" s="12">
        <f t="shared" si="308"/>
        <v>0</v>
      </c>
      <c r="AB165" s="12">
        <f t="shared" si="308"/>
        <v>0</v>
      </c>
      <c r="AC165" s="12">
        <f t="shared" si="308"/>
        <v>0</v>
      </c>
      <c r="AD165" s="12">
        <f t="shared" si="308"/>
        <v>0</v>
      </c>
      <c r="AE165" s="12">
        <f t="shared" si="308"/>
        <v>0</v>
      </c>
      <c r="AF165" s="12">
        <f t="shared" si="308"/>
        <v>0</v>
      </c>
      <c r="AG165" s="12">
        <f t="shared" si="308"/>
        <v>0</v>
      </c>
      <c r="AH165" s="12">
        <f t="shared" si="308"/>
        <v>0</v>
      </c>
      <c r="AI165" s="12">
        <f t="shared" si="308"/>
        <v>0</v>
      </c>
      <c r="AJ165" s="12">
        <f t="shared" si="308"/>
        <v>0</v>
      </c>
      <c r="AK165" s="12">
        <f t="shared" si="308"/>
        <v>0</v>
      </c>
      <c r="AL165" s="12">
        <f t="shared" si="308"/>
        <v>0</v>
      </c>
      <c r="AM165" s="12">
        <f t="shared" si="308"/>
        <v>0</v>
      </c>
      <c r="AN165" s="12">
        <f t="shared" si="308"/>
        <v>0</v>
      </c>
      <c r="AO165" s="12">
        <f t="shared" si="308"/>
        <v>0</v>
      </c>
      <c r="AP165" s="12">
        <f t="shared" ref="AP165:BU165" si="309">MAX(0,AP163-AO163)</f>
        <v>0</v>
      </c>
      <c r="AQ165" s="12">
        <f t="shared" si="309"/>
        <v>0</v>
      </c>
      <c r="AR165" s="12">
        <f t="shared" si="309"/>
        <v>0</v>
      </c>
      <c r="AS165" s="12">
        <f t="shared" si="309"/>
        <v>0</v>
      </c>
      <c r="AT165" s="12">
        <f t="shared" si="309"/>
        <v>0</v>
      </c>
      <c r="AU165" s="12">
        <f t="shared" si="309"/>
        <v>0</v>
      </c>
      <c r="AV165" s="12">
        <f t="shared" si="309"/>
        <v>0</v>
      </c>
      <c r="AW165" s="12">
        <f t="shared" si="309"/>
        <v>0</v>
      </c>
      <c r="AX165" s="12">
        <f t="shared" si="309"/>
        <v>0</v>
      </c>
      <c r="AY165" s="12">
        <f t="shared" si="309"/>
        <v>0</v>
      </c>
      <c r="AZ165" s="12">
        <f t="shared" si="309"/>
        <v>0</v>
      </c>
      <c r="BA165" s="12">
        <f t="shared" si="309"/>
        <v>0</v>
      </c>
      <c r="BB165" s="12">
        <f t="shared" si="309"/>
        <v>0</v>
      </c>
      <c r="BC165" s="12">
        <f t="shared" si="309"/>
        <v>0</v>
      </c>
      <c r="BD165" s="12">
        <f t="shared" si="309"/>
        <v>0</v>
      </c>
      <c r="BE165" s="12">
        <f t="shared" si="309"/>
        <v>0</v>
      </c>
      <c r="BF165" s="12">
        <f t="shared" si="309"/>
        <v>0</v>
      </c>
      <c r="BG165" s="12">
        <f t="shared" si="309"/>
        <v>0</v>
      </c>
      <c r="BH165" s="12">
        <f t="shared" si="309"/>
        <v>0</v>
      </c>
      <c r="BI165" s="12">
        <f t="shared" si="309"/>
        <v>0</v>
      </c>
      <c r="BJ165" s="12">
        <f t="shared" si="309"/>
        <v>0</v>
      </c>
      <c r="BK165" s="12">
        <f t="shared" si="309"/>
        <v>0</v>
      </c>
      <c r="BL165" s="12">
        <f t="shared" si="309"/>
        <v>0</v>
      </c>
      <c r="BM165" s="12">
        <f t="shared" si="309"/>
        <v>0</v>
      </c>
      <c r="BN165" s="12">
        <f t="shared" si="309"/>
        <v>2024.2205028792087</v>
      </c>
      <c r="BO165" s="12">
        <f t="shared" si="309"/>
        <v>6643.9336868108803</v>
      </c>
      <c r="BP165" s="12">
        <f t="shared" si="309"/>
        <v>6694.8858103099046</v>
      </c>
      <c r="BQ165" s="12">
        <f t="shared" si="309"/>
        <v>6694.8858103099046</v>
      </c>
      <c r="BR165" s="12">
        <f t="shared" si="309"/>
        <v>6643.9336868108803</v>
      </c>
      <c r="BS165" s="12">
        <f t="shared" si="309"/>
        <v>6542.417216238362</v>
      </c>
      <c r="BT165" s="12">
        <f t="shared" si="309"/>
        <v>6391.109000230761</v>
      </c>
      <c r="BU165" s="12">
        <f t="shared" si="309"/>
        <v>6191.1605856742535</v>
      </c>
      <c r="BV165" s="12">
        <f t="shared" ref="BV165:DA165" si="310">MAX(0,BV163-BU163)</f>
        <v>5944.0937007358152</v>
      </c>
      <c r="BW165" s="12">
        <f t="shared" si="310"/>
        <v>5651.7886735928769</v>
      </c>
      <c r="BX165" s="12">
        <f t="shared" si="310"/>
        <v>5316.4701220005809</v>
      </c>
      <c r="BY165" s="12">
        <f t="shared" si="310"/>
        <v>4940.6900226074358</v>
      </c>
      <c r="BZ165" s="12">
        <f t="shared" si="310"/>
        <v>4527.3082888720091</v>
      </c>
      <c r="CA165" s="12">
        <f t="shared" si="310"/>
        <v>4079.4710053948511</v>
      </c>
      <c r="CB165" s="12">
        <f t="shared" si="310"/>
        <v>3600.5864843146701</v>
      </c>
      <c r="CC165" s="12">
        <f t="shared" si="310"/>
        <v>3094.2993259952345</v>
      </c>
      <c r="CD165" s="12">
        <f t="shared" si="310"/>
        <v>2564.4626814160438</v>
      </c>
      <c r="CE165" s="12">
        <f t="shared" si="310"/>
        <v>2015.1089273663238</v>
      </c>
      <c r="CF165" s="12">
        <f t="shared" si="310"/>
        <v>1450.4189776233397</v>
      </c>
      <c r="CG165" s="12">
        <f t="shared" si="310"/>
        <v>874.69046367367264</v>
      </c>
      <c r="CH165" s="12">
        <f t="shared" si="310"/>
        <v>292.30502714295289</v>
      </c>
      <c r="CI165" s="12">
        <f t="shared" si="310"/>
        <v>0</v>
      </c>
      <c r="CJ165" s="12">
        <f t="shared" si="310"/>
        <v>0</v>
      </c>
      <c r="CK165" s="12">
        <f t="shared" si="310"/>
        <v>0</v>
      </c>
      <c r="CL165" s="12">
        <f t="shared" si="310"/>
        <v>0</v>
      </c>
      <c r="CM165" s="12">
        <f t="shared" si="310"/>
        <v>0</v>
      </c>
      <c r="CN165" s="12">
        <f t="shared" si="310"/>
        <v>0</v>
      </c>
      <c r="CO165" s="12">
        <f t="shared" si="310"/>
        <v>0</v>
      </c>
      <c r="CP165" s="12">
        <f t="shared" si="310"/>
        <v>0</v>
      </c>
      <c r="CQ165" s="12">
        <f t="shared" si="310"/>
        <v>0</v>
      </c>
      <c r="CR165" s="12">
        <f t="shared" si="310"/>
        <v>0</v>
      </c>
      <c r="CS165" s="12">
        <f t="shared" si="310"/>
        <v>0</v>
      </c>
      <c r="CT165" s="12">
        <f t="shared" si="310"/>
        <v>0</v>
      </c>
      <c r="CU165" s="12">
        <f t="shared" si="310"/>
        <v>0</v>
      </c>
      <c r="CV165" s="12">
        <f t="shared" si="310"/>
        <v>0</v>
      </c>
      <c r="CW165" s="12">
        <f t="shared" si="310"/>
        <v>0</v>
      </c>
      <c r="CX165" s="12">
        <f t="shared" si="310"/>
        <v>0</v>
      </c>
      <c r="CY165" s="12">
        <f t="shared" si="310"/>
        <v>0</v>
      </c>
      <c r="CZ165" s="12">
        <f t="shared" si="310"/>
        <v>0</v>
      </c>
      <c r="DA165" s="12">
        <f t="shared" si="310"/>
        <v>0</v>
      </c>
      <c r="DB165" s="12">
        <f t="shared" ref="DB165:EG165" si="311">MAX(0,DB163-DA163)</f>
        <v>0</v>
      </c>
      <c r="DC165" s="12">
        <f t="shared" si="311"/>
        <v>0</v>
      </c>
      <c r="DD165" s="12">
        <f t="shared" si="311"/>
        <v>0</v>
      </c>
      <c r="DE165" s="12">
        <f t="shared" si="311"/>
        <v>0</v>
      </c>
      <c r="DF165" s="12">
        <f t="shared" si="311"/>
        <v>0</v>
      </c>
      <c r="DG165" s="12">
        <f t="shared" si="311"/>
        <v>0</v>
      </c>
      <c r="DH165" s="12">
        <f t="shared" si="311"/>
        <v>0</v>
      </c>
      <c r="DI165" s="12">
        <f t="shared" si="311"/>
        <v>0</v>
      </c>
      <c r="DJ165" s="12">
        <f t="shared" si="311"/>
        <v>0</v>
      </c>
      <c r="DK165" s="12">
        <f t="shared" si="311"/>
        <v>0</v>
      </c>
      <c r="DL165" s="12">
        <f t="shared" si="311"/>
        <v>0</v>
      </c>
      <c r="DM165" s="12">
        <f t="shared" si="311"/>
        <v>0</v>
      </c>
      <c r="DN165" s="12">
        <f t="shared" si="311"/>
        <v>0</v>
      </c>
      <c r="DO165" s="12">
        <f t="shared" si="311"/>
        <v>0</v>
      </c>
      <c r="DP165" s="12">
        <f t="shared" si="311"/>
        <v>0</v>
      </c>
      <c r="DQ165" s="12">
        <f t="shared" si="311"/>
        <v>0</v>
      </c>
      <c r="DR165" s="12">
        <f t="shared" si="311"/>
        <v>0</v>
      </c>
      <c r="DS165" s="12">
        <f t="shared" si="311"/>
        <v>0</v>
      </c>
      <c r="DT165" s="12">
        <f t="shared" si="311"/>
        <v>0</v>
      </c>
      <c r="DU165" s="12">
        <f t="shared" si="311"/>
        <v>0</v>
      </c>
      <c r="DV165" s="12">
        <f t="shared" si="311"/>
        <v>0</v>
      </c>
      <c r="DW165" s="12">
        <f t="shared" si="311"/>
        <v>0</v>
      </c>
      <c r="DX165" s="12">
        <f t="shared" si="311"/>
        <v>0</v>
      </c>
      <c r="DY165" s="12">
        <f t="shared" si="311"/>
        <v>0</v>
      </c>
      <c r="DZ165" s="12">
        <f t="shared" si="311"/>
        <v>0</v>
      </c>
      <c r="EA165" s="12">
        <f t="shared" si="311"/>
        <v>0</v>
      </c>
      <c r="EB165" s="12">
        <f t="shared" si="311"/>
        <v>0</v>
      </c>
      <c r="EC165" s="12">
        <f t="shared" si="311"/>
        <v>0</v>
      </c>
      <c r="ED165" s="12">
        <f t="shared" si="311"/>
        <v>0</v>
      </c>
      <c r="EE165" s="12">
        <f t="shared" si="311"/>
        <v>0</v>
      </c>
      <c r="EF165" s="12">
        <f t="shared" si="311"/>
        <v>0</v>
      </c>
      <c r="EG165" s="12">
        <f t="shared" si="311"/>
        <v>0</v>
      </c>
      <c r="EH165" s="12">
        <f t="shared" ref="EH165:FH165" si="312">MAX(0,EH163-EG163)</f>
        <v>0</v>
      </c>
      <c r="EI165" s="12">
        <f t="shared" si="312"/>
        <v>0</v>
      </c>
      <c r="EJ165" s="12">
        <f t="shared" si="312"/>
        <v>0</v>
      </c>
      <c r="EK165" s="12">
        <f t="shared" si="312"/>
        <v>0</v>
      </c>
      <c r="EL165" s="12">
        <f t="shared" si="312"/>
        <v>0</v>
      </c>
      <c r="EM165" s="12">
        <f t="shared" si="312"/>
        <v>0</v>
      </c>
      <c r="EN165" s="12">
        <f t="shared" si="312"/>
        <v>0</v>
      </c>
      <c r="EO165" s="12">
        <f t="shared" si="312"/>
        <v>0</v>
      </c>
      <c r="EP165" s="12">
        <f t="shared" si="312"/>
        <v>0</v>
      </c>
      <c r="EQ165" s="12">
        <f t="shared" si="312"/>
        <v>0</v>
      </c>
      <c r="ER165" s="12">
        <f t="shared" si="312"/>
        <v>0</v>
      </c>
      <c r="ES165" s="12">
        <f t="shared" si="312"/>
        <v>0</v>
      </c>
      <c r="ET165" s="12">
        <f t="shared" si="312"/>
        <v>0</v>
      </c>
      <c r="EU165" s="12">
        <f t="shared" si="312"/>
        <v>0</v>
      </c>
      <c r="EV165" s="12">
        <f t="shared" si="312"/>
        <v>0</v>
      </c>
      <c r="EW165" s="12">
        <f t="shared" si="312"/>
        <v>0</v>
      </c>
      <c r="EX165" s="12">
        <f t="shared" si="312"/>
        <v>0</v>
      </c>
      <c r="EY165" s="12">
        <f t="shared" si="312"/>
        <v>0</v>
      </c>
      <c r="EZ165" s="12">
        <f t="shared" si="312"/>
        <v>0</v>
      </c>
      <c r="FA165" s="12">
        <f t="shared" si="312"/>
        <v>0</v>
      </c>
      <c r="FB165" s="12">
        <f t="shared" si="312"/>
        <v>0</v>
      </c>
      <c r="FC165" s="12">
        <f t="shared" si="312"/>
        <v>0</v>
      </c>
      <c r="FD165" s="12">
        <f t="shared" si="312"/>
        <v>0</v>
      </c>
      <c r="FE165" s="12">
        <f t="shared" si="312"/>
        <v>0</v>
      </c>
      <c r="FF165" s="12">
        <f t="shared" si="312"/>
        <v>0</v>
      </c>
      <c r="FG165" s="12">
        <f t="shared" si="312"/>
        <v>0</v>
      </c>
      <c r="FH165" s="12">
        <f t="shared" si="312"/>
        <v>0</v>
      </c>
    </row>
    <row r="166" spans="1:164" x14ac:dyDescent="0.2">
      <c r="A166" s="10"/>
      <c r="B166" s="10"/>
      <c r="C166" s="10" t="s">
        <v>768</v>
      </c>
      <c r="D166" s="10"/>
      <c r="E166" s="10"/>
      <c r="F166" s="10"/>
      <c r="G166" s="10"/>
      <c r="H166" s="12">
        <f>SUM(I166:FH166)</f>
        <v>-22953.328624893722</v>
      </c>
      <c r="I166" s="12">
        <f t="shared" ref="I166:AN166" si="313">-I164*((1+$E$75)^(1/12)-1)</f>
        <v>0</v>
      </c>
      <c r="J166" s="12">
        <f t="shared" si="313"/>
        <v>0</v>
      </c>
      <c r="K166" s="12">
        <f t="shared" si="313"/>
        <v>0</v>
      </c>
      <c r="L166" s="12">
        <f t="shared" si="313"/>
        <v>0</v>
      </c>
      <c r="M166" s="12">
        <f t="shared" si="313"/>
        <v>0</v>
      </c>
      <c r="N166" s="12">
        <f t="shared" si="313"/>
        <v>0</v>
      </c>
      <c r="O166" s="12">
        <f t="shared" si="313"/>
        <v>0</v>
      </c>
      <c r="P166" s="12">
        <f t="shared" si="313"/>
        <v>0</v>
      </c>
      <c r="Q166" s="12">
        <f t="shared" si="313"/>
        <v>0</v>
      </c>
      <c r="R166" s="12">
        <f t="shared" si="313"/>
        <v>0</v>
      </c>
      <c r="S166" s="12">
        <f t="shared" si="313"/>
        <v>0</v>
      </c>
      <c r="T166" s="12">
        <f t="shared" si="313"/>
        <v>0</v>
      </c>
      <c r="U166" s="12">
        <f t="shared" si="313"/>
        <v>0</v>
      </c>
      <c r="V166" s="12">
        <f t="shared" si="313"/>
        <v>0</v>
      </c>
      <c r="W166" s="12">
        <f t="shared" si="313"/>
        <v>0</v>
      </c>
      <c r="X166" s="12">
        <f t="shared" si="313"/>
        <v>0</v>
      </c>
      <c r="Y166" s="12">
        <f t="shared" si="313"/>
        <v>0</v>
      </c>
      <c r="Z166" s="12">
        <f t="shared" si="313"/>
        <v>0</v>
      </c>
      <c r="AA166" s="12">
        <f t="shared" si="313"/>
        <v>0</v>
      </c>
      <c r="AB166" s="12">
        <f t="shared" si="313"/>
        <v>0</v>
      </c>
      <c r="AC166" s="12">
        <f t="shared" si="313"/>
        <v>0</v>
      </c>
      <c r="AD166" s="12">
        <f t="shared" si="313"/>
        <v>0</v>
      </c>
      <c r="AE166" s="12">
        <f t="shared" si="313"/>
        <v>0</v>
      </c>
      <c r="AF166" s="12">
        <f t="shared" si="313"/>
        <v>0</v>
      </c>
      <c r="AG166" s="12">
        <f t="shared" si="313"/>
        <v>0</v>
      </c>
      <c r="AH166" s="12">
        <f t="shared" si="313"/>
        <v>0</v>
      </c>
      <c r="AI166" s="12">
        <f t="shared" si="313"/>
        <v>0</v>
      </c>
      <c r="AJ166" s="12">
        <f t="shared" si="313"/>
        <v>0</v>
      </c>
      <c r="AK166" s="12">
        <f t="shared" si="313"/>
        <v>0</v>
      </c>
      <c r="AL166" s="12">
        <f t="shared" si="313"/>
        <v>0</v>
      </c>
      <c r="AM166" s="12">
        <f t="shared" si="313"/>
        <v>0</v>
      </c>
      <c r="AN166" s="12">
        <f t="shared" si="313"/>
        <v>0</v>
      </c>
      <c r="AO166" s="12">
        <f t="shared" ref="AO166:BT166" si="314">-AO164*((1+$E$75)^(1/12)-1)</f>
        <v>0</v>
      </c>
      <c r="AP166" s="12">
        <f t="shared" si="314"/>
        <v>0</v>
      </c>
      <c r="AQ166" s="12">
        <f t="shared" si="314"/>
        <v>0</v>
      </c>
      <c r="AR166" s="12">
        <f t="shared" si="314"/>
        <v>0</v>
      </c>
      <c r="AS166" s="12">
        <f t="shared" si="314"/>
        <v>0</v>
      </c>
      <c r="AT166" s="12">
        <f t="shared" si="314"/>
        <v>0</v>
      </c>
      <c r="AU166" s="12">
        <f t="shared" si="314"/>
        <v>0</v>
      </c>
      <c r="AV166" s="12">
        <f t="shared" si="314"/>
        <v>0</v>
      </c>
      <c r="AW166" s="12">
        <f t="shared" si="314"/>
        <v>0</v>
      </c>
      <c r="AX166" s="12">
        <f t="shared" si="314"/>
        <v>0</v>
      </c>
      <c r="AY166" s="12">
        <f t="shared" si="314"/>
        <v>0</v>
      </c>
      <c r="AZ166" s="12">
        <f t="shared" si="314"/>
        <v>0</v>
      </c>
      <c r="BA166" s="12">
        <f t="shared" si="314"/>
        <v>0</v>
      </c>
      <c r="BB166" s="12">
        <f t="shared" si="314"/>
        <v>0</v>
      </c>
      <c r="BC166" s="12">
        <f t="shared" si="314"/>
        <v>0</v>
      </c>
      <c r="BD166" s="12">
        <f t="shared" si="314"/>
        <v>0</v>
      </c>
      <c r="BE166" s="12">
        <f t="shared" si="314"/>
        <v>0</v>
      </c>
      <c r="BF166" s="12">
        <f t="shared" si="314"/>
        <v>0</v>
      </c>
      <c r="BG166" s="12">
        <f t="shared" si="314"/>
        <v>0</v>
      </c>
      <c r="BH166" s="12">
        <f t="shared" si="314"/>
        <v>0</v>
      </c>
      <c r="BI166" s="12">
        <f t="shared" si="314"/>
        <v>0</v>
      </c>
      <c r="BJ166" s="12">
        <f t="shared" si="314"/>
        <v>0</v>
      </c>
      <c r="BK166" s="12">
        <f t="shared" si="314"/>
        <v>0</v>
      </c>
      <c r="BL166" s="12">
        <f t="shared" si="314"/>
        <v>0</v>
      </c>
      <c r="BM166" s="12">
        <f t="shared" si="314"/>
        <v>0</v>
      </c>
      <c r="BN166" s="12">
        <f t="shared" si="314"/>
        <v>0</v>
      </c>
      <c r="BO166" s="12">
        <f t="shared" si="314"/>
        <v>-19.207409205758374</v>
      </c>
      <c r="BP166" s="12">
        <f t="shared" si="314"/>
        <v>-82.250320231007748</v>
      </c>
      <c r="BQ166" s="12">
        <f t="shared" si="314"/>
        <v>-145.77670540571665</v>
      </c>
      <c r="BR166" s="12">
        <f t="shared" si="314"/>
        <v>-209.30309058042556</v>
      </c>
      <c r="BS166" s="12">
        <f t="shared" si="314"/>
        <v>-272.34600160567493</v>
      </c>
      <c r="BT166" s="12">
        <f t="shared" si="314"/>
        <v>-334.42564386221198</v>
      </c>
      <c r="BU166" s="12">
        <f t="shared" ref="BU166:CZ166" si="315">-BU164*((1+$E$75)^(1/12)-1)</f>
        <v>-395.06955378775172</v>
      </c>
      <c r="BV166" s="12">
        <f t="shared" si="315"/>
        <v>-453.8161946099666</v>
      </c>
      <c r="BW166" s="12">
        <f t="shared" si="315"/>
        <v>-510.21846892000821</v>
      </c>
      <c r="BX166" s="12">
        <f t="shared" si="315"/>
        <v>-563.84712135375275</v>
      </c>
      <c r="BY166" s="12">
        <f t="shared" si="315"/>
        <v>-614.29400548431374</v>
      </c>
      <c r="BZ166" s="12">
        <f t="shared" si="315"/>
        <v>-661.1751900627961</v>
      </c>
      <c r="CA166" s="12">
        <f t="shared" si="315"/>
        <v>-704.13388096692415</v>
      </c>
      <c r="CB166" s="12">
        <f t="shared" si="315"/>
        <v>-742.84313661975114</v>
      </c>
      <c r="CC166" s="12">
        <f t="shared" si="315"/>
        <v>-777.00835621247143</v>
      </c>
      <c r="CD166" s="12">
        <f t="shared" si="315"/>
        <v>-806.36952179446007</v>
      </c>
      <c r="CE166" s="12">
        <f t="shared" si="315"/>
        <v>-830.7031771668826</v>
      </c>
      <c r="CF166" s="12">
        <f t="shared" si="315"/>
        <v>-849.82412851929132</v>
      </c>
      <c r="CG166" s="12">
        <f t="shared" si="315"/>
        <v>-863.58685386634886</v>
      </c>
      <c r="CH166" s="12">
        <f t="shared" si="315"/>
        <v>-871.88661055800276</v>
      </c>
      <c r="CI166" s="12">
        <f t="shared" si="315"/>
        <v>-874.66023243429993</v>
      </c>
      <c r="CJ166" s="12">
        <f t="shared" si="315"/>
        <v>-874.66023243429993</v>
      </c>
      <c r="CK166" s="12">
        <f t="shared" si="315"/>
        <v>-874.66023243429993</v>
      </c>
      <c r="CL166" s="12">
        <f t="shared" si="315"/>
        <v>-874.66023243429993</v>
      </c>
      <c r="CM166" s="12">
        <f t="shared" si="315"/>
        <v>-874.66023243429993</v>
      </c>
      <c r="CN166" s="12">
        <f t="shared" si="315"/>
        <v>-874.66023243429993</v>
      </c>
      <c r="CO166" s="12">
        <f t="shared" si="315"/>
        <v>-874.66023243429993</v>
      </c>
      <c r="CP166" s="12">
        <f t="shared" si="315"/>
        <v>-874.66023243429993</v>
      </c>
      <c r="CQ166" s="12">
        <f t="shared" si="315"/>
        <v>-874.66023243429993</v>
      </c>
      <c r="CR166" s="12">
        <f t="shared" si="315"/>
        <v>-874.66023243429993</v>
      </c>
      <c r="CS166" s="12">
        <f t="shared" si="315"/>
        <v>-874.66023243429993</v>
      </c>
      <c r="CT166" s="12">
        <f t="shared" si="315"/>
        <v>-874.66023243429993</v>
      </c>
      <c r="CU166" s="12">
        <f t="shared" si="315"/>
        <v>-874.66023243429993</v>
      </c>
      <c r="CV166" s="12">
        <f t="shared" si="315"/>
        <v>-874.66023243429993</v>
      </c>
      <c r="CW166" s="12">
        <f t="shared" si="315"/>
        <v>0</v>
      </c>
      <c r="CX166" s="12">
        <f t="shared" si="315"/>
        <v>0</v>
      </c>
      <c r="CY166" s="12">
        <f t="shared" si="315"/>
        <v>0</v>
      </c>
      <c r="CZ166" s="12">
        <f t="shared" si="315"/>
        <v>0</v>
      </c>
      <c r="DA166" s="12">
        <f t="shared" ref="DA166:EF166" si="316">-DA164*((1+$E$75)^(1/12)-1)</f>
        <v>0</v>
      </c>
      <c r="DB166" s="12">
        <f t="shared" si="316"/>
        <v>0</v>
      </c>
      <c r="DC166" s="12">
        <f t="shared" si="316"/>
        <v>0</v>
      </c>
      <c r="DD166" s="12">
        <f t="shared" si="316"/>
        <v>0</v>
      </c>
      <c r="DE166" s="12">
        <f t="shared" si="316"/>
        <v>0</v>
      </c>
      <c r="DF166" s="12">
        <f t="shared" si="316"/>
        <v>0</v>
      </c>
      <c r="DG166" s="12">
        <f t="shared" si="316"/>
        <v>0</v>
      </c>
      <c r="DH166" s="12">
        <f t="shared" si="316"/>
        <v>0</v>
      </c>
      <c r="DI166" s="12">
        <f t="shared" si="316"/>
        <v>0</v>
      </c>
      <c r="DJ166" s="12">
        <f t="shared" si="316"/>
        <v>0</v>
      </c>
      <c r="DK166" s="12">
        <f t="shared" si="316"/>
        <v>0</v>
      </c>
      <c r="DL166" s="12">
        <f t="shared" si="316"/>
        <v>0</v>
      </c>
      <c r="DM166" s="12">
        <f t="shared" si="316"/>
        <v>0</v>
      </c>
      <c r="DN166" s="12">
        <f t="shared" si="316"/>
        <v>0</v>
      </c>
      <c r="DO166" s="12">
        <f t="shared" si="316"/>
        <v>0</v>
      </c>
      <c r="DP166" s="12">
        <f t="shared" si="316"/>
        <v>0</v>
      </c>
      <c r="DQ166" s="12">
        <f t="shared" si="316"/>
        <v>0</v>
      </c>
      <c r="DR166" s="12">
        <f t="shared" si="316"/>
        <v>0</v>
      </c>
      <c r="DS166" s="12">
        <f t="shared" si="316"/>
        <v>0</v>
      </c>
      <c r="DT166" s="12">
        <f t="shared" si="316"/>
        <v>0</v>
      </c>
      <c r="DU166" s="12">
        <f t="shared" si="316"/>
        <v>0</v>
      </c>
      <c r="DV166" s="12">
        <f t="shared" si="316"/>
        <v>0</v>
      </c>
      <c r="DW166" s="12">
        <f t="shared" si="316"/>
        <v>0</v>
      </c>
      <c r="DX166" s="12">
        <f t="shared" si="316"/>
        <v>0</v>
      </c>
      <c r="DY166" s="12">
        <f t="shared" si="316"/>
        <v>0</v>
      </c>
      <c r="DZ166" s="12">
        <f t="shared" si="316"/>
        <v>0</v>
      </c>
      <c r="EA166" s="12">
        <f t="shared" si="316"/>
        <v>0</v>
      </c>
      <c r="EB166" s="12">
        <f t="shared" si="316"/>
        <v>0</v>
      </c>
      <c r="EC166" s="12">
        <f t="shared" si="316"/>
        <v>0</v>
      </c>
      <c r="ED166" s="12">
        <f t="shared" si="316"/>
        <v>0</v>
      </c>
      <c r="EE166" s="12">
        <f t="shared" si="316"/>
        <v>0</v>
      </c>
      <c r="EF166" s="12">
        <f t="shared" si="316"/>
        <v>0</v>
      </c>
      <c r="EG166" s="12">
        <f t="shared" ref="EG166:FH166" si="317">-EG164*((1+$E$75)^(1/12)-1)</f>
        <v>0</v>
      </c>
      <c r="EH166" s="12">
        <f t="shared" si="317"/>
        <v>0</v>
      </c>
      <c r="EI166" s="12">
        <f t="shared" si="317"/>
        <v>0</v>
      </c>
      <c r="EJ166" s="12">
        <f t="shared" si="317"/>
        <v>0</v>
      </c>
      <c r="EK166" s="12">
        <f t="shared" si="317"/>
        <v>0</v>
      </c>
      <c r="EL166" s="12">
        <f t="shared" si="317"/>
        <v>0</v>
      </c>
      <c r="EM166" s="12">
        <f t="shared" si="317"/>
        <v>0</v>
      </c>
      <c r="EN166" s="12">
        <f t="shared" si="317"/>
        <v>0</v>
      </c>
      <c r="EO166" s="12">
        <f t="shared" si="317"/>
        <v>0</v>
      </c>
      <c r="EP166" s="12">
        <f t="shared" si="317"/>
        <v>0</v>
      </c>
      <c r="EQ166" s="12">
        <f t="shared" si="317"/>
        <v>0</v>
      </c>
      <c r="ER166" s="12">
        <f t="shared" si="317"/>
        <v>0</v>
      </c>
      <c r="ES166" s="12">
        <f t="shared" si="317"/>
        <v>0</v>
      </c>
      <c r="ET166" s="12">
        <f t="shared" si="317"/>
        <v>0</v>
      </c>
      <c r="EU166" s="12">
        <f t="shared" si="317"/>
        <v>0</v>
      </c>
      <c r="EV166" s="12">
        <f t="shared" si="317"/>
        <v>0</v>
      </c>
      <c r="EW166" s="12">
        <f t="shared" si="317"/>
        <v>0</v>
      </c>
      <c r="EX166" s="12">
        <f t="shared" si="317"/>
        <v>0</v>
      </c>
      <c r="EY166" s="12">
        <f t="shared" si="317"/>
        <v>0</v>
      </c>
      <c r="EZ166" s="12">
        <f t="shared" si="317"/>
        <v>0</v>
      </c>
      <c r="FA166" s="12">
        <f t="shared" si="317"/>
        <v>0</v>
      </c>
      <c r="FB166" s="12">
        <f t="shared" si="317"/>
        <v>0</v>
      </c>
      <c r="FC166" s="12">
        <f t="shared" si="317"/>
        <v>0</v>
      </c>
      <c r="FD166" s="12">
        <f t="shared" si="317"/>
        <v>0</v>
      </c>
      <c r="FE166" s="12">
        <f t="shared" si="317"/>
        <v>0</v>
      </c>
      <c r="FF166" s="12">
        <f t="shared" si="317"/>
        <v>0</v>
      </c>
      <c r="FG166" s="12">
        <f t="shared" si="317"/>
        <v>0</v>
      </c>
      <c r="FH166" s="12">
        <f t="shared" si="317"/>
        <v>0</v>
      </c>
    </row>
    <row r="167" spans="1:164" x14ac:dyDescent="0.2">
      <c r="A167" s="10"/>
      <c r="B167" s="10"/>
      <c r="C167" s="10" t="s">
        <v>338</v>
      </c>
      <c r="D167" s="10"/>
      <c r="E167" s="10"/>
      <c r="F167" s="10"/>
      <c r="G167" s="10"/>
      <c r="H167" s="12">
        <f>SUM(I167:FH167)</f>
        <v>-92178.239999999962</v>
      </c>
      <c r="I167" s="12">
        <f t="shared" ref="I167:AN167" si="318">IF(I$6=$E$76,-(I164+I165),0)</f>
        <v>0</v>
      </c>
      <c r="J167" s="12">
        <f t="shared" si="318"/>
        <v>0</v>
      </c>
      <c r="K167" s="12">
        <f t="shared" si="318"/>
        <v>0</v>
      </c>
      <c r="L167" s="12">
        <f t="shared" si="318"/>
        <v>0</v>
      </c>
      <c r="M167" s="12">
        <f t="shared" si="318"/>
        <v>0</v>
      </c>
      <c r="N167" s="12">
        <f t="shared" si="318"/>
        <v>0</v>
      </c>
      <c r="O167" s="12">
        <f t="shared" si="318"/>
        <v>0</v>
      </c>
      <c r="P167" s="12">
        <f t="shared" si="318"/>
        <v>0</v>
      </c>
      <c r="Q167" s="12">
        <f t="shared" si="318"/>
        <v>0</v>
      </c>
      <c r="R167" s="12">
        <f t="shared" si="318"/>
        <v>0</v>
      </c>
      <c r="S167" s="12">
        <f t="shared" si="318"/>
        <v>0</v>
      </c>
      <c r="T167" s="12">
        <f t="shared" si="318"/>
        <v>0</v>
      </c>
      <c r="U167" s="12">
        <f t="shared" si="318"/>
        <v>0</v>
      </c>
      <c r="V167" s="12">
        <f t="shared" si="318"/>
        <v>0</v>
      </c>
      <c r="W167" s="12">
        <f t="shared" si="318"/>
        <v>0</v>
      </c>
      <c r="X167" s="12">
        <f t="shared" si="318"/>
        <v>0</v>
      </c>
      <c r="Y167" s="12">
        <f t="shared" si="318"/>
        <v>0</v>
      </c>
      <c r="Z167" s="12">
        <f t="shared" si="318"/>
        <v>0</v>
      </c>
      <c r="AA167" s="12">
        <f t="shared" si="318"/>
        <v>0</v>
      </c>
      <c r="AB167" s="12">
        <f t="shared" si="318"/>
        <v>0</v>
      </c>
      <c r="AC167" s="12">
        <f t="shared" si="318"/>
        <v>0</v>
      </c>
      <c r="AD167" s="12">
        <f t="shared" si="318"/>
        <v>0</v>
      </c>
      <c r="AE167" s="12">
        <f t="shared" si="318"/>
        <v>0</v>
      </c>
      <c r="AF167" s="12">
        <f t="shared" si="318"/>
        <v>0</v>
      </c>
      <c r="AG167" s="12">
        <f t="shared" si="318"/>
        <v>0</v>
      </c>
      <c r="AH167" s="12">
        <f t="shared" si="318"/>
        <v>0</v>
      </c>
      <c r="AI167" s="12">
        <f t="shared" si="318"/>
        <v>0</v>
      </c>
      <c r="AJ167" s="12">
        <f t="shared" si="318"/>
        <v>0</v>
      </c>
      <c r="AK167" s="12">
        <f t="shared" si="318"/>
        <v>0</v>
      </c>
      <c r="AL167" s="12">
        <f t="shared" si="318"/>
        <v>0</v>
      </c>
      <c r="AM167" s="12">
        <f t="shared" si="318"/>
        <v>0</v>
      </c>
      <c r="AN167" s="12">
        <f t="shared" si="318"/>
        <v>0</v>
      </c>
      <c r="AO167" s="12">
        <f t="shared" ref="AO167:BT167" si="319">IF(AO$6=$E$76,-(AO164+AO165),0)</f>
        <v>0</v>
      </c>
      <c r="AP167" s="12">
        <f t="shared" si="319"/>
        <v>0</v>
      </c>
      <c r="AQ167" s="12">
        <f t="shared" si="319"/>
        <v>0</v>
      </c>
      <c r="AR167" s="12">
        <f t="shared" si="319"/>
        <v>0</v>
      </c>
      <c r="AS167" s="12">
        <f t="shared" si="319"/>
        <v>0</v>
      </c>
      <c r="AT167" s="12">
        <f t="shared" si="319"/>
        <v>0</v>
      </c>
      <c r="AU167" s="12">
        <f t="shared" si="319"/>
        <v>0</v>
      </c>
      <c r="AV167" s="12">
        <f t="shared" si="319"/>
        <v>0</v>
      </c>
      <c r="AW167" s="12">
        <f t="shared" si="319"/>
        <v>0</v>
      </c>
      <c r="AX167" s="12">
        <f t="shared" si="319"/>
        <v>0</v>
      </c>
      <c r="AY167" s="12">
        <f t="shared" si="319"/>
        <v>0</v>
      </c>
      <c r="AZ167" s="12">
        <f t="shared" si="319"/>
        <v>0</v>
      </c>
      <c r="BA167" s="12">
        <f t="shared" si="319"/>
        <v>0</v>
      </c>
      <c r="BB167" s="12">
        <f t="shared" si="319"/>
        <v>0</v>
      </c>
      <c r="BC167" s="12">
        <f t="shared" si="319"/>
        <v>0</v>
      </c>
      <c r="BD167" s="12">
        <f t="shared" si="319"/>
        <v>0</v>
      </c>
      <c r="BE167" s="12">
        <f t="shared" si="319"/>
        <v>0</v>
      </c>
      <c r="BF167" s="12">
        <f t="shared" si="319"/>
        <v>0</v>
      </c>
      <c r="BG167" s="12">
        <f t="shared" si="319"/>
        <v>0</v>
      </c>
      <c r="BH167" s="12">
        <f t="shared" si="319"/>
        <v>0</v>
      </c>
      <c r="BI167" s="12">
        <f t="shared" si="319"/>
        <v>0</v>
      </c>
      <c r="BJ167" s="12">
        <f t="shared" si="319"/>
        <v>0</v>
      </c>
      <c r="BK167" s="12">
        <f t="shared" si="319"/>
        <v>0</v>
      </c>
      <c r="BL167" s="12">
        <f t="shared" si="319"/>
        <v>0</v>
      </c>
      <c r="BM167" s="12">
        <f t="shared" si="319"/>
        <v>0</v>
      </c>
      <c r="BN167" s="12">
        <f t="shared" si="319"/>
        <v>0</v>
      </c>
      <c r="BO167" s="12">
        <f t="shared" si="319"/>
        <v>0</v>
      </c>
      <c r="BP167" s="12">
        <f t="shared" si="319"/>
        <v>0</v>
      </c>
      <c r="BQ167" s="12">
        <f t="shared" si="319"/>
        <v>0</v>
      </c>
      <c r="BR167" s="12">
        <f t="shared" si="319"/>
        <v>0</v>
      </c>
      <c r="BS167" s="12">
        <f t="shared" si="319"/>
        <v>0</v>
      </c>
      <c r="BT167" s="12">
        <f t="shared" si="319"/>
        <v>0</v>
      </c>
      <c r="BU167" s="12">
        <f t="shared" ref="BU167:CZ167" si="320">IF(BU$6=$E$76,-(BU164+BU165),0)</f>
        <v>0</v>
      </c>
      <c r="BV167" s="12">
        <f t="shared" si="320"/>
        <v>0</v>
      </c>
      <c r="BW167" s="12">
        <f t="shared" si="320"/>
        <v>0</v>
      </c>
      <c r="BX167" s="12">
        <f t="shared" si="320"/>
        <v>0</v>
      </c>
      <c r="BY167" s="12">
        <f t="shared" si="320"/>
        <v>0</v>
      </c>
      <c r="BZ167" s="12">
        <f t="shared" si="320"/>
        <v>0</v>
      </c>
      <c r="CA167" s="12">
        <f t="shared" si="320"/>
        <v>0</v>
      </c>
      <c r="CB167" s="12">
        <f t="shared" si="320"/>
        <v>0</v>
      </c>
      <c r="CC167" s="12">
        <f t="shared" si="320"/>
        <v>0</v>
      </c>
      <c r="CD167" s="12">
        <f t="shared" si="320"/>
        <v>0</v>
      </c>
      <c r="CE167" s="12">
        <f t="shared" si="320"/>
        <v>0</v>
      </c>
      <c r="CF167" s="12">
        <f t="shared" si="320"/>
        <v>0</v>
      </c>
      <c r="CG167" s="12">
        <f t="shared" si="320"/>
        <v>0</v>
      </c>
      <c r="CH167" s="12">
        <f t="shared" si="320"/>
        <v>0</v>
      </c>
      <c r="CI167" s="12">
        <f t="shared" si="320"/>
        <v>0</v>
      </c>
      <c r="CJ167" s="12">
        <f t="shared" si="320"/>
        <v>0</v>
      </c>
      <c r="CK167" s="12">
        <f t="shared" si="320"/>
        <v>0</v>
      </c>
      <c r="CL167" s="12">
        <f t="shared" si="320"/>
        <v>0</v>
      </c>
      <c r="CM167" s="12">
        <f t="shared" si="320"/>
        <v>0</v>
      </c>
      <c r="CN167" s="12">
        <f t="shared" si="320"/>
        <v>0</v>
      </c>
      <c r="CO167" s="12">
        <f t="shared" si="320"/>
        <v>0</v>
      </c>
      <c r="CP167" s="12">
        <f t="shared" si="320"/>
        <v>0</v>
      </c>
      <c r="CQ167" s="12">
        <f t="shared" si="320"/>
        <v>0</v>
      </c>
      <c r="CR167" s="12">
        <f t="shared" si="320"/>
        <v>0</v>
      </c>
      <c r="CS167" s="12">
        <f t="shared" si="320"/>
        <v>0</v>
      </c>
      <c r="CT167" s="12">
        <f t="shared" si="320"/>
        <v>0</v>
      </c>
      <c r="CU167" s="12">
        <f t="shared" si="320"/>
        <v>0</v>
      </c>
      <c r="CV167" s="12">
        <f t="shared" si="320"/>
        <v>-92178.239999999962</v>
      </c>
      <c r="CW167" s="12">
        <f t="shared" si="320"/>
        <v>0</v>
      </c>
      <c r="CX167" s="12">
        <f t="shared" si="320"/>
        <v>0</v>
      </c>
      <c r="CY167" s="12">
        <f t="shared" si="320"/>
        <v>0</v>
      </c>
      <c r="CZ167" s="12">
        <f t="shared" si="320"/>
        <v>0</v>
      </c>
      <c r="DA167" s="12">
        <f t="shared" ref="DA167:EF167" si="321">IF(DA$6=$E$76,-(DA164+DA165),0)</f>
        <v>0</v>
      </c>
      <c r="DB167" s="12">
        <f t="shared" si="321"/>
        <v>0</v>
      </c>
      <c r="DC167" s="12">
        <f t="shared" si="321"/>
        <v>0</v>
      </c>
      <c r="DD167" s="12">
        <f t="shared" si="321"/>
        <v>0</v>
      </c>
      <c r="DE167" s="12">
        <f t="shared" si="321"/>
        <v>0</v>
      </c>
      <c r="DF167" s="12">
        <f t="shared" si="321"/>
        <v>0</v>
      </c>
      <c r="DG167" s="12">
        <f t="shared" si="321"/>
        <v>0</v>
      </c>
      <c r="DH167" s="12">
        <f t="shared" si="321"/>
        <v>0</v>
      </c>
      <c r="DI167" s="12">
        <f t="shared" si="321"/>
        <v>0</v>
      </c>
      <c r="DJ167" s="12">
        <f t="shared" si="321"/>
        <v>0</v>
      </c>
      <c r="DK167" s="12">
        <f t="shared" si="321"/>
        <v>0</v>
      </c>
      <c r="DL167" s="12">
        <f t="shared" si="321"/>
        <v>0</v>
      </c>
      <c r="DM167" s="12">
        <f t="shared" si="321"/>
        <v>0</v>
      </c>
      <c r="DN167" s="12">
        <f t="shared" si="321"/>
        <v>0</v>
      </c>
      <c r="DO167" s="12">
        <f t="shared" si="321"/>
        <v>0</v>
      </c>
      <c r="DP167" s="12">
        <f t="shared" si="321"/>
        <v>0</v>
      </c>
      <c r="DQ167" s="12">
        <f t="shared" si="321"/>
        <v>0</v>
      </c>
      <c r="DR167" s="12">
        <f t="shared" si="321"/>
        <v>0</v>
      </c>
      <c r="DS167" s="12">
        <f t="shared" si="321"/>
        <v>0</v>
      </c>
      <c r="DT167" s="12">
        <f t="shared" si="321"/>
        <v>0</v>
      </c>
      <c r="DU167" s="12">
        <f t="shared" si="321"/>
        <v>0</v>
      </c>
      <c r="DV167" s="12">
        <f t="shared" si="321"/>
        <v>0</v>
      </c>
      <c r="DW167" s="12">
        <f t="shared" si="321"/>
        <v>0</v>
      </c>
      <c r="DX167" s="12">
        <f t="shared" si="321"/>
        <v>0</v>
      </c>
      <c r="DY167" s="12">
        <f t="shared" si="321"/>
        <v>0</v>
      </c>
      <c r="DZ167" s="12">
        <f t="shared" si="321"/>
        <v>0</v>
      </c>
      <c r="EA167" s="12">
        <f t="shared" si="321"/>
        <v>0</v>
      </c>
      <c r="EB167" s="12">
        <f t="shared" si="321"/>
        <v>0</v>
      </c>
      <c r="EC167" s="12">
        <f t="shared" si="321"/>
        <v>0</v>
      </c>
      <c r="ED167" s="12">
        <f t="shared" si="321"/>
        <v>0</v>
      </c>
      <c r="EE167" s="12">
        <f t="shared" si="321"/>
        <v>0</v>
      </c>
      <c r="EF167" s="12">
        <f t="shared" si="321"/>
        <v>0</v>
      </c>
      <c r="EG167" s="12">
        <f t="shared" ref="EG167:FH167" si="322">IF(EG$6=$E$76,-(EG164+EG165),0)</f>
        <v>0</v>
      </c>
      <c r="EH167" s="12">
        <f t="shared" si="322"/>
        <v>0</v>
      </c>
      <c r="EI167" s="12">
        <f t="shared" si="322"/>
        <v>0</v>
      </c>
      <c r="EJ167" s="12">
        <f t="shared" si="322"/>
        <v>0</v>
      </c>
      <c r="EK167" s="12">
        <f t="shared" si="322"/>
        <v>0</v>
      </c>
      <c r="EL167" s="12">
        <f t="shared" si="322"/>
        <v>0</v>
      </c>
      <c r="EM167" s="12">
        <f t="shared" si="322"/>
        <v>0</v>
      </c>
      <c r="EN167" s="12">
        <f t="shared" si="322"/>
        <v>0</v>
      </c>
      <c r="EO167" s="12">
        <f t="shared" si="322"/>
        <v>0</v>
      </c>
      <c r="EP167" s="12">
        <f t="shared" si="322"/>
        <v>0</v>
      </c>
      <c r="EQ167" s="12">
        <f t="shared" si="322"/>
        <v>0</v>
      </c>
      <c r="ER167" s="12">
        <f t="shared" si="322"/>
        <v>0</v>
      </c>
      <c r="ES167" s="12">
        <f t="shared" si="322"/>
        <v>0</v>
      </c>
      <c r="ET167" s="12">
        <f t="shared" si="322"/>
        <v>0</v>
      </c>
      <c r="EU167" s="12">
        <f t="shared" si="322"/>
        <v>0</v>
      </c>
      <c r="EV167" s="12">
        <f t="shared" si="322"/>
        <v>0</v>
      </c>
      <c r="EW167" s="12">
        <f t="shared" si="322"/>
        <v>0</v>
      </c>
      <c r="EX167" s="12">
        <f t="shared" si="322"/>
        <v>0</v>
      </c>
      <c r="EY167" s="12">
        <f t="shared" si="322"/>
        <v>0</v>
      </c>
      <c r="EZ167" s="12">
        <f t="shared" si="322"/>
        <v>0</v>
      </c>
      <c r="FA167" s="12">
        <f t="shared" si="322"/>
        <v>0</v>
      </c>
      <c r="FB167" s="12">
        <f t="shared" si="322"/>
        <v>0</v>
      </c>
      <c r="FC167" s="12">
        <f t="shared" si="322"/>
        <v>0</v>
      </c>
      <c r="FD167" s="12">
        <f t="shared" si="322"/>
        <v>0</v>
      </c>
      <c r="FE167" s="12">
        <f t="shared" si="322"/>
        <v>0</v>
      </c>
      <c r="FF167" s="12">
        <f t="shared" si="322"/>
        <v>0</v>
      </c>
      <c r="FG167" s="12">
        <f t="shared" si="322"/>
        <v>0</v>
      </c>
      <c r="FH167" s="12">
        <f t="shared" si="322"/>
        <v>0</v>
      </c>
    </row>
    <row r="168" spans="1:164" x14ac:dyDescent="0.2">
      <c r="A168" s="10"/>
      <c r="B168" s="10"/>
      <c r="C168" s="10" t="s">
        <v>769</v>
      </c>
      <c r="D168" s="10"/>
      <c r="E168" s="10"/>
      <c r="F168" s="10"/>
      <c r="G168" s="10"/>
      <c r="H168" s="12"/>
      <c r="I168" s="12">
        <f t="shared" ref="I168:AN168" si="323">I164+I165+I167</f>
        <v>0</v>
      </c>
      <c r="J168" s="12">
        <f t="shared" si="323"/>
        <v>0</v>
      </c>
      <c r="K168" s="12">
        <f t="shared" si="323"/>
        <v>0</v>
      </c>
      <c r="L168" s="12">
        <f t="shared" si="323"/>
        <v>0</v>
      </c>
      <c r="M168" s="12">
        <f t="shared" si="323"/>
        <v>0</v>
      </c>
      <c r="N168" s="12">
        <f t="shared" si="323"/>
        <v>0</v>
      </c>
      <c r="O168" s="12">
        <f t="shared" si="323"/>
        <v>0</v>
      </c>
      <c r="P168" s="12">
        <f t="shared" si="323"/>
        <v>0</v>
      </c>
      <c r="Q168" s="12">
        <f t="shared" si="323"/>
        <v>0</v>
      </c>
      <c r="R168" s="12">
        <f t="shared" si="323"/>
        <v>0</v>
      </c>
      <c r="S168" s="12">
        <f t="shared" si="323"/>
        <v>0</v>
      </c>
      <c r="T168" s="12">
        <f t="shared" si="323"/>
        <v>0</v>
      </c>
      <c r="U168" s="12">
        <f t="shared" si="323"/>
        <v>0</v>
      </c>
      <c r="V168" s="12">
        <f t="shared" si="323"/>
        <v>0</v>
      </c>
      <c r="W168" s="12">
        <f t="shared" si="323"/>
        <v>0</v>
      </c>
      <c r="X168" s="12">
        <f t="shared" si="323"/>
        <v>0</v>
      </c>
      <c r="Y168" s="12">
        <f t="shared" si="323"/>
        <v>0</v>
      </c>
      <c r="Z168" s="12">
        <f t="shared" si="323"/>
        <v>0</v>
      </c>
      <c r="AA168" s="12">
        <f t="shared" si="323"/>
        <v>0</v>
      </c>
      <c r="AB168" s="12">
        <f t="shared" si="323"/>
        <v>0</v>
      </c>
      <c r="AC168" s="12">
        <f t="shared" si="323"/>
        <v>0</v>
      </c>
      <c r="AD168" s="12">
        <f t="shared" si="323"/>
        <v>0</v>
      </c>
      <c r="AE168" s="12">
        <f t="shared" si="323"/>
        <v>0</v>
      </c>
      <c r="AF168" s="12">
        <f t="shared" si="323"/>
        <v>0</v>
      </c>
      <c r="AG168" s="12">
        <f t="shared" si="323"/>
        <v>0</v>
      </c>
      <c r="AH168" s="12">
        <f t="shared" si="323"/>
        <v>0</v>
      </c>
      <c r="AI168" s="12">
        <f t="shared" si="323"/>
        <v>0</v>
      </c>
      <c r="AJ168" s="12">
        <f t="shared" si="323"/>
        <v>0</v>
      </c>
      <c r="AK168" s="12">
        <f t="shared" si="323"/>
        <v>0</v>
      </c>
      <c r="AL168" s="12">
        <f t="shared" si="323"/>
        <v>0</v>
      </c>
      <c r="AM168" s="12">
        <f t="shared" si="323"/>
        <v>0</v>
      </c>
      <c r="AN168" s="12">
        <f t="shared" si="323"/>
        <v>0</v>
      </c>
      <c r="AO168" s="12">
        <f t="shared" ref="AO168:BT168" si="324">AO164+AO165+AO167</f>
        <v>0</v>
      </c>
      <c r="AP168" s="12">
        <f t="shared" si="324"/>
        <v>0</v>
      </c>
      <c r="AQ168" s="12">
        <f t="shared" si="324"/>
        <v>0</v>
      </c>
      <c r="AR168" s="12">
        <f t="shared" si="324"/>
        <v>0</v>
      </c>
      <c r="AS168" s="12">
        <f t="shared" si="324"/>
        <v>0</v>
      </c>
      <c r="AT168" s="12">
        <f t="shared" si="324"/>
        <v>0</v>
      </c>
      <c r="AU168" s="12">
        <f t="shared" si="324"/>
        <v>0</v>
      </c>
      <c r="AV168" s="12">
        <f t="shared" si="324"/>
        <v>0</v>
      </c>
      <c r="AW168" s="12">
        <f t="shared" si="324"/>
        <v>0</v>
      </c>
      <c r="AX168" s="12">
        <f t="shared" si="324"/>
        <v>0</v>
      </c>
      <c r="AY168" s="12">
        <f t="shared" si="324"/>
        <v>0</v>
      </c>
      <c r="AZ168" s="12">
        <f t="shared" si="324"/>
        <v>0</v>
      </c>
      <c r="BA168" s="12">
        <f t="shared" si="324"/>
        <v>0</v>
      </c>
      <c r="BB168" s="12">
        <f t="shared" si="324"/>
        <v>0</v>
      </c>
      <c r="BC168" s="12">
        <f t="shared" si="324"/>
        <v>0</v>
      </c>
      <c r="BD168" s="12">
        <f t="shared" si="324"/>
        <v>0</v>
      </c>
      <c r="BE168" s="12">
        <f t="shared" si="324"/>
        <v>0</v>
      </c>
      <c r="BF168" s="12">
        <f t="shared" si="324"/>
        <v>0</v>
      </c>
      <c r="BG168" s="12">
        <f t="shared" si="324"/>
        <v>0</v>
      </c>
      <c r="BH168" s="12">
        <f t="shared" si="324"/>
        <v>0</v>
      </c>
      <c r="BI168" s="12">
        <f t="shared" si="324"/>
        <v>0</v>
      </c>
      <c r="BJ168" s="12">
        <f t="shared" si="324"/>
        <v>0</v>
      </c>
      <c r="BK168" s="12">
        <f t="shared" si="324"/>
        <v>0</v>
      </c>
      <c r="BL168" s="12">
        <f t="shared" si="324"/>
        <v>0</v>
      </c>
      <c r="BM168" s="12">
        <f t="shared" si="324"/>
        <v>0</v>
      </c>
      <c r="BN168" s="12">
        <f t="shared" si="324"/>
        <v>2024.2205028792087</v>
      </c>
      <c r="BO168" s="12">
        <f t="shared" si="324"/>
        <v>8668.154189690089</v>
      </c>
      <c r="BP168" s="12">
        <f t="shared" si="324"/>
        <v>15363.039999999994</v>
      </c>
      <c r="BQ168" s="12">
        <f t="shared" si="324"/>
        <v>22057.925810309898</v>
      </c>
      <c r="BR168" s="12">
        <f t="shared" si="324"/>
        <v>28701.859497120779</v>
      </c>
      <c r="BS168" s="12">
        <f t="shared" si="324"/>
        <v>35244.276713359141</v>
      </c>
      <c r="BT168" s="12">
        <f t="shared" si="324"/>
        <v>41635.385713589902</v>
      </c>
      <c r="BU168" s="12">
        <f t="shared" ref="BU168:CZ168" si="325">BU164+BU165+BU167</f>
        <v>47826.546299264155</v>
      </c>
      <c r="BV168" s="12">
        <f t="shared" si="325"/>
        <v>53770.63999999997</v>
      </c>
      <c r="BW168" s="12">
        <f t="shared" si="325"/>
        <v>59422.428673592847</v>
      </c>
      <c r="BX168" s="12">
        <f t="shared" si="325"/>
        <v>64738.898795593428</v>
      </c>
      <c r="BY168" s="12">
        <f t="shared" si="325"/>
        <v>69679.588818200864</v>
      </c>
      <c r="BZ168" s="12">
        <f t="shared" si="325"/>
        <v>74206.897107072873</v>
      </c>
      <c r="CA168" s="12">
        <f t="shared" si="325"/>
        <v>78286.368112467724</v>
      </c>
      <c r="CB168" s="12">
        <f t="shared" si="325"/>
        <v>81886.954596782394</v>
      </c>
      <c r="CC168" s="12">
        <f t="shared" si="325"/>
        <v>84981.253922777629</v>
      </c>
      <c r="CD168" s="12">
        <f t="shared" si="325"/>
        <v>87545.716604193673</v>
      </c>
      <c r="CE168" s="12">
        <f t="shared" si="325"/>
        <v>89560.825531559996</v>
      </c>
      <c r="CF168" s="12">
        <f t="shared" si="325"/>
        <v>91011.244509183336</v>
      </c>
      <c r="CG168" s="12">
        <f t="shared" si="325"/>
        <v>91885.934972857009</v>
      </c>
      <c r="CH168" s="12">
        <f t="shared" si="325"/>
        <v>92178.239999999962</v>
      </c>
      <c r="CI168" s="12">
        <f t="shared" si="325"/>
        <v>92178.239999999962</v>
      </c>
      <c r="CJ168" s="12">
        <f t="shared" si="325"/>
        <v>92178.239999999962</v>
      </c>
      <c r="CK168" s="12">
        <f t="shared" si="325"/>
        <v>92178.239999999962</v>
      </c>
      <c r="CL168" s="12">
        <f t="shared" si="325"/>
        <v>92178.239999999962</v>
      </c>
      <c r="CM168" s="12">
        <f t="shared" si="325"/>
        <v>92178.239999999962</v>
      </c>
      <c r="CN168" s="12">
        <f t="shared" si="325"/>
        <v>92178.239999999962</v>
      </c>
      <c r="CO168" s="12">
        <f t="shared" si="325"/>
        <v>92178.239999999962</v>
      </c>
      <c r="CP168" s="12">
        <f t="shared" si="325"/>
        <v>92178.239999999962</v>
      </c>
      <c r="CQ168" s="12">
        <f t="shared" si="325"/>
        <v>92178.239999999962</v>
      </c>
      <c r="CR168" s="12">
        <f t="shared" si="325"/>
        <v>92178.239999999962</v>
      </c>
      <c r="CS168" s="12">
        <f t="shared" si="325"/>
        <v>92178.239999999962</v>
      </c>
      <c r="CT168" s="12">
        <f t="shared" si="325"/>
        <v>92178.239999999962</v>
      </c>
      <c r="CU168" s="12">
        <f t="shared" si="325"/>
        <v>92178.239999999962</v>
      </c>
      <c r="CV168" s="12">
        <f t="shared" si="325"/>
        <v>0</v>
      </c>
      <c r="CW168" s="12">
        <f t="shared" si="325"/>
        <v>0</v>
      </c>
      <c r="CX168" s="12">
        <f t="shared" si="325"/>
        <v>0</v>
      </c>
      <c r="CY168" s="12">
        <f t="shared" si="325"/>
        <v>0</v>
      </c>
      <c r="CZ168" s="12">
        <f t="shared" si="325"/>
        <v>0</v>
      </c>
      <c r="DA168" s="12">
        <f t="shared" ref="DA168:EF168" si="326">DA164+DA165+DA167</f>
        <v>0</v>
      </c>
      <c r="DB168" s="12">
        <f t="shared" si="326"/>
        <v>0</v>
      </c>
      <c r="DC168" s="12">
        <f t="shared" si="326"/>
        <v>0</v>
      </c>
      <c r="DD168" s="12">
        <f t="shared" si="326"/>
        <v>0</v>
      </c>
      <c r="DE168" s="12">
        <f t="shared" si="326"/>
        <v>0</v>
      </c>
      <c r="DF168" s="12">
        <f t="shared" si="326"/>
        <v>0</v>
      </c>
      <c r="DG168" s="12">
        <f t="shared" si="326"/>
        <v>0</v>
      </c>
      <c r="DH168" s="12">
        <f t="shared" si="326"/>
        <v>0</v>
      </c>
      <c r="DI168" s="12">
        <f t="shared" si="326"/>
        <v>0</v>
      </c>
      <c r="DJ168" s="12">
        <f t="shared" si="326"/>
        <v>0</v>
      </c>
      <c r="DK168" s="12">
        <f t="shared" si="326"/>
        <v>0</v>
      </c>
      <c r="DL168" s="12">
        <f t="shared" si="326"/>
        <v>0</v>
      </c>
      <c r="DM168" s="12">
        <f t="shared" si="326"/>
        <v>0</v>
      </c>
      <c r="DN168" s="12">
        <f t="shared" si="326"/>
        <v>0</v>
      </c>
      <c r="DO168" s="12">
        <f t="shared" si="326"/>
        <v>0</v>
      </c>
      <c r="DP168" s="12">
        <f t="shared" si="326"/>
        <v>0</v>
      </c>
      <c r="DQ168" s="12">
        <f t="shared" si="326"/>
        <v>0</v>
      </c>
      <c r="DR168" s="12">
        <f t="shared" si="326"/>
        <v>0</v>
      </c>
      <c r="DS168" s="12">
        <f t="shared" si="326"/>
        <v>0</v>
      </c>
      <c r="DT168" s="12">
        <f t="shared" si="326"/>
        <v>0</v>
      </c>
      <c r="DU168" s="12">
        <f t="shared" si="326"/>
        <v>0</v>
      </c>
      <c r="DV168" s="12">
        <f t="shared" si="326"/>
        <v>0</v>
      </c>
      <c r="DW168" s="12">
        <f t="shared" si="326"/>
        <v>0</v>
      </c>
      <c r="DX168" s="12">
        <f t="shared" si="326"/>
        <v>0</v>
      </c>
      <c r="DY168" s="12">
        <f t="shared" si="326"/>
        <v>0</v>
      </c>
      <c r="DZ168" s="12">
        <f t="shared" si="326"/>
        <v>0</v>
      </c>
      <c r="EA168" s="12">
        <f t="shared" si="326"/>
        <v>0</v>
      </c>
      <c r="EB168" s="12">
        <f t="shared" si="326"/>
        <v>0</v>
      </c>
      <c r="EC168" s="12">
        <f t="shared" si="326"/>
        <v>0</v>
      </c>
      <c r="ED168" s="12">
        <f t="shared" si="326"/>
        <v>0</v>
      </c>
      <c r="EE168" s="12">
        <f t="shared" si="326"/>
        <v>0</v>
      </c>
      <c r="EF168" s="12">
        <f t="shared" si="326"/>
        <v>0</v>
      </c>
      <c r="EG168" s="12">
        <f t="shared" ref="EG168:FH168" si="327">EG164+EG165+EG167</f>
        <v>0</v>
      </c>
      <c r="EH168" s="12">
        <f t="shared" si="327"/>
        <v>0</v>
      </c>
      <c r="EI168" s="12">
        <f t="shared" si="327"/>
        <v>0</v>
      </c>
      <c r="EJ168" s="12">
        <f t="shared" si="327"/>
        <v>0</v>
      </c>
      <c r="EK168" s="12">
        <f t="shared" si="327"/>
        <v>0</v>
      </c>
      <c r="EL168" s="12">
        <f t="shared" si="327"/>
        <v>0</v>
      </c>
      <c r="EM168" s="12">
        <f t="shared" si="327"/>
        <v>0</v>
      </c>
      <c r="EN168" s="12">
        <f t="shared" si="327"/>
        <v>0</v>
      </c>
      <c r="EO168" s="12">
        <f t="shared" si="327"/>
        <v>0</v>
      </c>
      <c r="EP168" s="12">
        <f t="shared" si="327"/>
        <v>0</v>
      </c>
      <c r="EQ168" s="12">
        <f t="shared" si="327"/>
        <v>0</v>
      </c>
      <c r="ER168" s="12">
        <f t="shared" si="327"/>
        <v>0</v>
      </c>
      <c r="ES168" s="12">
        <f t="shared" si="327"/>
        <v>0</v>
      </c>
      <c r="ET168" s="12">
        <f t="shared" si="327"/>
        <v>0</v>
      </c>
      <c r="EU168" s="12">
        <f t="shared" si="327"/>
        <v>0</v>
      </c>
      <c r="EV168" s="12">
        <f t="shared" si="327"/>
        <v>0</v>
      </c>
      <c r="EW168" s="12">
        <f t="shared" si="327"/>
        <v>0</v>
      </c>
      <c r="EX168" s="12">
        <f t="shared" si="327"/>
        <v>0</v>
      </c>
      <c r="EY168" s="12">
        <f t="shared" si="327"/>
        <v>0</v>
      </c>
      <c r="EZ168" s="12">
        <f t="shared" si="327"/>
        <v>0</v>
      </c>
      <c r="FA168" s="12">
        <f t="shared" si="327"/>
        <v>0</v>
      </c>
      <c r="FB168" s="12">
        <f t="shared" si="327"/>
        <v>0</v>
      </c>
      <c r="FC168" s="12">
        <f t="shared" si="327"/>
        <v>0</v>
      </c>
      <c r="FD168" s="12">
        <f t="shared" si="327"/>
        <v>0</v>
      </c>
      <c r="FE168" s="12">
        <f t="shared" si="327"/>
        <v>0</v>
      </c>
      <c r="FF168" s="12">
        <f t="shared" si="327"/>
        <v>0</v>
      </c>
      <c r="FG168" s="12">
        <f t="shared" si="327"/>
        <v>0</v>
      </c>
      <c r="FH168" s="12">
        <f t="shared" si="327"/>
        <v>0</v>
      </c>
    </row>
    <row r="169" spans="1:164" x14ac:dyDescent="0.2">
      <c r="A169" s="10"/>
      <c r="B169" s="31" t="s">
        <v>917</v>
      </c>
      <c r="C169" s="31"/>
      <c r="D169" s="31"/>
      <c r="E169" s="31"/>
      <c r="F169" s="31"/>
      <c r="G169" s="31"/>
      <c r="H169" s="32">
        <f>SUM(I169:FH169)</f>
        <v>78488.359375106244</v>
      </c>
      <c r="I169" s="32">
        <f t="shared" ref="I169:AN169" si="328">I160+I165+I166+I167</f>
        <v>0</v>
      </c>
      <c r="J169" s="32">
        <f t="shared" si="328"/>
        <v>0</v>
      </c>
      <c r="K169" s="32">
        <f t="shared" si="328"/>
        <v>0</v>
      </c>
      <c r="L169" s="32">
        <f t="shared" si="328"/>
        <v>0</v>
      </c>
      <c r="M169" s="32">
        <f t="shared" si="328"/>
        <v>0</v>
      </c>
      <c r="N169" s="32">
        <f t="shared" si="328"/>
        <v>0</v>
      </c>
      <c r="O169" s="32">
        <f t="shared" si="328"/>
        <v>0</v>
      </c>
      <c r="P169" s="32">
        <f t="shared" si="328"/>
        <v>0</v>
      </c>
      <c r="Q169" s="32">
        <f t="shared" si="328"/>
        <v>0</v>
      </c>
      <c r="R169" s="32">
        <f t="shared" si="328"/>
        <v>0</v>
      </c>
      <c r="S169" s="32">
        <f t="shared" si="328"/>
        <v>0</v>
      </c>
      <c r="T169" s="32">
        <f t="shared" si="328"/>
        <v>0</v>
      </c>
      <c r="U169" s="32">
        <f t="shared" si="328"/>
        <v>0</v>
      </c>
      <c r="V169" s="32">
        <f t="shared" si="328"/>
        <v>0</v>
      </c>
      <c r="W169" s="32">
        <f t="shared" si="328"/>
        <v>0</v>
      </c>
      <c r="X169" s="32">
        <f t="shared" si="328"/>
        <v>0</v>
      </c>
      <c r="Y169" s="32">
        <f t="shared" si="328"/>
        <v>0</v>
      </c>
      <c r="Z169" s="32">
        <f t="shared" si="328"/>
        <v>0</v>
      </c>
      <c r="AA169" s="32">
        <f t="shared" si="328"/>
        <v>0</v>
      </c>
      <c r="AB169" s="32">
        <f t="shared" si="328"/>
        <v>0</v>
      </c>
      <c r="AC169" s="32">
        <f t="shared" si="328"/>
        <v>0</v>
      </c>
      <c r="AD169" s="32">
        <f t="shared" si="328"/>
        <v>0</v>
      </c>
      <c r="AE169" s="32">
        <f t="shared" si="328"/>
        <v>0</v>
      </c>
      <c r="AF169" s="32">
        <f t="shared" si="328"/>
        <v>0</v>
      </c>
      <c r="AG169" s="32">
        <f t="shared" si="328"/>
        <v>0</v>
      </c>
      <c r="AH169" s="32">
        <f t="shared" si="328"/>
        <v>0</v>
      </c>
      <c r="AI169" s="32">
        <f t="shared" si="328"/>
        <v>0</v>
      </c>
      <c r="AJ169" s="32">
        <f t="shared" si="328"/>
        <v>0</v>
      </c>
      <c r="AK169" s="32">
        <f t="shared" si="328"/>
        <v>0</v>
      </c>
      <c r="AL169" s="32">
        <f t="shared" si="328"/>
        <v>0</v>
      </c>
      <c r="AM169" s="32">
        <f t="shared" si="328"/>
        <v>-384.07599999999996</v>
      </c>
      <c r="AN169" s="32">
        <f t="shared" si="328"/>
        <v>-384.07599999999996</v>
      </c>
      <c r="AO169" s="32">
        <f t="shared" ref="AO169:BT169" si="329">AO160+AO165+AO166+AO167</f>
        <v>-384.07599999999996</v>
      </c>
      <c r="AP169" s="32">
        <f t="shared" si="329"/>
        <v>-737.91822222222208</v>
      </c>
      <c r="AQ169" s="32">
        <f t="shared" si="329"/>
        <v>-737.91822222222208</v>
      </c>
      <c r="AR169" s="32">
        <f t="shared" si="329"/>
        <v>-737.91822222222208</v>
      </c>
      <c r="AS169" s="32">
        <f t="shared" si="329"/>
        <v>67.325577777777653</v>
      </c>
      <c r="AT169" s="32">
        <f t="shared" si="329"/>
        <v>174.51388021680214</v>
      </c>
      <c r="AU169" s="32">
        <f t="shared" si="329"/>
        <v>284.38189021680228</v>
      </c>
      <c r="AV169" s="32">
        <f t="shared" si="329"/>
        <v>397.06702867834065</v>
      </c>
      <c r="AW169" s="32">
        <f t="shared" si="329"/>
        <v>512.71756552044553</v>
      </c>
      <c r="AX169" s="32">
        <f t="shared" si="329"/>
        <v>631.49379254747282</v>
      </c>
      <c r="AY169" s="32">
        <f t="shared" si="329"/>
        <v>234.97604545364698</v>
      </c>
      <c r="AZ169" s="32">
        <f t="shared" si="329"/>
        <v>-343.87599289404136</v>
      </c>
      <c r="BA169" s="32">
        <f t="shared" si="329"/>
        <v>-914.40206766442952</v>
      </c>
      <c r="BB169" s="32">
        <f t="shared" si="329"/>
        <v>-1471.8576173932615</v>
      </c>
      <c r="BC169" s="32">
        <f t="shared" si="329"/>
        <v>-2011.5806242412309</v>
      </c>
      <c r="BD169" s="32">
        <f t="shared" si="329"/>
        <v>-2529.0255712264388</v>
      </c>
      <c r="BE169" s="32">
        <f t="shared" si="329"/>
        <v>-3019.7963022976392</v>
      </c>
      <c r="BF169" s="32">
        <f t="shared" si="329"/>
        <v>-3479.6774960290859</v>
      </c>
      <c r="BG169" s="32">
        <f t="shared" si="329"/>
        <v>-3904.6644651072452</v>
      </c>
      <c r="BH169" s="32">
        <f t="shared" si="329"/>
        <v>-3937.1487725359093</v>
      </c>
      <c r="BI169" s="32">
        <f t="shared" si="329"/>
        <v>-4281.3127107276687</v>
      </c>
      <c r="BJ169" s="32">
        <f t="shared" si="329"/>
        <v>-4580.0990201605036</v>
      </c>
      <c r="BK169" s="32">
        <f t="shared" si="329"/>
        <v>-4830.5999950321075</v>
      </c>
      <c r="BL169" s="32">
        <f t="shared" si="329"/>
        <v>-5030.2323319469597</v>
      </c>
      <c r="BM169" s="32">
        <f t="shared" si="329"/>
        <v>-5176.7507206851951</v>
      </c>
      <c r="BN169" s="32">
        <f t="shared" si="329"/>
        <v>-3244.0370789613717</v>
      </c>
      <c r="BO169" s="32">
        <f t="shared" si="329"/>
        <v>1321.5177604947285</v>
      </c>
      <c r="BP169" s="32">
        <f t="shared" si="329"/>
        <v>1332.2225471311717</v>
      </c>
      <c r="BQ169" s="32">
        <f t="shared" si="329"/>
        <v>1350.0798730675742</v>
      </c>
      <c r="BR169" s="32">
        <f t="shared" si="329"/>
        <v>1376.0771363612027</v>
      </c>
      <c r="BS169" s="32">
        <f t="shared" si="329"/>
        <v>1411.2707050332476</v>
      </c>
      <c r="BT169" s="32">
        <f t="shared" si="329"/>
        <v>1456.8076279244965</v>
      </c>
      <c r="BU169" s="32">
        <f t="shared" ref="BU169:CZ169" si="330">BU160+BU165+BU166+BU167</f>
        <v>1513.9565649079568</v>
      </c>
      <c r="BV169" s="32">
        <f t="shared" si="330"/>
        <v>1584.1521145236952</v>
      </c>
      <c r="BW169" s="32">
        <f t="shared" si="330"/>
        <v>1669.0591379423179</v>
      </c>
      <c r="BX169" s="32">
        <f t="shared" si="330"/>
        <v>1770.6678608036586</v>
      </c>
      <c r="BY169" s="32">
        <f t="shared" si="330"/>
        <v>1891.4380647024805</v>
      </c>
      <c r="BZ169" s="32">
        <f t="shared" si="330"/>
        <v>2034.5249056690873</v>
      </c>
      <c r="CA169" s="32">
        <f t="shared" si="330"/>
        <v>2204.1473503659581</v>
      </c>
      <c r="CB169" s="32">
        <f t="shared" si="330"/>
        <v>2406.221194950605</v>
      </c>
      <c r="CC169" s="32">
        <f t="shared" si="330"/>
        <v>2649.5209081096505</v>
      </c>
      <c r="CD169" s="32">
        <f t="shared" si="330"/>
        <v>2948.0044629981953</v>
      </c>
      <c r="CE169" s="32">
        <f t="shared" si="330"/>
        <v>3326.0450979240213</v>
      </c>
      <c r="CF169" s="32">
        <f t="shared" si="330"/>
        <v>3832.3831283756422</v>
      </c>
      <c r="CG169" s="32">
        <f t="shared" si="330"/>
        <v>4588.956857966954</v>
      </c>
      <c r="CH169" s="32">
        <f t="shared" si="330"/>
        <v>6083.8849830922682</v>
      </c>
      <c r="CI169" s="32">
        <f t="shared" si="330"/>
        <v>25493.662167565704</v>
      </c>
      <c r="CJ169" s="32">
        <f t="shared" si="330"/>
        <v>218.71223423236631</v>
      </c>
      <c r="CK169" s="32">
        <f t="shared" si="330"/>
        <v>218.71223423236631</v>
      </c>
      <c r="CL169" s="32">
        <f t="shared" si="330"/>
        <v>218.71223423236631</v>
      </c>
      <c r="CM169" s="32">
        <f t="shared" si="330"/>
        <v>218.71223423236631</v>
      </c>
      <c r="CN169" s="32">
        <f t="shared" si="330"/>
        <v>218.71223423236631</v>
      </c>
      <c r="CO169" s="32">
        <f t="shared" si="330"/>
        <v>218.71223423236631</v>
      </c>
      <c r="CP169" s="32">
        <f t="shared" si="330"/>
        <v>218.71223423236631</v>
      </c>
      <c r="CQ169" s="32">
        <f t="shared" si="330"/>
        <v>218.71223423236631</v>
      </c>
      <c r="CR169" s="32">
        <f t="shared" si="330"/>
        <v>218.71223423236631</v>
      </c>
      <c r="CS169" s="32">
        <f t="shared" si="330"/>
        <v>218.71223423236631</v>
      </c>
      <c r="CT169" s="32">
        <f t="shared" si="330"/>
        <v>218.71223423236631</v>
      </c>
      <c r="CU169" s="32">
        <f t="shared" si="330"/>
        <v>218.71223423236631</v>
      </c>
      <c r="CV169" s="32">
        <f t="shared" si="330"/>
        <v>53437.779767565662</v>
      </c>
      <c r="CW169" s="32">
        <f t="shared" si="330"/>
        <v>0</v>
      </c>
      <c r="CX169" s="32">
        <f t="shared" si="330"/>
        <v>0</v>
      </c>
      <c r="CY169" s="32">
        <f t="shared" si="330"/>
        <v>0</v>
      </c>
      <c r="CZ169" s="32">
        <f t="shared" si="330"/>
        <v>0</v>
      </c>
      <c r="DA169" s="32">
        <f t="shared" ref="DA169:EF169" si="331">DA160+DA165+DA166+DA167</f>
        <v>0</v>
      </c>
      <c r="DB169" s="32">
        <f t="shared" si="331"/>
        <v>0</v>
      </c>
      <c r="DC169" s="32">
        <f t="shared" si="331"/>
        <v>0</v>
      </c>
      <c r="DD169" s="32">
        <f t="shared" si="331"/>
        <v>0</v>
      </c>
      <c r="DE169" s="32">
        <f t="shared" si="331"/>
        <v>0</v>
      </c>
      <c r="DF169" s="32">
        <f t="shared" si="331"/>
        <v>0</v>
      </c>
      <c r="DG169" s="32">
        <f t="shared" si="331"/>
        <v>0</v>
      </c>
      <c r="DH169" s="32">
        <f t="shared" si="331"/>
        <v>0</v>
      </c>
      <c r="DI169" s="32">
        <f t="shared" si="331"/>
        <v>0</v>
      </c>
      <c r="DJ169" s="32">
        <f t="shared" si="331"/>
        <v>0</v>
      </c>
      <c r="DK169" s="32">
        <f t="shared" si="331"/>
        <v>0</v>
      </c>
      <c r="DL169" s="32">
        <f t="shared" si="331"/>
        <v>0</v>
      </c>
      <c r="DM169" s="32">
        <f t="shared" si="331"/>
        <v>0</v>
      </c>
      <c r="DN169" s="32">
        <f t="shared" si="331"/>
        <v>0</v>
      </c>
      <c r="DO169" s="32">
        <f t="shared" si="331"/>
        <v>0</v>
      </c>
      <c r="DP169" s="32">
        <f t="shared" si="331"/>
        <v>0</v>
      </c>
      <c r="DQ169" s="32">
        <f t="shared" si="331"/>
        <v>0</v>
      </c>
      <c r="DR169" s="32">
        <f t="shared" si="331"/>
        <v>0</v>
      </c>
      <c r="DS169" s="32">
        <f t="shared" si="331"/>
        <v>0</v>
      </c>
      <c r="DT169" s="32">
        <f t="shared" si="331"/>
        <v>0</v>
      </c>
      <c r="DU169" s="32">
        <f t="shared" si="331"/>
        <v>0</v>
      </c>
      <c r="DV169" s="32">
        <f t="shared" si="331"/>
        <v>0</v>
      </c>
      <c r="DW169" s="32">
        <f t="shared" si="331"/>
        <v>0</v>
      </c>
      <c r="DX169" s="32">
        <f t="shared" si="331"/>
        <v>0</v>
      </c>
      <c r="DY169" s="32">
        <f t="shared" si="331"/>
        <v>0</v>
      </c>
      <c r="DZ169" s="32">
        <f t="shared" si="331"/>
        <v>0</v>
      </c>
      <c r="EA169" s="32">
        <f t="shared" si="331"/>
        <v>0</v>
      </c>
      <c r="EB169" s="32">
        <f t="shared" si="331"/>
        <v>0</v>
      </c>
      <c r="EC169" s="32">
        <f t="shared" si="331"/>
        <v>0</v>
      </c>
      <c r="ED169" s="32">
        <f t="shared" si="331"/>
        <v>0</v>
      </c>
      <c r="EE169" s="32">
        <f t="shared" si="331"/>
        <v>0</v>
      </c>
      <c r="EF169" s="32">
        <f t="shared" si="331"/>
        <v>0</v>
      </c>
      <c r="EG169" s="32">
        <f t="shared" ref="EG169:FH169" si="332">EG160+EG165+EG166+EG167</f>
        <v>0</v>
      </c>
      <c r="EH169" s="32">
        <f t="shared" si="332"/>
        <v>0</v>
      </c>
      <c r="EI169" s="32">
        <f t="shared" si="332"/>
        <v>0</v>
      </c>
      <c r="EJ169" s="32">
        <f t="shared" si="332"/>
        <v>0</v>
      </c>
      <c r="EK169" s="32">
        <f t="shared" si="332"/>
        <v>0</v>
      </c>
      <c r="EL169" s="32">
        <f t="shared" si="332"/>
        <v>0</v>
      </c>
      <c r="EM169" s="32">
        <f t="shared" si="332"/>
        <v>0</v>
      </c>
      <c r="EN169" s="32">
        <f t="shared" si="332"/>
        <v>0</v>
      </c>
      <c r="EO169" s="32">
        <f t="shared" si="332"/>
        <v>0</v>
      </c>
      <c r="EP169" s="32">
        <f t="shared" si="332"/>
        <v>0</v>
      </c>
      <c r="EQ169" s="32">
        <f t="shared" si="332"/>
        <v>0</v>
      </c>
      <c r="ER169" s="32">
        <f t="shared" si="332"/>
        <v>0</v>
      </c>
      <c r="ES169" s="32">
        <f t="shared" si="332"/>
        <v>0</v>
      </c>
      <c r="ET169" s="32">
        <f t="shared" si="332"/>
        <v>0</v>
      </c>
      <c r="EU169" s="32">
        <f t="shared" si="332"/>
        <v>0</v>
      </c>
      <c r="EV169" s="32">
        <f t="shared" si="332"/>
        <v>0</v>
      </c>
      <c r="EW169" s="32">
        <f t="shared" si="332"/>
        <v>0</v>
      </c>
      <c r="EX169" s="32">
        <f t="shared" si="332"/>
        <v>0</v>
      </c>
      <c r="EY169" s="32">
        <f t="shared" si="332"/>
        <v>0</v>
      </c>
      <c r="EZ169" s="32">
        <f t="shared" si="332"/>
        <v>0</v>
      </c>
      <c r="FA169" s="32">
        <f t="shared" si="332"/>
        <v>0</v>
      </c>
      <c r="FB169" s="32">
        <f t="shared" si="332"/>
        <v>0</v>
      </c>
      <c r="FC169" s="32">
        <f t="shared" si="332"/>
        <v>0</v>
      </c>
      <c r="FD169" s="32">
        <f t="shared" si="332"/>
        <v>0</v>
      </c>
      <c r="FE169" s="32">
        <f t="shared" si="332"/>
        <v>0</v>
      </c>
      <c r="FF169" s="32">
        <f t="shared" si="332"/>
        <v>0</v>
      </c>
      <c r="FG169" s="32">
        <f t="shared" si="332"/>
        <v>0</v>
      </c>
      <c r="FH169" s="32">
        <f t="shared" si="332"/>
        <v>0</v>
      </c>
    </row>
    <row r="170" spans="1:164" x14ac:dyDescent="0.2">
      <c r="A170" s="10"/>
      <c r="B170" s="10"/>
      <c r="C170" s="10" t="s">
        <v>918</v>
      </c>
      <c r="D170" s="10"/>
      <c r="E170" s="10"/>
      <c r="F170" s="10"/>
      <c r="G170" s="10"/>
      <c r="H170" s="12"/>
      <c r="I170" s="12">
        <f>I169</f>
        <v>0</v>
      </c>
      <c r="J170" s="12">
        <f t="shared" ref="J170:AO170" si="333">I170+J169</f>
        <v>0</v>
      </c>
      <c r="K170" s="12">
        <f t="shared" si="333"/>
        <v>0</v>
      </c>
      <c r="L170" s="12">
        <f t="shared" si="333"/>
        <v>0</v>
      </c>
      <c r="M170" s="12">
        <f t="shared" si="333"/>
        <v>0</v>
      </c>
      <c r="N170" s="12">
        <f t="shared" si="333"/>
        <v>0</v>
      </c>
      <c r="O170" s="12">
        <f t="shared" si="333"/>
        <v>0</v>
      </c>
      <c r="P170" s="12">
        <f t="shared" si="333"/>
        <v>0</v>
      </c>
      <c r="Q170" s="12">
        <f t="shared" si="333"/>
        <v>0</v>
      </c>
      <c r="R170" s="12">
        <f t="shared" si="333"/>
        <v>0</v>
      </c>
      <c r="S170" s="12">
        <f t="shared" si="333"/>
        <v>0</v>
      </c>
      <c r="T170" s="12">
        <f t="shared" si="333"/>
        <v>0</v>
      </c>
      <c r="U170" s="12">
        <f t="shared" si="333"/>
        <v>0</v>
      </c>
      <c r="V170" s="12">
        <f t="shared" si="333"/>
        <v>0</v>
      </c>
      <c r="W170" s="12">
        <f t="shared" si="333"/>
        <v>0</v>
      </c>
      <c r="X170" s="12">
        <f t="shared" si="333"/>
        <v>0</v>
      </c>
      <c r="Y170" s="12">
        <f t="shared" si="333"/>
        <v>0</v>
      </c>
      <c r="Z170" s="12">
        <f t="shared" si="333"/>
        <v>0</v>
      </c>
      <c r="AA170" s="12">
        <f t="shared" si="333"/>
        <v>0</v>
      </c>
      <c r="AB170" s="12">
        <f t="shared" si="333"/>
        <v>0</v>
      </c>
      <c r="AC170" s="12">
        <f t="shared" si="333"/>
        <v>0</v>
      </c>
      <c r="AD170" s="12">
        <f t="shared" si="333"/>
        <v>0</v>
      </c>
      <c r="AE170" s="12">
        <f t="shared" si="333"/>
        <v>0</v>
      </c>
      <c r="AF170" s="12">
        <f t="shared" si="333"/>
        <v>0</v>
      </c>
      <c r="AG170" s="12">
        <f t="shared" si="333"/>
        <v>0</v>
      </c>
      <c r="AH170" s="12">
        <f t="shared" si="333"/>
        <v>0</v>
      </c>
      <c r="AI170" s="12">
        <f t="shared" si="333"/>
        <v>0</v>
      </c>
      <c r="AJ170" s="12">
        <f t="shared" si="333"/>
        <v>0</v>
      </c>
      <c r="AK170" s="12">
        <f t="shared" si="333"/>
        <v>0</v>
      </c>
      <c r="AL170" s="12">
        <f t="shared" si="333"/>
        <v>0</v>
      </c>
      <c r="AM170" s="12">
        <f t="shared" si="333"/>
        <v>-384.07599999999996</v>
      </c>
      <c r="AN170" s="12">
        <f t="shared" si="333"/>
        <v>-768.15199999999993</v>
      </c>
      <c r="AO170" s="12">
        <f t="shared" si="333"/>
        <v>-1152.2279999999998</v>
      </c>
      <c r="AP170" s="12">
        <f t="shared" ref="AP170:BU170" si="334">AO170+AP169</f>
        <v>-1890.1462222222219</v>
      </c>
      <c r="AQ170" s="12">
        <f t="shared" si="334"/>
        <v>-2628.0644444444442</v>
      </c>
      <c r="AR170" s="12">
        <f t="shared" si="334"/>
        <v>-3365.9826666666663</v>
      </c>
      <c r="AS170" s="12">
        <f t="shared" si="334"/>
        <v>-3298.6570888888887</v>
      </c>
      <c r="AT170" s="12">
        <f t="shared" si="334"/>
        <v>-3124.1432086720865</v>
      </c>
      <c r="AU170" s="12">
        <f t="shared" si="334"/>
        <v>-2839.7613184552843</v>
      </c>
      <c r="AV170" s="12">
        <f t="shared" si="334"/>
        <v>-2442.6942897769436</v>
      </c>
      <c r="AW170" s="12">
        <f t="shared" si="334"/>
        <v>-1929.9767242564981</v>
      </c>
      <c r="AX170" s="12">
        <f t="shared" si="334"/>
        <v>-1298.4829317090253</v>
      </c>
      <c r="AY170" s="12">
        <f t="shared" si="334"/>
        <v>-1063.5068862553783</v>
      </c>
      <c r="AZ170" s="12">
        <f t="shared" si="334"/>
        <v>-1407.3828791494198</v>
      </c>
      <c r="BA170" s="12">
        <f t="shared" si="334"/>
        <v>-2321.7849468138493</v>
      </c>
      <c r="BB170" s="12">
        <f t="shared" si="334"/>
        <v>-3793.6425642071108</v>
      </c>
      <c r="BC170" s="12">
        <f t="shared" si="334"/>
        <v>-5805.2231884483417</v>
      </c>
      <c r="BD170" s="12">
        <f t="shared" si="334"/>
        <v>-8334.2487596747815</v>
      </c>
      <c r="BE170" s="12">
        <f t="shared" si="334"/>
        <v>-11354.045061972422</v>
      </c>
      <c r="BF170" s="12">
        <f t="shared" si="334"/>
        <v>-14833.722558001507</v>
      </c>
      <c r="BG170" s="12">
        <f t="shared" si="334"/>
        <v>-18738.387023108753</v>
      </c>
      <c r="BH170" s="12">
        <f t="shared" si="334"/>
        <v>-22675.535795644661</v>
      </c>
      <c r="BI170" s="12">
        <f t="shared" si="334"/>
        <v>-26956.848506372327</v>
      </c>
      <c r="BJ170" s="12">
        <f t="shared" si="334"/>
        <v>-31536.947526532829</v>
      </c>
      <c r="BK170" s="12">
        <f t="shared" si="334"/>
        <v>-36367.547521564935</v>
      </c>
      <c r="BL170" s="12">
        <f t="shared" si="334"/>
        <v>-41397.779853511893</v>
      </c>
      <c r="BM170" s="12">
        <f t="shared" si="334"/>
        <v>-46574.530574197088</v>
      </c>
      <c r="BN170" s="12">
        <f t="shared" si="334"/>
        <v>-49818.567653158461</v>
      </c>
      <c r="BO170" s="12">
        <f t="shared" si="334"/>
        <v>-48497.04989266373</v>
      </c>
      <c r="BP170" s="12">
        <f t="shared" si="334"/>
        <v>-47164.827345532562</v>
      </c>
      <c r="BQ170" s="12">
        <f t="shared" si="334"/>
        <v>-45814.747472464987</v>
      </c>
      <c r="BR170" s="12">
        <f t="shared" si="334"/>
        <v>-44438.670336103787</v>
      </c>
      <c r="BS170" s="12">
        <f t="shared" si="334"/>
        <v>-43027.399631070541</v>
      </c>
      <c r="BT170" s="12">
        <f t="shared" si="334"/>
        <v>-41570.592003146041</v>
      </c>
      <c r="BU170" s="12">
        <f t="shared" si="334"/>
        <v>-40056.635438238081</v>
      </c>
      <c r="BV170" s="12">
        <f t="shared" ref="BV170:DA170" si="335">BU170+BV169</f>
        <v>-38472.483323714383</v>
      </c>
      <c r="BW170" s="12">
        <f t="shared" si="335"/>
        <v>-36803.424185772063</v>
      </c>
      <c r="BX170" s="12">
        <f t="shared" si="335"/>
        <v>-35032.756324968403</v>
      </c>
      <c r="BY170" s="12">
        <f t="shared" si="335"/>
        <v>-33141.318260265922</v>
      </c>
      <c r="BZ170" s="12">
        <f t="shared" si="335"/>
        <v>-31106.793354596834</v>
      </c>
      <c r="CA170" s="12">
        <f t="shared" si="335"/>
        <v>-28902.646004230875</v>
      </c>
      <c r="CB170" s="12">
        <f t="shared" si="335"/>
        <v>-26496.42480928027</v>
      </c>
      <c r="CC170" s="12">
        <f t="shared" si="335"/>
        <v>-23846.903901170619</v>
      </c>
      <c r="CD170" s="12">
        <f t="shared" si="335"/>
        <v>-20898.899438172422</v>
      </c>
      <c r="CE170" s="12">
        <f t="shared" si="335"/>
        <v>-17572.854340248399</v>
      </c>
      <c r="CF170" s="12">
        <f t="shared" si="335"/>
        <v>-13740.471211872757</v>
      </c>
      <c r="CG170" s="12">
        <f t="shared" si="335"/>
        <v>-9151.5143539058026</v>
      </c>
      <c r="CH170" s="12">
        <f t="shared" si="335"/>
        <v>-3067.6293708135345</v>
      </c>
      <c r="CI170" s="12">
        <f t="shared" si="335"/>
        <v>22426.03279675217</v>
      </c>
      <c r="CJ170" s="12">
        <f t="shared" si="335"/>
        <v>22644.745030984537</v>
      </c>
      <c r="CK170" s="12">
        <f t="shared" si="335"/>
        <v>22863.457265216904</v>
      </c>
      <c r="CL170" s="12">
        <f t="shared" si="335"/>
        <v>23082.169499449272</v>
      </c>
      <c r="CM170" s="12">
        <f t="shared" si="335"/>
        <v>23300.881733681639</v>
      </c>
      <c r="CN170" s="12">
        <f t="shared" si="335"/>
        <v>23519.593967914006</v>
      </c>
      <c r="CO170" s="12">
        <f t="shared" si="335"/>
        <v>23738.306202146374</v>
      </c>
      <c r="CP170" s="12">
        <f t="shared" si="335"/>
        <v>23957.018436378741</v>
      </c>
      <c r="CQ170" s="12">
        <f t="shared" si="335"/>
        <v>24175.730670611109</v>
      </c>
      <c r="CR170" s="12">
        <f t="shared" si="335"/>
        <v>24394.442904843476</v>
      </c>
      <c r="CS170" s="12">
        <f t="shared" si="335"/>
        <v>24613.155139075843</v>
      </c>
      <c r="CT170" s="12">
        <f t="shared" si="335"/>
        <v>24831.867373308211</v>
      </c>
      <c r="CU170" s="12">
        <f t="shared" si="335"/>
        <v>25050.579607540578</v>
      </c>
      <c r="CV170" s="12">
        <f t="shared" si="335"/>
        <v>78488.359375106244</v>
      </c>
      <c r="CW170" s="12">
        <f t="shared" si="335"/>
        <v>78488.359375106244</v>
      </c>
      <c r="CX170" s="12">
        <f t="shared" si="335"/>
        <v>78488.359375106244</v>
      </c>
      <c r="CY170" s="12">
        <f t="shared" si="335"/>
        <v>78488.359375106244</v>
      </c>
      <c r="CZ170" s="12">
        <f t="shared" si="335"/>
        <v>78488.359375106244</v>
      </c>
      <c r="DA170" s="12">
        <f t="shared" si="335"/>
        <v>78488.359375106244</v>
      </c>
      <c r="DB170" s="12">
        <f t="shared" ref="DB170:EG170" si="336">DA170+DB169</f>
        <v>78488.359375106244</v>
      </c>
      <c r="DC170" s="12">
        <f t="shared" si="336"/>
        <v>78488.359375106244</v>
      </c>
      <c r="DD170" s="12">
        <f t="shared" si="336"/>
        <v>78488.359375106244</v>
      </c>
      <c r="DE170" s="12">
        <f t="shared" si="336"/>
        <v>78488.359375106244</v>
      </c>
      <c r="DF170" s="12">
        <f t="shared" si="336"/>
        <v>78488.359375106244</v>
      </c>
      <c r="DG170" s="12">
        <f t="shared" si="336"/>
        <v>78488.359375106244</v>
      </c>
      <c r="DH170" s="12">
        <f t="shared" si="336"/>
        <v>78488.359375106244</v>
      </c>
      <c r="DI170" s="12">
        <f t="shared" si="336"/>
        <v>78488.359375106244</v>
      </c>
      <c r="DJ170" s="12">
        <f t="shared" si="336"/>
        <v>78488.359375106244</v>
      </c>
      <c r="DK170" s="12">
        <f t="shared" si="336"/>
        <v>78488.359375106244</v>
      </c>
      <c r="DL170" s="12">
        <f t="shared" si="336"/>
        <v>78488.359375106244</v>
      </c>
      <c r="DM170" s="12">
        <f t="shared" si="336"/>
        <v>78488.359375106244</v>
      </c>
      <c r="DN170" s="12">
        <f t="shared" si="336"/>
        <v>78488.359375106244</v>
      </c>
      <c r="DO170" s="12">
        <f t="shared" si="336"/>
        <v>78488.359375106244</v>
      </c>
      <c r="DP170" s="12">
        <f t="shared" si="336"/>
        <v>78488.359375106244</v>
      </c>
      <c r="DQ170" s="12">
        <f t="shared" si="336"/>
        <v>78488.359375106244</v>
      </c>
      <c r="DR170" s="12">
        <f t="shared" si="336"/>
        <v>78488.359375106244</v>
      </c>
      <c r="DS170" s="12">
        <f t="shared" si="336"/>
        <v>78488.359375106244</v>
      </c>
      <c r="DT170" s="12">
        <f t="shared" si="336"/>
        <v>78488.359375106244</v>
      </c>
      <c r="DU170" s="12">
        <f t="shared" si="336"/>
        <v>78488.359375106244</v>
      </c>
      <c r="DV170" s="12">
        <f t="shared" si="336"/>
        <v>78488.359375106244</v>
      </c>
      <c r="DW170" s="12">
        <f t="shared" si="336"/>
        <v>78488.359375106244</v>
      </c>
      <c r="DX170" s="12">
        <f t="shared" si="336"/>
        <v>78488.359375106244</v>
      </c>
      <c r="DY170" s="12">
        <f t="shared" si="336"/>
        <v>78488.359375106244</v>
      </c>
      <c r="DZ170" s="12">
        <f t="shared" si="336"/>
        <v>78488.359375106244</v>
      </c>
      <c r="EA170" s="12">
        <f t="shared" si="336"/>
        <v>78488.359375106244</v>
      </c>
      <c r="EB170" s="12">
        <f t="shared" si="336"/>
        <v>78488.359375106244</v>
      </c>
      <c r="EC170" s="12">
        <f t="shared" si="336"/>
        <v>78488.359375106244</v>
      </c>
      <c r="ED170" s="12">
        <f t="shared" si="336"/>
        <v>78488.359375106244</v>
      </c>
      <c r="EE170" s="12">
        <f t="shared" si="336"/>
        <v>78488.359375106244</v>
      </c>
      <c r="EF170" s="12">
        <f t="shared" si="336"/>
        <v>78488.359375106244</v>
      </c>
      <c r="EG170" s="12">
        <f t="shared" si="336"/>
        <v>78488.359375106244</v>
      </c>
      <c r="EH170" s="12">
        <f t="shared" ref="EH170:FH170" si="337">EG170+EH169</f>
        <v>78488.359375106244</v>
      </c>
      <c r="EI170" s="12">
        <f t="shared" si="337"/>
        <v>78488.359375106244</v>
      </c>
      <c r="EJ170" s="12">
        <f t="shared" si="337"/>
        <v>78488.359375106244</v>
      </c>
      <c r="EK170" s="12">
        <f t="shared" si="337"/>
        <v>78488.359375106244</v>
      </c>
      <c r="EL170" s="12">
        <f t="shared" si="337"/>
        <v>78488.359375106244</v>
      </c>
      <c r="EM170" s="12">
        <f t="shared" si="337"/>
        <v>78488.359375106244</v>
      </c>
      <c r="EN170" s="12">
        <f t="shared" si="337"/>
        <v>78488.359375106244</v>
      </c>
      <c r="EO170" s="12">
        <f t="shared" si="337"/>
        <v>78488.359375106244</v>
      </c>
      <c r="EP170" s="12">
        <f t="shared" si="337"/>
        <v>78488.359375106244</v>
      </c>
      <c r="EQ170" s="12">
        <f t="shared" si="337"/>
        <v>78488.359375106244</v>
      </c>
      <c r="ER170" s="12">
        <f t="shared" si="337"/>
        <v>78488.359375106244</v>
      </c>
      <c r="ES170" s="12">
        <f t="shared" si="337"/>
        <v>78488.359375106244</v>
      </c>
      <c r="ET170" s="12">
        <f t="shared" si="337"/>
        <v>78488.359375106244</v>
      </c>
      <c r="EU170" s="12">
        <f t="shared" si="337"/>
        <v>78488.359375106244</v>
      </c>
      <c r="EV170" s="12">
        <f t="shared" si="337"/>
        <v>78488.359375106244</v>
      </c>
      <c r="EW170" s="12">
        <f t="shared" si="337"/>
        <v>78488.359375106244</v>
      </c>
      <c r="EX170" s="12">
        <f t="shared" si="337"/>
        <v>78488.359375106244</v>
      </c>
      <c r="EY170" s="12">
        <f t="shared" si="337"/>
        <v>78488.359375106244</v>
      </c>
      <c r="EZ170" s="12">
        <f t="shared" si="337"/>
        <v>78488.359375106244</v>
      </c>
      <c r="FA170" s="12">
        <f t="shared" si="337"/>
        <v>78488.359375106244</v>
      </c>
      <c r="FB170" s="12">
        <f t="shared" si="337"/>
        <v>78488.359375106244</v>
      </c>
      <c r="FC170" s="12">
        <f t="shared" si="337"/>
        <v>78488.359375106244</v>
      </c>
      <c r="FD170" s="12">
        <f t="shared" si="337"/>
        <v>78488.359375106244</v>
      </c>
      <c r="FE170" s="12">
        <f t="shared" si="337"/>
        <v>78488.359375106244</v>
      </c>
      <c r="FF170" s="12">
        <f t="shared" si="337"/>
        <v>78488.359375106244</v>
      </c>
      <c r="FG170" s="12">
        <f t="shared" si="337"/>
        <v>78488.359375106244</v>
      </c>
      <c r="FH170" s="12">
        <f t="shared" si="337"/>
        <v>78488.359375106244</v>
      </c>
    </row>
    <row r="171" spans="1:164" x14ac:dyDescent="0.2">
      <c r="A171" s="10"/>
      <c r="B171" s="10"/>
      <c r="C171" s="70" t="s">
        <v>919</v>
      </c>
      <c r="D171" s="70"/>
      <c r="E171" s="70"/>
      <c r="F171" s="70"/>
      <c r="G171" s="70"/>
      <c r="H171" s="56">
        <f>SUM(I171:FH171)</f>
        <v>78488.359375106244</v>
      </c>
      <c r="I171" s="56">
        <f t="shared" ref="I171:AN171" si="338">IF($D$14="Levered",I169,I160)</f>
        <v>0</v>
      </c>
      <c r="J171" s="56">
        <f t="shared" si="338"/>
        <v>0</v>
      </c>
      <c r="K171" s="56">
        <f t="shared" si="338"/>
        <v>0</v>
      </c>
      <c r="L171" s="56">
        <f t="shared" si="338"/>
        <v>0</v>
      </c>
      <c r="M171" s="56">
        <f t="shared" si="338"/>
        <v>0</v>
      </c>
      <c r="N171" s="56">
        <f t="shared" si="338"/>
        <v>0</v>
      </c>
      <c r="O171" s="56">
        <f t="shared" si="338"/>
        <v>0</v>
      </c>
      <c r="P171" s="56">
        <f t="shared" si="338"/>
        <v>0</v>
      </c>
      <c r="Q171" s="56">
        <f t="shared" si="338"/>
        <v>0</v>
      </c>
      <c r="R171" s="56">
        <f t="shared" si="338"/>
        <v>0</v>
      </c>
      <c r="S171" s="56">
        <f t="shared" si="338"/>
        <v>0</v>
      </c>
      <c r="T171" s="56">
        <f t="shared" si="338"/>
        <v>0</v>
      </c>
      <c r="U171" s="56">
        <f t="shared" si="338"/>
        <v>0</v>
      </c>
      <c r="V171" s="56">
        <f t="shared" si="338"/>
        <v>0</v>
      </c>
      <c r="W171" s="56">
        <f t="shared" si="338"/>
        <v>0</v>
      </c>
      <c r="X171" s="56">
        <f t="shared" si="338"/>
        <v>0</v>
      </c>
      <c r="Y171" s="56">
        <f t="shared" si="338"/>
        <v>0</v>
      </c>
      <c r="Z171" s="56">
        <f t="shared" si="338"/>
        <v>0</v>
      </c>
      <c r="AA171" s="56">
        <f t="shared" si="338"/>
        <v>0</v>
      </c>
      <c r="AB171" s="56">
        <f t="shared" si="338"/>
        <v>0</v>
      </c>
      <c r="AC171" s="56">
        <f t="shared" si="338"/>
        <v>0</v>
      </c>
      <c r="AD171" s="56">
        <f t="shared" si="338"/>
        <v>0</v>
      </c>
      <c r="AE171" s="56">
        <f t="shared" si="338"/>
        <v>0</v>
      </c>
      <c r="AF171" s="56">
        <f t="shared" si="338"/>
        <v>0</v>
      </c>
      <c r="AG171" s="56">
        <f t="shared" si="338"/>
        <v>0</v>
      </c>
      <c r="AH171" s="56">
        <f t="shared" si="338"/>
        <v>0</v>
      </c>
      <c r="AI171" s="56">
        <f t="shared" si="338"/>
        <v>0</v>
      </c>
      <c r="AJ171" s="56">
        <f t="shared" si="338"/>
        <v>0</v>
      </c>
      <c r="AK171" s="56">
        <f t="shared" si="338"/>
        <v>0</v>
      </c>
      <c r="AL171" s="56">
        <f t="shared" si="338"/>
        <v>0</v>
      </c>
      <c r="AM171" s="56">
        <f t="shared" si="338"/>
        <v>-384.07599999999996</v>
      </c>
      <c r="AN171" s="56">
        <f t="shared" si="338"/>
        <v>-384.07599999999996</v>
      </c>
      <c r="AO171" s="56">
        <f t="shared" ref="AO171:BT171" si="339">IF($D$14="Levered",AO169,AO160)</f>
        <v>-384.07599999999996</v>
      </c>
      <c r="AP171" s="56">
        <f t="shared" si="339"/>
        <v>-737.91822222222208</v>
      </c>
      <c r="AQ171" s="56">
        <f t="shared" si="339"/>
        <v>-737.91822222222208</v>
      </c>
      <c r="AR171" s="56">
        <f t="shared" si="339"/>
        <v>-737.91822222222208</v>
      </c>
      <c r="AS171" s="56">
        <f t="shared" si="339"/>
        <v>67.325577777777653</v>
      </c>
      <c r="AT171" s="56">
        <f t="shared" si="339"/>
        <v>174.51388021680214</v>
      </c>
      <c r="AU171" s="56">
        <f t="shared" si="339"/>
        <v>284.38189021680228</v>
      </c>
      <c r="AV171" s="56">
        <f t="shared" si="339"/>
        <v>397.06702867834065</v>
      </c>
      <c r="AW171" s="56">
        <f t="shared" si="339"/>
        <v>512.71756552044553</v>
      </c>
      <c r="AX171" s="56">
        <f t="shared" si="339"/>
        <v>631.49379254747282</v>
      </c>
      <c r="AY171" s="56">
        <f t="shared" si="339"/>
        <v>234.97604545364698</v>
      </c>
      <c r="AZ171" s="56">
        <f t="shared" si="339"/>
        <v>-343.87599289404136</v>
      </c>
      <c r="BA171" s="56">
        <f t="shared" si="339"/>
        <v>-914.40206766442952</v>
      </c>
      <c r="BB171" s="56">
        <f t="shared" si="339"/>
        <v>-1471.8576173932615</v>
      </c>
      <c r="BC171" s="56">
        <f t="shared" si="339"/>
        <v>-2011.5806242412309</v>
      </c>
      <c r="BD171" s="56">
        <f t="shared" si="339"/>
        <v>-2529.0255712264388</v>
      </c>
      <c r="BE171" s="56">
        <f t="shared" si="339"/>
        <v>-3019.7963022976392</v>
      </c>
      <c r="BF171" s="56">
        <f t="shared" si="339"/>
        <v>-3479.6774960290859</v>
      </c>
      <c r="BG171" s="56">
        <f t="shared" si="339"/>
        <v>-3904.6644651072452</v>
      </c>
      <c r="BH171" s="56">
        <f t="shared" si="339"/>
        <v>-3937.1487725359093</v>
      </c>
      <c r="BI171" s="56">
        <f t="shared" si="339"/>
        <v>-4281.3127107276687</v>
      </c>
      <c r="BJ171" s="56">
        <f t="shared" si="339"/>
        <v>-4580.0990201605036</v>
      </c>
      <c r="BK171" s="56">
        <f t="shared" si="339"/>
        <v>-4830.5999950321075</v>
      </c>
      <c r="BL171" s="56">
        <f t="shared" si="339"/>
        <v>-5030.2323319469597</v>
      </c>
      <c r="BM171" s="56">
        <f t="shared" si="339"/>
        <v>-5176.7507206851951</v>
      </c>
      <c r="BN171" s="56">
        <f t="shared" si="339"/>
        <v>-3244.0370789613717</v>
      </c>
      <c r="BO171" s="56">
        <f t="shared" si="339"/>
        <v>1321.5177604947285</v>
      </c>
      <c r="BP171" s="56">
        <f t="shared" si="339"/>
        <v>1332.2225471311717</v>
      </c>
      <c r="BQ171" s="56">
        <f t="shared" si="339"/>
        <v>1350.0798730675742</v>
      </c>
      <c r="BR171" s="56">
        <f t="shared" si="339"/>
        <v>1376.0771363612027</v>
      </c>
      <c r="BS171" s="56">
        <f t="shared" si="339"/>
        <v>1411.2707050332476</v>
      </c>
      <c r="BT171" s="56">
        <f t="shared" si="339"/>
        <v>1456.8076279244965</v>
      </c>
      <c r="BU171" s="56">
        <f t="shared" ref="BU171:CZ171" si="340">IF($D$14="Levered",BU169,BU160)</f>
        <v>1513.9565649079568</v>
      </c>
      <c r="BV171" s="56">
        <f t="shared" si="340"/>
        <v>1584.1521145236952</v>
      </c>
      <c r="BW171" s="56">
        <f t="shared" si="340"/>
        <v>1669.0591379423179</v>
      </c>
      <c r="BX171" s="56">
        <f t="shared" si="340"/>
        <v>1770.6678608036586</v>
      </c>
      <c r="BY171" s="56">
        <f t="shared" si="340"/>
        <v>1891.4380647024805</v>
      </c>
      <c r="BZ171" s="56">
        <f t="shared" si="340"/>
        <v>2034.5249056690873</v>
      </c>
      <c r="CA171" s="56">
        <f t="shared" si="340"/>
        <v>2204.1473503659581</v>
      </c>
      <c r="CB171" s="56">
        <f t="shared" si="340"/>
        <v>2406.221194950605</v>
      </c>
      <c r="CC171" s="56">
        <f t="shared" si="340"/>
        <v>2649.5209081096505</v>
      </c>
      <c r="CD171" s="56">
        <f t="shared" si="340"/>
        <v>2948.0044629981953</v>
      </c>
      <c r="CE171" s="56">
        <f t="shared" si="340"/>
        <v>3326.0450979240213</v>
      </c>
      <c r="CF171" s="56">
        <f t="shared" si="340"/>
        <v>3832.3831283756422</v>
      </c>
      <c r="CG171" s="56">
        <f t="shared" si="340"/>
        <v>4588.956857966954</v>
      </c>
      <c r="CH171" s="56">
        <f t="shared" si="340"/>
        <v>6083.8849830922682</v>
      </c>
      <c r="CI171" s="56">
        <f t="shared" si="340"/>
        <v>25493.662167565704</v>
      </c>
      <c r="CJ171" s="56">
        <f t="shared" si="340"/>
        <v>218.71223423236631</v>
      </c>
      <c r="CK171" s="56">
        <f t="shared" si="340"/>
        <v>218.71223423236631</v>
      </c>
      <c r="CL171" s="56">
        <f t="shared" si="340"/>
        <v>218.71223423236631</v>
      </c>
      <c r="CM171" s="56">
        <f t="shared" si="340"/>
        <v>218.71223423236631</v>
      </c>
      <c r="CN171" s="56">
        <f t="shared" si="340"/>
        <v>218.71223423236631</v>
      </c>
      <c r="CO171" s="56">
        <f t="shared" si="340"/>
        <v>218.71223423236631</v>
      </c>
      <c r="CP171" s="56">
        <f t="shared" si="340"/>
        <v>218.71223423236631</v>
      </c>
      <c r="CQ171" s="56">
        <f t="shared" si="340"/>
        <v>218.71223423236631</v>
      </c>
      <c r="CR171" s="56">
        <f t="shared" si="340"/>
        <v>218.71223423236631</v>
      </c>
      <c r="CS171" s="56">
        <f t="shared" si="340"/>
        <v>218.71223423236631</v>
      </c>
      <c r="CT171" s="56">
        <f t="shared" si="340"/>
        <v>218.71223423236631</v>
      </c>
      <c r="CU171" s="56">
        <f t="shared" si="340"/>
        <v>218.71223423236631</v>
      </c>
      <c r="CV171" s="56">
        <f t="shared" si="340"/>
        <v>53437.779767565662</v>
      </c>
      <c r="CW171" s="56">
        <f t="shared" si="340"/>
        <v>0</v>
      </c>
      <c r="CX171" s="56">
        <f t="shared" si="340"/>
        <v>0</v>
      </c>
      <c r="CY171" s="56">
        <f t="shared" si="340"/>
        <v>0</v>
      </c>
      <c r="CZ171" s="56">
        <f t="shared" si="340"/>
        <v>0</v>
      </c>
      <c r="DA171" s="56">
        <f t="shared" ref="DA171:EF171" si="341">IF($D$14="Levered",DA169,DA160)</f>
        <v>0</v>
      </c>
      <c r="DB171" s="56">
        <f t="shared" si="341"/>
        <v>0</v>
      </c>
      <c r="DC171" s="56">
        <f t="shared" si="341"/>
        <v>0</v>
      </c>
      <c r="DD171" s="56">
        <f t="shared" si="341"/>
        <v>0</v>
      </c>
      <c r="DE171" s="56">
        <f t="shared" si="341"/>
        <v>0</v>
      </c>
      <c r="DF171" s="56">
        <f t="shared" si="341"/>
        <v>0</v>
      </c>
      <c r="DG171" s="56">
        <f t="shared" si="341"/>
        <v>0</v>
      </c>
      <c r="DH171" s="56">
        <f t="shared" si="341"/>
        <v>0</v>
      </c>
      <c r="DI171" s="56">
        <f t="shared" si="341"/>
        <v>0</v>
      </c>
      <c r="DJ171" s="56">
        <f t="shared" si="341"/>
        <v>0</v>
      </c>
      <c r="DK171" s="56">
        <f t="shared" si="341"/>
        <v>0</v>
      </c>
      <c r="DL171" s="56">
        <f t="shared" si="341"/>
        <v>0</v>
      </c>
      <c r="DM171" s="56">
        <f t="shared" si="341"/>
        <v>0</v>
      </c>
      <c r="DN171" s="56">
        <f t="shared" si="341"/>
        <v>0</v>
      </c>
      <c r="DO171" s="56">
        <f t="shared" si="341"/>
        <v>0</v>
      </c>
      <c r="DP171" s="56">
        <f t="shared" si="341"/>
        <v>0</v>
      </c>
      <c r="DQ171" s="56">
        <f t="shared" si="341"/>
        <v>0</v>
      </c>
      <c r="DR171" s="56">
        <f t="shared" si="341"/>
        <v>0</v>
      </c>
      <c r="DS171" s="56">
        <f t="shared" si="341"/>
        <v>0</v>
      </c>
      <c r="DT171" s="56">
        <f t="shared" si="341"/>
        <v>0</v>
      </c>
      <c r="DU171" s="56">
        <f t="shared" si="341"/>
        <v>0</v>
      </c>
      <c r="DV171" s="56">
        <f t="shared" si="341"/>
        <v>0</v>
      </c>
      <c r="DW171" s="56">
        <f t="shared" si="341"/>
        <v>0</v>
      </c>
      <c r="DX171" s="56">
        <f t="shared" si="341"/>
        <v>0</v>
      </c>
      <c r="DY171" s="56">
        <f t="shared" si="341"/>
        <v>0</v>
      </c>
      <c r="DZ171" s="56">
        <f t="shared" si="341"/>
        <v>0</v>
      </c>
      <c r="EA171" s="56">
        <f t="shared" si="341"/>
        <v>0</v>
      </c>
      <c r="EB171" s="56">
        <f t="shared" si="341"/>
        <v>0</v>
      </c>
      <c r="EC171" s="56">
        <f t="shared" si="341"/>
        <v>0</v>
      </c>
      <c r="ED171" s="56">
        <f t="shared" si="341"/>
        <v>0</v>
      </c>
      <c r="EE171" s="56">
        <f t="shared" si="341"/>
        <v>0</v>
      </c>
      <c r="EF171" s="56">
        <f t="shared" si="341"/>
        <v>0</v>
      </c>
      <c r="EG171" s="56">
        <f t="shared" ref="EG171:FH171" si="342">IF($D$14="Levered",EG169,EG160)</f>
        <v>0</v>
      </c>
      <c r="EH171" s="56">
        <f t="shared" si="342"/>
        <v>0</v>
      </c>
      <c r="EI171" s="56">
        <f t="shared" si="342"/>
        <v>0</v>
      </c>
      <c r="EJ171" s="56">
        <f t="shared" si="342"/>
        <v>0</v>
      </c>
      <c r="EK171" s="56">
        <f t="shared" si="342"/>
        <v>0</v>
      </c>
      <c r="EL171" s="56">
        <f t="shared" si="342"/>
        <v>0</v>
      </c>
      <c r="EM171" s="56">
        <f t="shared" si="342"/>
        <v>0</v>
      </c>
      <c r="EN171" s="56">
        <f t="shared" si="342"/>
        <v>0</v>
      </c>
      <c r="EO171" s="56">
        <f t="shared" si="342"/>
        <v>0</v>
      </c>
      <c r="EP171" s="56">
        <f t="shared" si="342"/>
        <v>0</v>
      </c>
      <c r="EQ171" s="56">
        <f t="shared" si="342"/>
        <v>0</v>
      </c>
      <c r="ER171" s="56">
        <f t="shared" si="342"/>
        <v>0</v>
      </c>
      <c r="ES171" s="56">
        <f t="shared" si="342"/>
        <v>0</v>
      </c>
      <c r="ET171" s="56">
        <f t="shared" si="342"/>
        <v>0</v>
      </c>
      <c r="EU171" s="56">
        <f t="shared" si="342"/>
        <v>0</v>
      </c>
      <c r="EV171" s="56">
        <f t="shared" si="342"/>
        <v>0</v>
      </c>
      <c r="EW171" s="56">
        <f t="shared" si="342"/>
        <v>0</v>
      </c>
      <c r="EX171" s="56">
        <f t="shared" si="342"/>
        <v>0</v>
      </c>
      <c r="EY171" s="56">
        <f t="shared" si="342"/>
        <v>0</v>
      </c>
      <c r="EZ171" s="56">
        <f t="shared" si="342"/>
        <v>0</v>
      </c>
      <c r="FA171" s="56">
        <f t="shared" si="342"/>
        <v>0</v>
      </c>
      <c r="FB171" s="56">
        <f t="shared" si="342"/>
        <v>0</v>
      </c>
      <c r="FC171" s="56">
        <f t="shared" si="342"/>
        <v>0</v>
      </c>
      <c r="FD171" s="56">
        <f t="shared" si="342"/>
        <v>0</v>
      </c>
      <c r="FE171" s="56">
        <f t="shared" si="342"/>
        <v>0</v>
      </c>
      <c r="FF171" s="56">
        <f t="shared" si="342"/>
        <v>0</v>
      </c>
      <c r="FG171" s="56">
        <f t="shared" si="342"/>
        <v>0</v>
      </c>
      <c r="FH171" s="56">
        <f t="shared" si="342"/>
        <v>0</v>
      </c>
    </row>
    <row r="172" spans="1:164" x14ac:dyDescent="0.2">
      <c r="A172" s="10"/>
      <c r="B172" s="10"/>
      <c r="C172" s="10"/>
      <c r="D172" s="10"/>
      <c r="E172" s="10"/>
      <c r="F172" s="10"/>
      <c r="G172" s="10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</row>
    <row r="173" spans="1:164" x14ac:dyDescent="0.2">
      <c r="A173" s="10"/>
      <c r="B173" s="49" t="s">
        <v>921</v>
      </c>
      <c r="C173" s="237" t="str">
        <f>"Launch "&amp;TEXT($F$32,"mmm/yy")&amp;" · construction "&amp;TEXT($F$34,"mmm/yy")&amp;"–"&amp;TEXT(EDATE($F$35,-1),"mmm/yy")&amp;" · keys "&amp;TEXT($F$35,"mmm/yy")</f>
        <v>Lançamento jan/32 · obra jul/32–jun/35 · chaves jul/35</v>
      </c>
      <c r="D173" s="49"/>
      <c r="E173" s="49"/>
      <c r="F173" s="49"/>
      <c r="G173" s="49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50"/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50"/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50"/>
      <c r="EZ173" s="50"/>
      <c r="FA173" s="50"/>
      <c r="FB173" s="50"/>
      <c r="FC173" s="50"/>
      <c r="FD173" s="50"/>
      <c r="FE173" s="50"/>
      <c r="FF173" s="50"/>
      <c r="FG173" s="50"/>
      <c r="FH173" s="50"/>
    </row>
    <row r="174" spans="1:164" x14ac:dyDescent="0.2">
      <c r="A174" s="10"/>
      <c r="B174" s="10"/>
      <c r="C174" s="10" t="s">
        <v>742</v>
      </c>
      <c r="D174" s="10"/>
      <c r="E174" s="10"/>
      <c r="F174" s="10"/>
      <c r="G174" s="10"/>
      <c r="H174" s="18">
        <f>SUM(I174:FH174)</f>
        <v>1.0000000000000009</v>
      </c>
      <c r="I174" s="51">
        <f t="shared" ref="I174:AN174" si="343">IFERROR(IF(AND(I$6&gt;=$F$32,I$6&lt;EDATE($F$32,$F$39)),$F$38/$F$39,IF(AND(I$6&gt;=$F$43,I$6&lt;$F$35),$F$42/$F$44,IF(AND(I$6&gt;=$F$45,I$6&lt;$F$46),$F$40/$F$41,0))),0)</f>
        <v>0</v>
      </c>
      <c r="J174" s="51">
        <f t="shared" si="343"/>
        <v>0</v>
      </c>
      <c r="K174" s="51">
        <f t="shared" si="343"/>
        <v>0</v>
      </c>
      <c r="L174" s="51">
        <f t="shared" si="343"/>
        <v>0</v>
      </c>
      <c r="M174" s="51">
        <f t="shared" si="343"/>
        <v>0</v>
      </c>
      <c r="N174" s="51">
        <f t="shared" si="343"/>
        <v>0</v>
      </c>
      <c r="O174" s="51">
        <f t="shared" si="343"/>
        <v>0</v>
      </c>
      <c r="P174" s="51">
        <f t="shared" si="343"/>
        <v>0</v>
      </c>
      <c r="Q174" s="51">
        <f t="shared" si="343"/>
        <v>0</v>
      </c>
      <c r="R174" s="51">
        <f t="shared" si="343"/>
        <v>0</v>
      </c>
      <c r="S174" s="51">
        <f t="shared" si="343"/>
        <v>0</v>
      </c>
      <c r="T174" s="51">
        <f t="shared" si="343"/>
        <v>0</v>
      </c>
      <c r="U174" s="51">
        <f t="shared" si="343"/>
        <v>0</v>
      </c>
      <c r="V174" s="51">
        <f t="shared" si="343"/>
        <v>0</v>
      </c>
      <c r="W174" s="51">
        <f t="shared" si="343"/>
        <v>0</v>
      </c>
      <c r="X174" s="51">
        <f t="shared" si="343"/>
        <v>0</v>
      </c>
      <c r="Y174" s="51">
        <f t="shared" si="343"/>
        <v>0</v>
      </c>
      <c r="Z174" s="51">
        <f t="shared" si="343"/>
        <v>0</v>
      </c>
      <c r="AA174" s="51">
        <f t="shared" si="343"/>
        <v>0</v>
      </c>
      <c r="AB174" s="51">
        <f t="shared" si="343"/>
        <v>0</v>
      </c>
      <c r="AC174" s="51">
        <f t="shared" si="343"/>
        <v>0</v>
      </c>
      <c r="AD174" s="51">
        <f t="shared" si="343"/>
        <v>0</v>
      </c>
      <c r="AE174" s="51">
        <f t="shared" si="343"/>
        <v>0</v>
      </c>
      <c r="AF174" s="51">
        <f t="shared" si="343"/>
        <v>0</v>
      </c>
      <c r="AG174" s="51">
        <f t="shared" si="343"/>
        <v>0</v>
      </c>
      <c r="AH174" s="51">
        <f t="shared" si="343"/>
        <v>0</v>
      </c>
      <c r="AI174" s="51">
        <f t="shared" si="343"/>
        <v>0</v>
      </c>
      <c r="AJ174" s="51">
        <f t="shared" si="343"/>
        <v>0</v>
      </c>
      <c r="AK174" s="51">
        <f t="shared" si="343"/>
        <v>0</v>
      </c>
      <c r="AL174" s="51">
        <f t="shared" si="343"/>
        <v>0</v>
      </c>
      <c r="AM174" s="51">
        <f t="shared" si="343"/>
        <v>0</v>
      </c>
      <c r="AN174" s="51">
        <f t="shared" si="343"/>
        <v>0</v>
      </c>
      <c r="AO174" s="51">
        <f t="shared" ref="AO174:BT174" si="344">IFERROR(IF(AND(AO$6&gt;=$F$32,AO$6&lt;EDATE($F$32,$F$39)),$F$38/$F$39,IF(AND(AO$6&gt;=$F$43,AO$6&lt;$F$35),$F$42/$F$44,IF(AND(AO$6&gt;=$F$45,AO$6&lt;$F$46),$F$40/$F$41,0))),0)</f>
        <v>0</v>
      </c>
      <c r="AP174" s="51">
        <f t="shared" si="344"/>
        <v>0</v>
      </c>
      <c r="AQ174" s="51">
        <f t="shared" si="344"/>
        <v>0</v>
      </c>
      <c r="AR174" s="51">
        <f t="shared" si="344"/>
        <v>0</v>
      </c>
      <c r="AS174" s="51">
        <f t="shared" si="344"/>
        <v>0</v>
      </c>
      <c r="AT174" s="51">
        <f t="shared" si="344"/>
        <v>0</v>
      </c>
      <c r="AU174" s="51">
        <f t="shared" si="344"/>
        <v>0</v>
      </c>
      <c r="AV174" s="51">
        <f t="shared" si="344"/>
        <v>0</v>
      </c>
      <c r="AW174" s="51">
        <f t="shared" si="344"/>
        <v>0</v>
      </c>
      <c r="AX174" s="51">
        <f t="shared" si="344"/>
        <v>0</v>
      </c>
      <c r="AY174" s="51">
        <f t="shared" si="344"/>
        <v>0</v>
      </c>
      <c r="AZ174" s="51">
        <f t="shared" si="344"/>
        <v>0</v>
      </c>
      <c r="BA174" s="51">
        <f t="shared" si="344"/>
        <v>0</v>
      </c>
      <c r="BB174" s="51">
        <f t="shared" si="344"/>
        <v>0</v>
      </c>
      <c r="BC174" s="51">
        <f t="shared" si="344"/>
        <v>0</v>
      </c>
      <c r="BD174" s="51">
        <f t="shared" si="344"/>
        <v>0</v>
      </c>
      <c r="BE174" s="51">
        <f t="shared" si="344"/>
        <v>0</v>
      </c>
      <c r="BF174" s="51">
        <f t="shared" si="344"/>
        <v>0</v>
      </c>
      <c r="BG174" s="51">
        <f t="shared" si="344"/>
        <v>0</v>
      </c>
      <c r="BH174" s="51">
        <f t="shared" si="344"/>
        <v>0</v>
      </c>
      <c r="BI174" s="51">
        <f t="shared" si="344"/>
        <v>0</v>
      </c>
      <c r="BJ174" s="51">
        <f t="shared" si="344"/>
        <v>0</v>
      </c>
      <c r="BK174" s="51">
        <f t="shared" si="344"/>
        <v>0</v>
      </c>
      <c r="BL174" s="51">
        <f t="shared" si="344"/>
        <v>0</v>
      </c>
      <c r="BM174" s="51">
        <f t="shared" si="344"/>
        <v>0</v>
      </c>
      <c r="BN174" s="51">
        <f t="shared" si="344"/>
        <v>0</v>
      </c>
      <c r="BO174" s="51">
        <f t="shared" si="344"/>
        <v>0</v>
      </c>
      <c r="BP174" s="51">
        <f t="shared" si="344"/>
        <v>0</v>
      </c>
      <c r="BQ174" s="51">
        <f t="shared" si="344"/>
        <v>4.9999999999999996E-2</v>
      </c>
      <c r="BR174" s="51">
        <f t="shared" si="344"/>
        <v>4.9999999999999996E-2</v>
      </c>
      <c r="BS174" s="51">
        <f t="shared" si="344"/>
        <v>4.9999999999999996E-2</v>
      </c>
      <c r="BT174" s="51">
        <f t="shared" si="344"/>
        <v>4.9999999999999996E-2</v>
      </c>
      <c r="BU174" s="51">
        <f t="shared" ref="BU174:CZ174" si="345">IFERROR(IF(AND(BU$6&gt;=$F$32,BU$6&lt;EDATE($F$32,$F$39)),$F$38/$F$39,IF(AND(BU$6&gt;=$F$43,BU$6&lt;$F$35),$F$42/$F$44,IF(AND(BU$6&gt;=$F$45,BU$6&lt;$F$46),$F$40/$F$41,0))),0)</f>
        <v>4.9999999999999996E-2</v>
      </c>
      <c r="BV174" s="51">
        <f t="shared" si="345"/>
        <v>4.9999999999999996E-2</v>
      </c>
      <c r="BW174" s="51">
        <f t="shared" si="345"/>
        <v>1.6666666666666666E-2</v>
      </c>
      <c r="BX174" s="51">
        <f t="shared" si="345"/>
        <v>1.6666666666666666E-2</v>
      </c>
      <c r="BY174" s="51">
        <f t="shared" si="345"/>
        <v>1.6666666666666666E-2</v>
      </c>
      <c r="BZ174" s="51">
        <f t="shared" si="345"/>
        <v>1.6666666666666666E-2</v>
      </c>
      <c r="CA174" s="51">
        <f t="shared" si="345"/>
        <v>1.6666666666666666E-2</v>
      </c>
      <c r="CB174" s="51">
        <f t="shared" si="345"/>
        <v>1.6666666666666666E-2</v>
      </c>
      <c r="CC174" s="51">
        <f t="shared" si="345"/>
        <v>1.6666666666666666E-2</v>
      </c>
      <c r="CD174" s="51">
        <f t="shared" si="345"/>
        <v>1.6666666666666666E-2</v>
      </c>
      <c r="CE174" s="51">
        <f t="shared" si="345"/>
        <v>1.6666666666666666E-2</v>
      </c>
      <c r="CF174" s="51">
        <f t="shared" si="345"/>
        <v>1.6666666666666666E-2</v>
      </c>
      <c r="CG174" s="51">
        <f t="shared" si="345"/>
        <v>1.6666666666666666E-2</v>
      </c>
      <c r="CH174" s="51">
        <f t="shared" si="345"/>
        <v>1.6666666666666666E-2</v>
      </c>
      <c r="CI174" s="51">
        <f t="shared" si="345"/>
        <v>1.6666666666666666E-2</v>
      </c>
      <c r="CJ174" s="51">
        <f t="shared" si="345"/>
        <v>1.6666666666666666E-2</v>
      </c>
      <c r="CK174" s="51">
        <f t="shared" si="345"/>
        <v>1.6666666666666666E-2</v>
      </c>
      <c r="CL174" s="51">
        <f t="shared" si="345"/>
        <v>1.6666666666666666E-2</v>
      </c>
      <c r="CM174" s="51">
        <f t="shared" si="345"/>
        <v>1.6666666666666666E-2</v>
      </c>
      <c r="CN174" s="51">
        <f t="shared" si="345"/>
        <v>1.6666666666666666E-2</v>
      </c>
      <c r="CO174" s="51">
        <f t="shared" si="345"/>
        <v>1.6666666666666666E-2</v>
      </c>
      <c r="CP174" s="51">
        <f t="shared" si="345"/>
        <v>1.6666666666666666E-2</v>
      </c>
      <c r="CQ174" s="51">
        <f t="shared" si="345"/>
        <v>1.6666666666666666E-2</v>
      </c>
      <c r="CR174" s="51">
        <f t="shared" si="345"/>
        <v>1.6666666666666666E-2</v>
      </c>
      <c r="CS174" s="51">
        <f t="shared" si="345"/>
        <v>1.6666666666666666E-2</v>
      </c>
      <c r="CT174" s="51">
        <f t="shared" si="345"/>
        <v>1.6666666666666666E-2</v>
      </c>
      <c r="CU174" s="51">
        <f t="shared" si="345"/>
        <v>1.6666666666666666E-2</v>
      </c>
      <c r="CV174" s="51">
        <f t="shared" si="345"/>
        <v>1.6666666666666666E-2</v>
      </c>
      <c r="CW174" s="51">
        <f t="shared" si="345"/>
        <v>1.6666666666666666E-2</v>
      </c>
      <c r="CX174" s="51">
        <f t="shared" si="345"/>
        <v>1.6666666666666666E-2</v>
      </c>
      <c r="CY174" s="51">
        <f t="shared" si="345"/>
        <v>1.6666666666666666E-2</v>
      </c>
      <c r="CZ174" s="51">
        <f t="shared" si="345"/>
        <v>1.6666666666666666E-2</v>
      </c>
      <c r="DA174" s="51">
        <f t="shared" ref="DA174:EF174" si="346">IFERROR(IF(AND(DA$6&gt;=$F$32,DA$6&lt;EDATE($F$32,$F$39)),$F$38/$F$39,IF(AND(DA$6&gt;=$F$43,DA$6&lt;$F$35),$F$42/$F$44,IF(AND(DA$6&gt;=$F$45,DA$6&lt;$F$46),$F$40/$F$41,0))),0)</f>
        <v>1.6666666666666666E-2</v>
      </c>
      <c r="DB174" s="51">
        <f t="shared" si="346"/>
        <v>1.6666666666666666E-2</v>
      </c>
      <c r="DC174" s="51">
        <f t="shared" si="346"/>
        <v>1.6666666666666666E-2</v>
      </c>
      <c r="DD174" s="51">
        <f t="shared" si="346"/>
        <v>1.6666666666666666E-2</v>
      </c>
      <c r="DE174" s="51">
        <f t="shared" si="346"/>
        <v>1.6666666666666666E-2</v>
      </c>
      <c r="DF174" s="51">
        <f t="shared" si="346"/>
        <v>1.6666666666666666E-2</v>
      </c>
      <c r="DG174" s="51">
        <f t="shared" si="346"/>
        <v>0</v>
      </c>
      <c r="DH174" s="51">
        <f t="shared" si="346"/>
        <v>8.3333333333333332E-3</v>
      </c>
      <c r="DI174" s="51">
        <f t="shared" si="346"/>
        <v>8.3333333333333332E-3</v>
      </c>
      <c r="DJ174" s="51">
        <f t="shared" si="346"/>
        <v>8.3333333333333332E-3</v>
      </c>
      <c r="DK174" s="51">
        <f t="shared" si="346"/>
        <v>8.3333333333333332E-3</v>
      </c>
      <c r="DL174" s="51">
        <f t="shared" si="346"/>
        <v>8.3333333333333332E-3</v>
      </c>
      <c r="DM174" s="51">
        <f t="shared" si="346"/>
        <v>8.3333333333333332E-3</v>
      </c>
      <c r="DN174" s="51">
        <f t="shared" si="346"/>
        <v>8.3333333333333332E-3</v>
      </c>
      <c r="DO174" s="51">
        <f t="shared" si="346"/>
        <v>8.3333333333333332E-3</v>
      </c>
      <c r="DP174" s="51">
        <f t="shared" si="346"/>
        <v>8.3333333333333332E-3</v>
      </c>
      <c r="DQ174" s="51">
        <f t="shared" si="346"/>
        <v>8.3333333333333332E-3</v>
      </c>
      <c r="DR174" s="51">
        <f t="shared" si="346"/>
        <v>8.3333333333333332E-3</v>
      </c>
      <c r="DS174" s="51">
        <f t="shared" si="346"/>
        <v>8.3333333333333332E-3</v>
      </c>
      <c r="DT174" s="51">
        <f t="shared" si="346"/>
        <v>0</v>
      </c>
      <c r="DU174" s="51">
        <f t="shared" si="346"/>
        <v>0</v>
      </c>
      <c r="DV174" s="51">
        <f t="shared" si="346"/>
        <v>0</v>
      </c>
      <c r="DW174" s="51">
        <f t="shared" si="346"/>
        <v>0</v>
      </c>
      <c r="DX174" s="51">
        <f t="shared" si="346"/>
        <v>0</v>
      </c>
      <c r="DY174" s="51">
        <f t="shared" si="346"/>
        <v>0</v>
      </c>
      <c r="DZ174" s="51">
        <f t="shared" si="346"/>
        <v>0</v>
      </c>
      <c r="EA174" s="51">
        <f t="shared" si="346"/>
        <v>0</v>
      </c>
      <c r="EB174" s="51">
        <f t="shared" si="346"/>
        <v>0</v>
      </c>
      <c r="EC174" s="51">
        <f t="shared" si="346"/>
        <v>0</v>
      </c>
      <c r="ED174" s="51">
        <f t="shared" si="346"/>
        <v>0</v>
      </c>
      <c r="EE174" s="51">
        <f t="shared" si="346"/>
        <v>0</v>
      </c>
      <c r="EF174" s="51">
        <f t="shared" si="346"/>
        <v>0</v>
      </c>
      <c r="EG174" s="51">
        <f t="shared" ref="EG174:FH174" si="347">IFERROR(IF(AND(EG$6&gt;=$F$32,EG$6&lt;EDATE($F$32,$F$39)),$F$38/$F$39,IF(AND(EG$6&gt;=$F$43,EG$6&lt;$F$35),$F$42/$F$44,IF(AND(EG$6&gt;=$F$45,EG$6&lt;$F$46),$F$40/$F$41,0))),0)</f>
        <v>0</v>
      </c>
      <c r="EH174" s="51">
        <f t="shared" si="347"/>
        <v>0</v>
      </c>
      <c r="EI174" s="51">
        <f t="shared" si="347"/>
        <v>0</v>
      </c>
      <c r="EJ174" s="51">
        <f t="shared" si="347"/>
        <v>0</v>
      </c>
      <c r="EK174" s="51">
        <f t="shared" si="347"/>
        <v>0</v>
      </c>
      <c r="EL174" s="51">
        <f t="shared" si="347"/>
        <v>0</v>
      </c>
      <c r="EM174" s="51">
        <f t="shared" si="347"/>
        <v>0</v>
      </c>
      <c r="EN174" s="51">
        <f t="shared" si="347"/>
        <v>0</v>
      </c>
      <c r="EO174" s="51">
        <f t="shared" si="347"/>
        <v>0</v>
      </c>
      <c r="EP174" s="51">
        <f t="shared" si="347"/>
        <v>0</v>
      </c>
      <c r="EQ174" s="51">
        <f t="shared" si="347"/>
        <v>0</v>
      </c>
      <c r="ER174" s="51">
        <f t="shared" si="347"/>
        <v>0</v>
      </c>
      <c r="ES174" s="51">
        <f t="shared" si="347"/>
        <v>0</v>
      </c>
      <c r="ET174" s="51">
        <f t="shared" si="347"/>
        <v>0</v>
      </c>
      <c r="EU174" s="51">
        <f t="shared" si="347"/>
        <v>0</v>
      </c>
      <c r="EV174" s="51">
        <f t="shared" si="347"/>
        <v>0</v>
      </c>
      <c r="EW174" s="51">
        <f t="shared" si="347"/>
        <v>0</v>
      </c>
      <c r="EX174" s="51">
        <f t="shared" si="347"/>
        <v>0</v>
      </c>
      <c r="EY174" s="51">
        <f t="shared" si="347"/>
        <v>0</v>
      </c>
      <c r="EZ174" s="51">
        <f t="shared" si="347"/>
        <v>0</v>
      </c>
      <c r="FA174" s="51">
        <f t="shared" si="347"/>
        <v>0</v>
      </c>
      <c r="FB174" s="51">
        <f t="shared" si="347"/>
        <v>0</v>
      </c>
      <c r="FC174" s="51">
        <f t="shared" si="347"/>
        <v>0</v>
      </c>
      <c r="FD174" s="51">
        <f t="shared" si="347"/>
        <v>0</v>
      </c>
      <c r="FE174" s="51">
        <f t="shared" si="347"/>
        <v>0</v>
      </c>
      <c r="FF174" s="51">
        <f t="shared" si="347"/>
        <v>0</v>
      </c>
      <c r="FG174" s="51">
        <f t="shared" si="347"/>
        <v>0</v>
      </c>
      <c r="FH174" s="51">
        <f t="shared" si="347"/>
        <v>0</v>
      </c>
    </row>
    <row r="175" spans="1:164" x14ac:dyDescent="0.2">
      <c r="A175" s="10"/>
      <c r="B175" s="10"/>
      <c r="C175" s="10" t="s">
        <v>909</v>
      </c>
      <c r="D175" s="10"/>
      <c r="E175" s="10"/>
      <c r="F175" s="10"/>
      <c r="G175" s="10"/>
      <c r="H175" s="12">
        <f>SUM(I175:FH175)</f>
        <v>361968.24999999988</v>
      </c>
      <c r="I175" s="12">
        <f t="shared" ref="I175:AN175" si="348">I174*$F$23*(1+$D$11)^(MAX(0,DATEDIF($D$10,I$6,"m"))/12)</f>
        <v>0</v>
      </c>
      <c r="J175" s="12">
        <f t="shared" si="348"/>
        <v>0</v>
      </c>
      <c r="K175" s="12">
        <f t="shared" si="348"/>
        <v>0</v>
      </c>
      <c r="L175" s="12">
        <f t="shared" si="348"/>
        <v>0</v>
      </c>
      <c r="M175" s="12">
        <f t="shared" si="348"/>
        <v>0</v>
      </c>
      <c r="N175" s="12">
        <f t="shared" si="348"/>
        <v>0</v>
      </c>
      <c r="O175" s="12">
        <f t="shared" si="348"/>
        <v>0</v>
      </c>
      <c r="P175" s="12">
        <f t="shared" si="348"/>
        <v>0</v>
      </c>
      <c r="Q175" s="12">
        <f t="shared" si="348"/>
        <v>0</v>
      </c>
      <c r="R175" s="12">
        <f t="shared" si="348"/>
        <v>0</v>
      </c>
      <c r="S175" s="12">
        <f t="shared" si="348"/>
        <v>0</v>
      </c>
      <c r="T175" s="12">
        <f t="shared" si="348"/>
        <v>0</v>
      </c>
      <c r="U175" s="12">
        <f t="shared" si="348"/>
        <v>0</v>
      </c>
      <c r="V175" s="12">
        <f t="shared" si="348"/>
        <v>0</v>
      </c>
      <c r="W175" s="12">
        <f t="shared" si="348"/>
        <v>0</v>
      </c>
      <c r="X175" s="12">
        <f t="shared" si="348"/>
        <v>0</v>
      </c>
      <c r="Y175" s="12">
        <f t="shared" si="348"/>
        <v>0</v>
      </c>
      <c r="Z175" s="12">
        <f t="shared" si="348"/>
        <v>0</v>
      </c>
      <c r="AA175" s="12">
        <f t="shared" si="348"/>
        <v>0</v>
      </c>
      <c r="AB175" s="12">
        <f t="shared" si="348"/>
        <v>0</v>
      </c>
      <c r="AC175" s="12">
        <f t="shared" si="348"/>
        <v>0</v>
      </c>
      <c r="AD175" s="12">
        <f t="shared" si="348"/>
        <v>0</v>
      </c>
      <c r="AE175" s="12">
        <f t="shared" si="348"/>
        <v>0</v>
      </c>
      <c r="AF175" s="12">
        <f t="shared" si="348"/>
        <v>0</v>
      </c>
      <c r="AG175" s="12">
        <f t="shared" si="348"/>
        <v>0</v>
      </c>
      <c r="AH175" s="12">
        <f t="shared" si="348"/>
        <v>0</v>
      </c>
      <c r="AI175" s="12">
        <f t="shared" si="348"/>
        <v>0</v>
      </c>
      <c r="AJ175" s="12">
        <f t="shared" si="348"/>
        <v>0</v>
      </c>
      <c r="AK175" s="12">
        <f t="shared" si="348"/>
        <v>0</v>
      </c>
      <c r="AL175" s="12">
        <f t="shared" si="348"/>
        <v>0</v>
      </c>
      <c r="AM175" s="12">
        <f t="shared" si="348"/>
        <v>0</v>
      </c>
      <c r="AN175" s="12">
        <f t="shared" si="348"/>
        <v>0</v>
      </c>
      <c r="AO175" s="12">
        <f t="shared" ref="AO175:BT175" si="349">AO174*$F$23*(1+$D$11)^(MAX(0,DATEDIF($D$10,AO$6,"m"))/12)</f>
        <v>0</v>
      </c>
      <c r="AP175" s="12">
        <f t="shared" si="349"/>
        <v>0</v>
      </c>
      <c r="AQ175" s="12">
        <f t="shared" si="349"/>
        <v>0</v>
      </c>
      <c r="AR175" s="12">
        <f t="shared" si="349"/>
        <v>0</v>
      </c>
      <c r="AS175" s="12">
        <f t="shared" si="349"/>
        <v>0</v>
      </c>
      <c r="AT175" s="12">
        <f t="shared" si="349"/>
        <v>0</v>
      </c>
      <c r="AU175" s="12">
        <f t="shared" si="349"/>
        <v>0</v>
      </c>
      <c r="AV175" s="12">
        <f t="shared" si="349"/>
        <v>0</v>
      </c>
      <c r="AW175" s="12">
        <f t="shared" si="349"/>
        <v>0</v>
      </c>
      <c r="AX175" s="12">
        <f t="shared" si="349"/>
        <v>0</v>
      </c>
      <c r="AY175" s="12">
        <f t="shared" si="349"/>
        <v>0</v>
      </c>
      <c r="AZ175" s="12">
        <f t="shared" si="349"/>
        <v>0</v>
      </c>
      <c r="BA175" s="12">
        <f t="shared" si="349"/>
        <v>0</v>
      </c>
      <c r="BB175" s="12">
        <f t="shared" si="349"/>
        <v>0</v>
      </c>
      <c r="BC175" s="12">
        <f t="shared" si="349"/>
        <v>0</v>
      </c>
      <c r="BD175" s="12">
        <f t="shared" si="349"/>
        <v>0</v>
      </c>
      <c r="BE175" s="12">
        <f t="shared" si="349"/>
        <v>0</v>
      </c>
      <c r="BF175" s="12">
        <f t="shared" si="349"/>
        <v>0</v>
      </c>
      <c r="BG175" s="12">
        <f t="shared" si="349"/>
        <v>0</v>
      </c>
      <c r="BH175" s="12">
        <f t="shared" si="349"/>
        <v>0</v>
      </c>
      <c r="BI175" s="12">
        <f t="shared" si="349"/>
        <v>0</v>
      </c>
      <c r="BJ175" s="12">
        <f t="shared" si="349"/>
        <v>0</v>
      </c>
      <c r="BK175" s="12">
        <f t="shared" si="349"/>
        <v>0</v>
      </c>
      <c r="BL175" s="12">
        <f t="shared" si="349"/>
        <v>0</v>
      </c>
      <c r="BM175" s="12">
        <f t="shared" si="349"/>
        <v>0</v>
      </c>
      <c r="BN175" s="12">
        <f t="shared" si="349"/>
        <v>0</v>
      </c>
      <c r="BO175" s="12">
        <f t="shared" si="349"/>
        <v>0</v>
      </c>
      <c r="BP175" s="12">
        <f t="shared" si="349"/>
        <v>0</v>
      </c>
      <c r="BQ175" s="12">
        <f t="shared" si="349"/>
        <v>18098.412499999995</v>
      </c>
      <c r="BR175" s="12">
        <f t="shared" si="349"/>
        <v>18098.412499999995</v>
      </c>
      <c r="BS175" s="12">
        <f t="shared" si="349"/>
        <v>18098.412499999995</v>
      </c>
      <c r="BT175" s="12">
        <f t="shared" si="349"/>
        <v>18098.412499999995</v>
      </c>
      <c r="BU175" s="12">
        <f t="shared" ref="BU175:CZ175" si="350">BU174*$F$23*(1+$D$11)^(MAX(0,DATEDIF($D$10,BU$6,"m"))/12)</f>
        <v>18098.412499999995</v>
      </c>
      <c r="BV175" s="12">
        <f t="shared" si="350"/>
        <v>18098.412499999995</v>
      </c>
      <c r="BW175" s="12">
        <f t="shared" si="350"/>
        <v>6032.8041666666659</v>
      </c>
      <c r="BX175" s="12">
        <f t="shared" si="350"/>
        <v>6032.8041666666659</v>
      </c>
      <c r="BY175" s="12">
        <f t="shared" si="350"/>
        <v>6032.8041666666659</v>
      </c>
      <c r="BZ175" s="12">
        <f t="shared" si="350"/>
        <v>6032.8041666666659</v>
      </c>
      <c r="CA175" s="12">
        <f t="shared" si="350"/>
        <v>6032.8041666666659</v>
      </c>
      <c r="CB175" s="12">
        <f t="shared" si="350"/>
        <v>6032.8041666666659</v>
      </c>
      <c r="CC175" s="12">
        <f t="shared" si="350"/>
        <v>6032.8041666666659</v>
      </c>
      <c r="CD175" s="12">
        <f t="shared" si="350"/>
        <v>6032.8041666666659</v>
      </c>
      <c r="CE175" s="12">
        <f t="shared" si="350"/>
        <v>6032.8041666666659</v>
      </c>
      <c r="CF175" s="12">
        <f t="shared" si="350"/>
        <v>6032.8041666666659</v>
      </c>
      <c r="CG175" s="12">
        <f t="shared" si="350"/>
        <v>6032.8041666666659</v>
      </c>
      <c r="CH175" s="12">
        <f t="shared" si="350"/>
        <v>6032.8041666666659</v>
      </c>
      <c r="CI175" s="12">
        <f t="shared" si="350"/>
        <v>6032.8041666666659</v>
      </c>
      <c r="CJ175" s="12">
        <f t="shared" si="350"/>
        <v>6032.8041666666659</v>
      </c>
      <c r="CK175" s="12">
        <f t="shared" si="350"/>
        <v>6032.8041666666659</v>
      </c>
      <c r="CL175" s="12">
        <f t="shared" si="350"/>
        <v>6032.8041666666659</v>
      </c>
      <c r="CM175" s="12">
        <f t="shared" si="350"/>
        <v>6032.8041666666659</v>
      </c>
      <c r="CN175" s="12">
        <f t="shared" si="350"/>
        <v>6032.8041666666659</v>
      </c>
      <c r="CO175" s="12">
        <f t="shared" si="350"/>
        <v>6032.8041666666659</v>
      </c>
      <c r="CP175" s="12">
        <f t="shared" si="350"/>
        <v>6032.8041666666659</v>
      </c>
      <c r="CQ175" s="12">
        <f t="shared" si="350"/>
        <v>6032.8041666666659</v>
      </c>
      <c r="CR175" s="12">
        <f t="shared" si="350"/>
        <v>6032.8041666666659</v>
      </c>
      <c r="CS175" s="12">
        <f t="shared" si="350"/>
        <v>6032.8041666666659</v>
      </c>
      <c r="CT175" s="12">
        <f t="shared" si="350"/>
        <v>6032.8041666666659</v>
      </c>
      <c r="CU175" s="12">
        <f t="shared" si="350"/>
        <v>6032.8041666666659</v>
      </c>
      <c r="CV175" s="12">
        <f t="shared" si="350"/>
        <v>6032.8041666666659</v>
      </c>
      <c r="CW175" s="12">
        <f t="shared" si="350"/>
        <v>6032.8041666666659</v>
      </c>
      <c r="CX175" s="12">
        <f t="shared" si="350"/>
        <v>6032.8041666666659</v>
      </c>
      <c r="CY175" s="12">
        <f t="shared" si="350"/>
        <v>6032.8041666666659</v>
      </c>
      <c r="CZ175" s="12">
        <f t="shared" si="350"/>
        <v>6032.8041666666659</v>
      </c>
      <c r="DA175" s="12">
        <f t="shared" ref="DA175:EF175" si="351">DA174*$F$23*(1+$D$11)^(MAX(0,DATEDIF($D$10,DA$6,"m"))/12)</f>
        <v>6032.8041666666659</v>
      </c>
      <c r="DB175" s="12">
        <f t="shared" si="351"/>
        <v>6032.8041666666659</v>
      </c>
      <c r="DC175" s="12">
        <f t="shared" si="351"/>
        <v>6032.8041666666659</v>
      </c>
      <c r="DD175" s="12">
        <f t="shared" si="351"/>
        <v>6032.8041666666659</v>
      </c>
      <c r="DE175" s="12">
        <f t="shared" si="351"/>
        <v>6032.8041666666659</v>
      </c>
      <c r="DF175" s="12">
        <f t="shared" si="351"/>
        <v>6032.8041666666659</v>
      </c>
      <c r="DG175" s="12">
        <f t="shared" si="351"/>
        <v>0</v>
      </c>
      <c r="DH175" s="12">
        <f t="shared" si="351"/>
        <v>3016.4020833333329</v>
      </c>
      <c r="DI175" s="12">
        <f t="shared" si="351"/>
        <v>3016.4020833333329</v>
      </c>
      <c r="DJ175" s="12">
        <f t="shared" si="351"/>
        <v>3016.4020833333329</v>
      </c>
      <c r="DK175" s="12">
        <f t="shared" si="351"/>
        <v>3016.4020833333329</v>
      </c>
      <c r="DL175" s="12">
        <f t="shared" si="351"/>
        <v>3016.4020833333329</v>
      </c>
      <c r="DM175" s="12">
        <f t="shared" si="351"/>
        <v>3016.4020833333329</v>
      </c>
      <c r="DN175" s="12">
        <f t="shared" si="351"/>
        <v>3016.4020833333329</v>
      </c>
      <c r="DO175" s="12">
        <f t="shared" si="351"/>
        <v>3016.4020833333329</v>
      </c>
      <c r="DP175" s="12">
        <f t="shared" si="351"/>
        <v>3016.4020833333329</v>
      </c>
      <c r="DQ175" s="12">
        <f t="shared" si="351"/>
        <v>3016.4020833333329</v>
      </c>
      <c r="DR175" s="12">
        <f t="shared" si="351"/>
        <v>3016.4020833333329</v>
      </c>
      <c r="DS175" s="12">
        <f t="shared" si="351"/>
        <v>3016.4020833333329</v>
      </c>
      <c r="DT175" s="12">
        <f t="shared" si="351"/>
        <v>0</v>
      </c>
      <c r="DU175" s="12">
        <f t="shared" si="351"/>
        <v>0</v>
      </c>
      <c r="DV175" s="12">
        <f t="shared" si="351"/>
        <v>0</v>
      </c>
      <c r="DW175" s="12">
        <f t="shared" si="351"/>
        <v>0</v>
      </c>
      <c r="DX175" s="12">
        <f t="shared" si="351"/>
        <v>0</v>
      </c>
      <c r="DY175" s="12">
        <f t="shared" si="351"/>
        <v>0</v>
      </c>
      <c r="DZ175" s="12">
        <f t="shared" si="351"/>
        <v>0</v>
      </c>
      <c r="EA175" s="12">
        <f t="shared" si="351"/>
        <v>0</v>
      </c>
      <c r="EB175" s="12">
        <f t="shared" si="351"/>
        <v>0</v>
      </c>
      <c r="EC175" s="12">
        <f t="shared" si="351"/>
        <v>0</v>
      </c>
      <c r="ED175" s="12">
        <f t="shared" si="351"/>
        <v>0</v>
      </c>
      <c r="EE175" s="12">
        <f t="shared" si="351"/>
        <v>0</v>
      </c>
      <c r="EF175" s="12">
        <f t="shared" si="351"/>
        <v>0</v>
      </c>
      <c r="EG175" s="12">
        <f t="shared" ref="EG175:FH175" si="352">EG174*$F$23*(1+$D$11)^(MAX(0,DATEDIF($D$10,EG$6,"m"))/12)</f>
        <v>0</v>
      </c>
      <c r="EH175" s="12">
        <f t="shared" si="352"/>
        <v>0</v>
      </c>
      <c r="EI175" s="12">
        <f t="shared" si="352"/>
        <v>0</v>
      </c>
      <c r="EJ175" s="12">
        <f t="shared" si="352"/>
        <v>0</v>
      </c>
      <c r="EK175" s="12">
        <f t="shared" si="352"/>
        <v>0</v>
      </c>
      <c r="EL175" s="12">
        <f t="shared" si="352"/>
        <v>0</v>
      </c>
      <c r="EM175" s="12">
        <f t="shared" si="352"/>
        <v>0</v>
      </c>
      <c r="EN175" s="12">
        <f t="shared" si="352"/>
        <v>0</v>
      </c>
      <c r="EO175" s="12">
        <f t="shared" si="352"/>
        <v>0</v>
      </c>
      <c r="EP175" s="12">
        <f t="shared" si="352"/>
        <v>0</v>
      </c>
      <c r="EQ175" s="12">
        <f t="shared" si="352"/>
        <v>0</v>
      </c>
      <c r="ER175" s="12">
        <f t="shared" si="352"/>
        <v>0</v>
      </c>
      <c r="ES175" s="12">
        <f t="shared" si="352"/>
        <v>0</v>
      </c>
      <c r="ET175" s="12">
        <f t="shared" si="352"/>
        <v>0</v>
      </c>
      <c r="EU175" s="12">
        <f t="shared" si="352"/>
        <v>0</v>
      </c>
      <c r="EV175" s="12">
        <f t="shared" si="352"/>
        <v>0</v>
      </c>
      <c r="EW175" s="12">
        <f t="shared" si="352"/>
        <v>0</v>
      </c>
      <c r="EX175" s="12">
        <f t="shared" si="352"/>
        <v>0</v>
      </c>
      <c r="EY175" s="12">
        <f t="shared" si="352"/>
        <v>0</v>
      </c>
      <c r="EZ175" s="12">
        <f t="shared" si="352"/>
        <v>0</v>
      </c>
      <c r="FA175" s="12">
        <f t="shared" si="352"/>
        <v>0</v>
      </c>
      <c r="FB175" s="12">
        <f t="shared" si="352"/>
        <v>0</v>
      </c>
      <c r="FC175" s="12">
        <f t="shared" si="352"/>
        <v>0</v>
      </c>
      <c r="FD175" s="12">
        <f t="shared" si="352"/>
        <v>0</v>
      </c>
      <c r="FE175" s="12">
        <f t="shared" si="352"/>
        <v>0</v>
      </c>
      <c r="FF175" s="12">
        <f t="shared" si="352"/>
        <v>0</v>
      </c>
      <c r="FG175" s="12">
        <f t="shared" si="352"/>
        <v>0</v>
      </c>
      <c r="FH175" s="12">
        <f t="shared" si="352"/>
        <v>0</v>
      </c>
    </row>
    <row r="176" spans="1:164" x14ac:dyDescent="0.2">
      <c r="A176" s="10"/>
      <c r="B176" s="10"/>
      <c r="C176" s="201" t="s">
        <v>748</v>
      </c>
      <c r="D176" s="194"/>
      <c r="E176" s="194"/>
      <c r="F176" s="194"/>
      <c r="G176" s="194"/>
      <c r="H176" s="216"/>
      <c r="I176" s="216">
        <f t="shared" ref="I176:AN176" si="353">IF(I$6&lt;$F$35,I175*$F$50/DATEDIF(I$6,$F$35,"m"),0)</f>
        <v>0</v>
      </c>
      <c r="J176" s="216">
        <f t="shared" si="353"/>
        <v>0</v>
      </c>
      <c r="K176" s="216">
        <f t="shared" si="353"/>
        <v>0</v>
      </c>
      <c r="L176" s="216">
        <f t="shared" si="353"/>
        <v>0</v>
      </c>
      <c r="M176" s="216">
        <f t="shared" si="353"/>
        <v>0</v>
      </c>
      <c r="N176" s="216">
        <f t="shared" si="353"/>
        <v>0</v>
      </c>
      <c r="O176" s="216">
        <f t="shared" si="353"/>
        <v>0</v>
      </c>
      <c r="P176" s="216">
        <f t="shared" si="353"/>
        <v>0</v>
      </c>
      <c r="Q176" s="216">
        <f t="shared" si="353"/>
        <v>0</v>
      </c>
      <c r="R176" s="216">
        <f t="shared" si="353"/>
        <v>0</v>
      </c>
      <c r="S176" s="216">
        <f t="shared" si="353"/>
        <v>0</v>
      </c>
      <c r="T176" s="216">
        <f t="shared" si="353"/>
        <v>0</v>
      </c>
      <c r="U176" s="216">
        <f t="shared" si="353"/>
        <v>0</v>
      </c>
      <c r="V176" s="216">
        <f t="shared" si="353"/>
        <v>0</v>
      </c>
      <c r="W176" s="216">
        <f t="shared" si="353"/>
        <v>0</v>
      </c>
      <c r="X176" s="216">
        <f t="shared" si="353"/>
        <v>0</v>
      </c>
      <c r="Y176" s="216">
        <f t="shared" si="353"/>
        <v>0</v>
      </c>
      <c r="Z176" s="216">
        <f t="shared" si="353"/>
        <v>0</v>
      </c>
      <c r="AA176" s="216">
        <f t="shared" si="353"/>
        <v>0</v>
      </c>
      <c r="AB176" s="216">
        <f t="shared" si="353"/>
        <v>0</v>
      </c>
      <c r="AC176" s="216">
        <f t="shared" si="353"/>
        <v>0</v>
      </c>
      <c r="AD176" s="216">
        <f t="shared" si="353"/>
        <v>0</v>
      </c>
      <c r="AE176" s="216">
        <f t="shared" si="353"/>
        <v>0</v>
      </c>
      <c r="AF176" s="216">
        <f t="shared" si="353"/>
        <v>0</v>
      </c>
      <c r="AG176" s="216">
        <f t="shared" si="353"/>
        <v>0</v>
      </c>
      <c r="AH176" s="216">
        <f t="shared" si="353"/>
        <v>0</v>
      </c>
      <c r="AI176" s="216">
        <f t="shared" si="353"/>
        <v>0</v>
      </c>
      <c r="AJ176" s="216">
        <f t="shared" si="353"/>
        <v>0</v>
      </c>
      <c r="AK176" s="216">
        <f t="shared" si="353"/>
        <v>0</v>
      </c>
      <c r="AL176" s="216">
        <f t="shared" si="353"/>
        <v>0</v>
      </c>
      <c r="AM176" s="216">
        <f t="shared" si="353"/>
        <v>0</v>
      </c>
      <c r="AN176" s="216">
        <f t="shared" si="353"/>
        <v>0</v>
      </c>
      <c r="AO176" s="216">
        <f t="shared" ref="AO176:BT176" si="354">IF(AO$6&lt;$F$35,AO175*$F$50/DATEDIF(AO$6,$F$35,"m"),0)</f>
        <v>0</v>
      </c>
      <c r="AP176" s="216">
        <f t="shared" si="354"/>
        <v>0</v>
      </c>
      <c r="AQ176" s="216">
        <f t="shared" si="354"/>
        <v>0</v>
      </c>
      <c r="AR176" s="216">
        <f t="shared" si="354"/>
        <v>0</v>
      </c>
      <c r="AS176" s="216">
        <f t="shared" si="354"/>
        <v>0</v>
      </c>
      <c r="AT176" s="216">
        <f t="shared" si="354"/>
        <v>0</v>
      </c>
      <c r="AU176" s="216">
        <f t="shared" si="354"/>
        <v>0</v>
      </c>
      <c r="AV176" s="216">
        <f t="shared" si="354"/>
        <v>0</v>
      </c>
      <c r="AW176" s="216">
        <f t="shared" si="354"/>
        <v>0</v>
      </c>
      <c r="AX176" s="216">
        <f t="shared" si="354"/>
        <v>0</v>
      </c>
      <c r="AY176" s="216">
        <f t="shared" si="354"/>
        <v>0</v>
      </c>
      <c r="AZ176" s="216">
        <f t="shared" si="354"/>
        <v>0</v>
      </c>
      <c r="BA176" s="216">
        <f t="shared" si="354"/>
        <v>0</v>
      </c>
      <c r="BB176" s="216">
        <f t="shared" si="354"/>
        <v>0</v>
      </c>
      <c r="BC176" s="216">
        <f t="shared" si="354"/>
        <v>0</v>
      </c>
      <c r="BD176" s="216">
        <f t="shared" si="354"/>
        <v>0</v>
      </c>
      <c r="BE176" s="216">
        <f t="shared" si="354"/>
        <v>0</v>
      </c>
      <c r="BF176" s="216">
        <f t="shared" si="354"/>
        <v>0</v>
      </c>
      <c r="BG176" s="216">
        <f t="shared" si="354"/>
        <v>0</v>
      </c>
      <c r="BH176" s="216">
        <f t="shared" si="354"/>
        <v>0</v>
      </c>
      <c r="BI176" s="216">
        <f t="shared" si="354"/>
        <v>0</v>
      </c>
      <c r="BJ176" s="216">
        <f t="shared" si="354"/>
        <v>0</v>
      </c>
      <c r="BK176" s="216">
        <f t="shared" si="354"/>
        <v>0</v>
      </c>
      <c r="BL176" s="216">
        <f t="shared" si="354"/>
        <v>0</v>
      </c>
      <c r="BM176" s="216">
        <f t="shared" si="354"/>
        <v>0</v>
      </c>
      <c r="BN176" s="216">
        <f t="shared" si="354"/>
        <v>0</v>
      </c>
      <c r="BO176" s="216">
        <f t="shared" si="354"/>
        <v>0</v>
      </c>
      <c r="BP176" s="216">
        <f t="shared" si="354"/>
        <v>0</v>
      </c>
      <c r="BQ176" s="216">
        <f t="shared" si="354"/>
        <v>129.27437499999996</v>
      </c>
      <c r="BR176" s="216">
        <f t="shared" si="354"/>
        <v>132.42740853658532</v>
      </c>
      <c r="BS176" s="216">
        <f t="shared" si="354"/>
        <v>135.73809374999996</v>
      </c>
      <c r="BT176" s="216">
        <f t="shared" si="354"/>
        <v>139.21855769230766</v>
      </c>
      <c r="BU176" s="216">
        <f t="shared" ref="BU176:CZ176" si="355">IF(BU$6&lt;$F$35,BU175*$F$50/DATEDIF(BU$6,$F$35,"m"),0)</f>
        <v>142.88220394736837</v>
      </c>
      <c r="BV176" s="216">
        <f t="shared" si="355"/>
        <v>146.74388513513509</v>
      </c>
      <c r="BW176" s="216">
        <f t="shared" si="355"/>
        <v>50.273368055555551</v>
      </c>
      <c r="BX176" s="216">
        <f t="shared" si="355"/>
        <v>51.709749999999993</v>
      </c>
      <c r="BY176" s="216">
        <f t="shared" si="355"/>
        <v>53.230624999999989</v>
      </c>
      <c r="BZ176" s="216">
        <f t="shared" si="355"/>
        <v>54.843674242424235</v>
      </c>
      <c r="CA176" s="216">
        <f t="shared" si="355"/>
        <v>56.557539062499991</v>
      </c>
      <c r="CB176" s="216">
        <f t="shared" si="355"/>
        <v>58.381975806451607</v>
      </c>
      <c r="CC176" s="216">
        <f t="shared" si="355"/>
        <v>60.328041666666657</v>
      </c>
      <c r="CD176" s="216">
        <f t="shared" si="355"/>
        <v>62.408318965517232</v>
      </c>
      <c r="CE176" s="216">
        <f t="shared" si="355"/>
        <v>64.637187499999996</v>
      </c>
      <c r="CF176" s="216">
        <f t="shared" si="355"/>
        <v>67.031157407407392</v>
      </c>
      <c r="CG176" s="216">
        <f t="shared" si="355"/>
        <v>69.609278846153842</v>
      </c>
      <c r="CH176" s="216">
        <f t="shared" si="355"/>
        <v>72.393649999999994</v>
      </c>
      <c r="CI176" s="216">
        <f t="shared" si="355"/>
        <v>75.410052083333326</v>
      </c>
      <c r="CJ176" s="216">
        <f t="shared" si="355"/>
        <v>78.688749999999985</v>
      </c>
      <c r="CK176" s="216">
        <f t="shared" si="355"/>
        <v>82.26551136363635</v>
      </c>
      <c r="CL176" s="216">
        <f t="shared" si="355"/>
        <v>86.182916666666657</v>
      </c>
      <c r="CM176" s="216">
        <f t="shared" si="355"/>
        <v>90.492062499999989</v>
      </c>
      <c r="CN176" s="216">
        <f t="shared" si="355"/>
        <v>95.254802631578926</v>
      </c>
      <c r="CO176" s="216">
        <f t="shared" si="355"/>
        <v>100.5467361111111</v>
      </c>
      <c r="CP176" s="216">
        <f t="shared" si="355"/>
        <v>106.46124999999998</v>
      </c>
      <c r="CQ176" s="216">
        <f t="shared" si="355"/>
        <v>113.11507812499998</v>
      </c>
      <c r="CR176" s="216">
        <f t="shared" si="355"/>
        <v>120.65608333333331</v>
      </c>
      <c r="CS176" s="216">
        <f t="shared" si="355"/>
        <v>129.27437499999999</v>
      </c>
      <c r="CT176" s="216">
        <f t="shared" si="355"/>
        <v>139.21855769230768</v>
      </c>
      <c r="CU176" s="216">
        <f t="shared" si="355"/>
        <v>150.82010416666665</v>
      </c>
      <c r="CV176" s="216">
        <f t="shared" si="355"/>
        <v>164.5310227272727</v>
      </c>
      <c r="CW176" s="216">
        <f t="shared" si="355"/>
        <v>180.98412499999998</v>
      </c>
      <c r="CX176" s="216">
        <f t="shared" si="355"/>
        <v>201.0934722222222</v>
      </c>
      <c r="CY176" s="216">
        <f t="shared" si="355"/>
        <v>226.23015624999996</v>
      </c>
      <c r="CZ176" s="216">
        <f t="shared" si="355"/>
        <v>258.54874999999998</v>
      </c>
      <c r="DA176" s="216">
        <f t="shared" ref="DA176:EF176" si="356">IF(DA$6&lt;$F$35,DA175*$F$50/DATEDIF(DA$6,$F$35,"m"),0)</f>
        <v>301.64020833333331</v>
      </c>
      <c r="DB176" s="216">
        <f t="shared" si="356"/>
        <v>361.96824999999995</v>
      </c>
      <c r="DC176" s="216">
        <f t="shared" si="356"/>
        <v>452.46031249999993</v>
      </c>
      <c r="DD176" s="216">
        <f t="shared" si="356"/>
        <v>603.28041666666661</v>
      </c>
      <c r="DE176" s="216">
        <f t="shared" si="356"/>
        <v>904.92062499999986</v>
      </c>
      <c r="DF176" s="216">
        <f t="shared" si="356"/>
        <v>1809.8412499999997</v>
      </c>
      <c r="DG176" s="216">
        <f t="shared" si="356"/>
        <v>0</v>
      </c>
      <c r="DH176" s="216">
        <f t="shared" si="356"/>
        <v>0</v>
      </c>
      <c r="DI176" s="216">
        <f t="shared" si="356"/>
        <v>0</v>
      </c>
      <c r="DJ176" s="216">
        <f t="shared" si="356"/>
        <v>0</v>
      </c>
      <c r="DK176" s="216">
        <f t="shared" si="356"/>
        <v>0</v>
      </c>
      <c r="DL176" s="216">
        <f t="shared" si="356"/>
        <v>0</v>
      </c>
      <c r="DM176" s="216">
        <f t="shared" si="356"/>
        <v>0</v>
      </c>
      <c r="DN176" s="216">
        <f t="shared" si="356"/>
        <v>0</v>
      </c>
      <c r="DO176" s="216">
        <f t="shared" si="356"/>
        <v>0</v>
      </c>
      <c r="DP176" s="216">
        <f t="shared" si="356"/>
        <v>0</v>
      </c>
      <c r="DQ176" s="216">
        <f t="shared" si="356"/>
        <v>0</v>
      </c>
      <c r="DR176" s="216">
        <f t="shared" si="356"/>
        <v>0</v>
      </c>
      <c r="DS176" s="216">
        <f t="shared" si="356"/>
        <v>0</v>
      </c>
      <c r="DT176" s="216">
        <f t="shared" si="356"/>
        <v>0</v>
      </c>
      <c r="DU176" s="216">
        <f t="shared" si="356"/>
        <v>0</v>
      </c>
      <c r="DV176" s="216">
        <f t="shared" si="356"/>
        <v>0</v>
      </c>
      <c r="DW176" s="216">
        <f t="shared" si="356"/>
        <v>0</v>
      </c>
      <c r="DX176" s="216">
        <f t="shared" si="356"/>
        <v>0</v>
      </c>
      <c r="DY176" s="216">
        <f t="shared" si="356"/>
        <v>0</v>
      </c>
      <c r="DZ176" s="216">
        <f t="shared" si="356"/>
        <v>0</v>
      </c>
      <c r="EA176" s="216">
        <f t="shared" si="356"/>
        <v>0</v>
      </c>
      <c r="EB176" s="216">
        <f t="shared" si="356"/>
        <v>0</v>
      </c>
      <c r="EC176" s="216">
        <f t="shared" si="356"/>
        <v>0</v>
      </c>
      <c r="ED176" s="216">
        <f t="shared" si="356"/>
        <v>0</v>
      </c>
      <c r="EE176" s="216">
        <f t="shared" si="356"/>
        <v>0</v>
      </c>
      <c r="EF176" s="216">
        <f t="shared" si="356"/>
        <v>0</v>
      </c>
      <c r="EG176" s="216">
        <f t="shared" ref="EG176:FH176" si="357">IF(EG$6&lt;$F$35,EG175*$F$50/DATEDIF(EG$6,$F$35,"m"),0)</f>
        <v>0</v>
      </c>
      <c r="EH176" s="216">
        <f t="shared" si="357"/>
        <v>0</v>
      </c>
      <c r="EI176" s="216">
        <f t="shared" si="357"/>
        <v>0</v>
      </c>
      <c r="EJ176" s="216">
        <f t="shared" si="357"/>
        <v>0</v>
      </c>
      <c r="EK176" s="216">
        <f t="shared" si="357"/>
        <v>0</v>
      </c>
      <c r="EL176" s="216">
        <f t="shared" si="357"/>
        <v>0</v>
      </c>
      <c r="EM176" s="216">
        <f t="shared" si="357"/>
        <v>0</v>
      </c>
      <c r="EN176" s="216">
        <f t="shared" si="357"/>
        <v>0</v>
      </c>
      <c r="EO176" s="216">
        <f t="shared" si="357"/>
        <v>0</v>
      </c>
      <c r="EP176" s="216">
        <f t="shared" si="357"/>
        <v>0</v>
      </c>
      <c r="EQ176" s="216">
        <f t="shared" si="357"/>
        <v>0</v>
      </c>
      <c r="ER176" s="216">
        <f t="shared" si="357"/>
        <v>0</v>
      </c>
      <c r="ES176" s="216">
        <f t="shared" si="357"/>
        <v>0</v>
      </c>
      <c r="ET176" s="216">
        <f t="shared" si="357"/>
        <v>0</v>
      </c>
      <c r="EU176" s="216">
        <f t="shared" si="357"/>
        <v>0</v>
      </c>
      <c r="EV176" s="216">
        <f t="shared" si="357"/>
        <v>0</v>
      </c>
      <c r="EW176" s="216">
        <f t="shared" si="357"/>
        <v>0</v>
      </c>
      <c r="EX176" s="216">
        <f t="shared" si="357"/>
        <v>0</v>
      </c>
      <c r="EY176" s="216">
        <f t="shared" si="357"/>
        <v>0</v>
      </c>
      <c r="EZ176" s="216">
        <f t="shared" si="357"/>
        <v>0</v>
      </c>
      <c r="FA176" s="216">
        <f t="shared" si="357"/>
        <v>0</v>
      </c>
      <c r="FB176" s="216">
        <f t="shared" si="357"/>
        <v>0</v>
      </c>
      <c r="FC176" s="216">
        <f t="shared" si="357"/>
        <v>0</v>
      </c>
      <c r="FD176" s="216">
        <f t="shared" si="357"/>
        <v>0</v>
      </c>
      <c r="FE176" s="216">
        <f t="shared" si="357"/>
        <v>0</v>
      </c>
      <c r="FF176" s="216">
        <f t="shared" si="357"/>
        <v>0</v>
      </c>
      <c r="FG176" s="216">
        <f t="shared" si="357"/>
        <v>0</v>
      </c>
      <c r="FH176" s="216">
        <f t="shared" si="357"/>
        <v>0</v>
      </c>
    </row>
    <row r="177" spans="1:164" x14ac:dyDescent="0.2">
      <c r="A177" s="10"/>
      <c r="B177" s="10"/>
      <c r="C177" s="10" t="s">
        <v>749</v>
      </c>
      <c r="D177" s="10"/>
      <c r="E177" s="10"/>
      <c r="F177" s="10"/>
      <c r="G177" s="10"/>
      <c r="H177" s="12">
        <f t="shared" ref="H177:H185" si="358">SUM(I177:FH177)</f>
        <v>50675.555000000044</v>
      </c>
      <c r="I177" s="12">
        <f t="shared" ref="I177:AN177" si="359">I175*$F$49+IF(I$6&gt;=$F$35,I175*($F$50+$F$51),0)</f>
        <v>0</v>
      </c>
      <c r="J177" s="12">
        <f t="shared" si="359"/>
        <v>0</v>
      </c>
      <c r="K177" s="12">
        <f t="shared" si="359"/>
        <v>0</v>
      </c>
      <c r="L177" s="12">
        <f t="shared" si="359"/>
        <v>0</v>
      </c>
      <c r="M177" s="12">
        <f t="shared" si="359"/>
        <v>0</v>
      </c>
      <c r="N177" s="12">
        <f t="shared" si="359"/>
        <v>0</v>
      </c>
      <c r="O177" s="12">
        <f t="shared" si="359"/>
        <v>0</v>
      </c>
      <c r="P177" s="12">
        <f t="shared" si="359"/>
        <v>0</v>
      </c>
      <c r="Q177" s="12">
        <f t="shared" si="359"/>
        <v>0</v>
      </c>
      <c r="R177" s="12">
        <f t="shared" si="359"/>
        <v>0</v>
      </c>
      <c r="S177" s="12">
        <f t="shared" si="359"/>
        <v>0</v>
      </c>
      <c r="T177" s="12">
        <f t="shared" si="359"/>
        <v>0</v>
      </c>
      <c r="U177" s="12">
        <f t="shared" si="359"/>
        <v>0</v>
      </c>
      <c r="V177" s="12">
        <f t="shared" si="359"/>
        <v>0</v>
      </c>
      <c r="W177" s="12">
        <f t="shared" si="359"/>
        <v>0</v>
      </c>
      <c r="X177" s="12">
        <f t="shared" si="359"/>
        <v>0</v>
      </c>
      <c r="Y177" s="12">
        <f t="shared" si="359"/>
        <v>0</v>
      </c>
      <c r="Z177" s="12">
        <f t="shared" si="359"/>
        <v>0</v>
      </c>
      <c r="AA177" s="12">
        <f t="shared" si="359"/>
        <v>0</v>
      </c>
      <c r="AB177" s="12">
        <f t="shared" si="359"/>
        <v>0</v>
      </c>
      <c r="AC177" s="12">
        <f t="shared" si="359"/>
        <v>0</v>
      </c>
      <c r="AD177" s="12">
        <f t="shared" si="359"/>
        <v>0</v>
      </c>
      <c r="AE177" s="12">
        <f t="shared" si="359"/>
        <v>0</v>
      </c>
      <c r="AF177" s="12">
        <f t="shared" si="359"/>
        <v>0</v>
      </c>
      <c r="AG177" s="12">
        <f t="shared" si="359"/>
        <v>0</v>
      </c>
      <c r="AH177" s="12">
        <f t="shared" si="359"/>
        <v>0</v>
      </c>
      <c r="AI177" s="12">
        <f t="shared" si="359"/>
        <v>0</v>
      </c>
      <c r="AJ177" s="12">
        <f t="shared" si="359"/>
        <v>0</v>
      </c>
      <c r="AK177" s="12">
        <f t="shared" si="359"/>
        <v>0</v>
      </c>
      <c r="AL177" s="12">
        <f t="shared" si="359"/>
        <v>0</v>
      </c>
      <c r="AM177" s="12">
        <f t="shared" si="359"/>
        <v>0</v>
      </c>
      <c r="AN177" s="12">
        <f t="shared" si="359"/>
        <v>0</v>
      </c>
      <c r="AO177" s="12">
        <f t="shared" ref="AO177:BT177" si="360">AO175*$F$49+IF(AO$6&gt;=$F$35,AO175*($F$50+$F$51),0)</f>
        <v>0</v>
      </c>
      <c r="AP177" s="12">
        <f t="shared" si="360"/>
        <v>0</v>
      </c>
      <c r="AQ177" s="12">
        <f t="shared" si="360"/>
        <v>0</v>
      </c>
      <c r="AR177" s="12">
        <f t="shared" si="360"/>
        <v>0</v>
      </c>
      <c r="AS177" s="12">
        <f t="shared" si="360"/>
        <v>0</v>
      </c>
      <c r="AT177" s="12">
        <f t="shared" si="360"/>
        <v>0</v>
      </c>
      <c r="AU177" s="12">
        <f t="shared" si="360"/>
        <v>0</v>
      </c>
      <c r="AV177" s="12">
        <f t="shared" si="360"/>
        <v>0</v>
      </c>
      <c r="AW177" s="12">
        <f t="shared" si="360"/>
        <v>0</v>
      </c>
      <c r="AX177" s="12">
        <f t="shared" si="360"/>
        <v>0</v>
      </c>
      <c r="AY177" s="12">
        <f t="shared" si="360"/>
        <v>0</v>
      </c>
      <c r="AZ177" s="12">
        <f t="shared" si="360"/>
        <v>0</v>
      </c>
      <c r="BA177" s="12">
        <f t="shared" si="360"/>
        <v>0</v>
      </c>
      <c r="BB177" s="12">
        <f t="shared" si="360"/>
        <v>0</v>
      </c>
      <c r="BC177" s="12">
        <f t="shared" si="360"/>
        <v>0</v>
      </c>
      <c r="BD177" s="12">
        <f t="shared" si="360"/>
        <v>0</v>
      </c>
      <c r="BE177" s="12">
        <f t="shared" si="360"/>
        <v>0</v>
      </c>
      <c r="BF177" s="12">
        <f t="shared" si="360"/>
        <v>0</v>
      </c>
      <c r="BG177" s="12">
        <f t="shared" si="360"/>
        <v>0</v>
      </c>
      <c r="BH177" s="12">
        <f t="shared" si="360"/>
        <v>0</v>
      </c>
      <c r="BI177" s="12">
        <f t="shared" si="360"/>
        <v>0</v>
      </c>
      <c r="BJ177" s="12">
        <f t="shared" si="360"/>
        <v>0</v>
      </c>
      <c r="BK177" s="12">
        <f t="shared" si="360"/>
        <v>0</v>
      </c>
      <c r="BL177" s="12">
        <f t="shared" si="360"/>
        <v>0</v>
      </c>
      <c r="BM177" s="12">
        <f t="shared" si="360"/>
        <v>0</v>
      </c>
      <c r="BN177" s="12">
        <f t="shared" si="360"/>
        <v>0</v>
      </c>
      <c r="BO177" s="12">
        <f t="shared" si="360"/>
        <v>0</v>
      </c>
      <c r="BP177" s="12">
        <f t="shared" si="360"/>
        <v>0</v>
      </c>
      <c r="BQ177" s="12">
        <f t="shared" si="360"/>
        <v>1809.8412499999995</v>
      </c>
      <c r="BR177" s="12">
        <f t="shared" si="360"/>
        <v>1809.8412499999995</v>
      </c>
      <c r="BS177" s="12">
        <f t="shared" si="360"/>
        <v>1809.8412499999995</v>
      </c>
      <c r="BT177" s="12">
        <f t="shared" si="360"/>
        <v>1809.8412499999995</v>
      </c>
      <c r="BU177" s="12">
        <f t="shared" ref="BU177:CZ177" si="361">BU175*$F$49+IF(BU$6&gt;=$F$35,BU175*($F$50+$F$51),0)</f>
        <v>1809.8412499999995</v>
      </c>
      <c r="BV177" s="12">
        <f t="shared" si="361"/>
        <v>1809.8412499999995</v>
      </c>
      <c r="BW177" s="12">
        <f t="shared" si="361"/>
        <v>603.28041666666661</v>
      </c>
      <c r="BX177" s="12">
        <f t="shared" si="361"/>
        <v>603.28041666666661</v>
      </c>
      <c r="BY177" s="12">
        <f t="shared" si="361"/>
        <v>603.28041666666661</v>
      </c>
      <c r="BZ177" s="12">
        <f t="shared" si="361"/>
        <v>603.28041666666661</v>
      </c>
      <c r="CA177" s="12">
        <f t="shared" si="361"/>
        <v>603.28041666666661</v>
      </c>
      <c r="CB177" s="12">
        <f t="shared" si="361"/>
        <v>603.28041666666661</v>
      </c>
      <c r="CC177" s="12">
        <f t="shared" si="361"/>
        <v>603.28041666666661</v>
      </c>
      <c r="CD177" s="12">
        <f t="shared" si="361"/>
        <v>603.28041666666661</v>
      </c>
      <c r="CE177" s="12">
        <f t="shared" si="361"/>
        <v>603.28041666666661</v>
      </c>
      <c r="CF177" s="12">
        <f t="shared" si="361"/>
        <v>603.28041666666661</v>
      </c>
      <c r="CG177" s="12">
        <f t="shared" si="361"/>
        <v>603.28041666666661</v>
      </c>
      <c r="CH177" s="12">
        <f t="shared" si="361"/>
        <v>603.28041666666661</v>
      </c>
      <c r="CI177" s="12">
        <f t="shared" si="361"/>
        <v>603.28041666666661</v>
      </c>
      <c r="CJ177" s="12">
        <f t="shared" si="361"/>
        <v>603.28041666666661</v>
      </c>
      <c r="CK177" s="12">
        <f t="shared" si="361"/>
        <v>603.28041666666661</v>
      </c>
      <c r="CL177" s="12">
        <f t="shared" si="361"/>
        <v>603.28041666666661</v>
      </c>
      <c r="CM177" s="12">
        <f t="shared" si="361"/>
        <v>603.28041666666661</v>
      </c>
      <c r="CN177" s="12">
        <f t="shared" si="361"/>
        <v>603.28041666666661</v>
      </c>
      <c r="CO177" s="12">
        <f t="shared" si="361"/>
        <v>603.28041666666661</v>
      </c>
      <c r="CP177" s="12">
        <f t="shared" si="361"/>
        <v>603.28041666666661</v>
      </c>
      <c r="CQ177" s="12">
        <f t="shared" si="361"/>
        <v>603.28041666666661</v>
      </c>
      <c r="CR177" s="12">
        <f t="shared" si="361"/>
        <v>603.28041666666661</v>
      </c>
      <c r="CS177" s="12">
        <f t="shared" si="361"/>
        <v>603.28041666666661</v>
      </c>
      <c r="CT177" s="12">
        <f t="shared" si="361"/>
        <v>603.28041666666661</v>
      </c>
      <c r="CU177" s="12">
        <f t="shared" si="361"/>
        <v>603.28041666666661</v>
      </c>
      <c r="CV177" s="12">
        <f t="shared" si="361"/>
        <v>603.28041666666661</v>
      </c>
      <c r="CW177" s="12">
        <f t="shared" si="361"/>
        <v>603.28041666666661</v>
      </c>
      <c r="CX177" s="12">
        <f t="shared" si="361"/>
        <v>603.28041666666661</v>
      </c>
      <c r="CY177" s="12">
        <f t="shared" si="361"/>
        <v>603.28041666666661</v>
      </c>
      <c r="CZ177" s="12">
        <f t="shared" si="361"/>
        <v>603.28041666666661</v>
      </c>
      <c r="DA177" s="12">
        <f t="shared" ref="DA177:EF177" si="362">DA175*$F$49+IF(DA$6&gt;=$F$35,DA175*($F$50+$F$51),0)</f>
        <v>603.28041666666661</v>
      </c>
      <c r="DB177" s="12">
        <f t="shared" si="362"/>
        <v>603.28041666666661</v>
      </c>
      <c r="DC177" s="12">
        <f t="shared" si="362"/>
        <v>603.28041666666661</v>
      </c>
      <c r="DD177" s="12">
        <f t="shared" si="362"/>
        <v>603.28041666666661</v>
      </c>
      <c r="DE177" s="12">
        <f t="shared" si="362"/>
        <v>603.28041666666661</v>
      </c>
      <c r="DF177" s="12">
        <f t="shared" si="362"/>
        <v>603.28041666666661</v>
      </c>
      <c r="DG177" s="12">
        <f t="shared" si="362"/>
        <v>0</v>
      </c>
      <c r="DH177" s="12">
        <f t="shared" si="362"/>
        <v>1508.2010416666665</v>
      </c>
      <c r="DI177" s="12">
        <f t="shared" si="362"/>
        <v>1508.2010416666665</v>
      </c>
      <c r="DJ177" s="12">
        <f t="shared" si="362"/>
        <v>1508.2010416666665</v>
      </c>
      <c r="DK177" s="12">
        <f t="shared" si="362"/>
        <v>1508.2010416666665</v>
      </c>
      <c r="DL177" s="12">
        <f t="shared" si="362"/>
        <v>1508.2010416666665</v>
      </c>
      <c r="DM177" s="12">
        <f t="shared" si="362"/>
        <v>1508.2010416666665</v>
      </c>
      <c r="DN177" s="12">
        <f t="shared" si="362"/>
        <v>1508.2010416666665</v>
      </c>
      <c r="DO177" s="12">
        <f t="shared" si="362"/>
        <v>1508.2010416666665</v>
      </c>
      <c r="DP177" s="12">
        <f t="shared" si="362"/>
        <v>1508.2010416666665</v>
      </c>
      <c r="DQ177" s="12">
        <f t="shared" si="362"/>
        <v>1508.2010416666665</v>
      </c>
      <c r="DR177" s="12">
        <f t="shared" si="362"/>
        <v>1508.2010416666665</v>
      </c>
      <c r="DS177" s="12">
        <f t="shared" si="362"/>
        <v>1508.2010416666665</v>
      </c>
      <c r="DT177" s="12">
        <f t="shared" si="362"/>
        <v>0</v>
      </c>
      <c r="DU177" s="12">
        <f t="shared" si="362"/>
        <v>0</v>
      </c>
      <c r="DV177" s="12">
        <f t="shared" si="362"/>
        <v>0</v>
      </c>
      <c r="DW177" s="12">
        <f t="shared" si="362"/>
        <v>0</v>
      </c>
      <c r="DX177" s="12">
        <f t="shared" si="362"/>
        <v>0</v>
      </c>
      <c r="DY177" s="12">
        <f t="shared" si="362"/>
        <v>0</v>
      </c>
      <c r="DZ177" s="12">
        <f t="shared" si="362"/>
        <v>0</v>
      </c>
      <c r="EA177" s="12">
        <f t="shared" si="362"/>
        <v>0</v>
      </c>
      <c r="EB177" s="12">
        <f t="shared" si="362"/>
        <v>0</v>
      </c>
      <c r="EC177" s="12">
        <f t="shared" si="362"/>
        <v>0</v>
      </c>
      <c r="ED177" s="12">
        <f t="shared" si="362"/>
        <v>0</v>
      </c>
      <c r="EE177" s="12">
        <f t="shared" si="362"/>
        <v>0</v>
      </c>
      <c r="EF177" s="12">
        <f t="shared" si="362"/>
        <v>0</v>
      </c>
      <c r="EG177" s="12">
        <f t="shared" ref="EG177:FH177" si="363">EG175*$F$49+IF(EG$6&gt;=$F$35,EG175*($F$50+$F$51),0)</f>
        <v>0</v>
      </c>
      <c r="EH177" s="12">
        <f t="shared" si="363"/>
        <v>0</v>
      </c>
      <c r="EI177" s="12">
        <f t="shared" si="363"/>
        <v>0</v>
      </c>
      <c r="EJ177" s="12">
        <f t="shared" si="363"/>
        <v>0</v>
      </c>
      <c r="EK177" s="12">
        <f t="shared" si="363"/>
        <v>0</v>
      </c>
      <c r="EL177" s="12">
        <f t="shared" si="363"/>
        <v>0</v>
      </c>
      <c r="EM177" s="12">
        <f t="shared" si="363"/>
        <v>0</v>
      </c>
      <c r="EN177" s="12">
        <f t="shared" si="363"/>
        <v>0</v>
      </c>
      <c r="EO177" s="12">
        <f t="shared" si="363"/>
        <v>0</v>
      </c>
      <c r="EP177" s="12">
        <f t="shared" si="363"/>
        <v>0</v>
      </c>
      <c r="EQ177" s="12">
        <f t="shared" si="363"/>
        <v>0</v>
      </c>
      <c r="ER177" s="12">
        <f t="shared" si="363"/>
        <v>0</v>
      </c>
      <c r="ES177" s="12">
        <f t="shared" si="363"/>
        <v>0</v>
      </c>
      <c r="ET177" s="12">
        <f t="shared" si="363"/>
        <v>0</v>
      </c>
      <c r="EU177" s="12">
        <f t="shared" si="363"/>
        <v>0</v>
      </c>
      <c r="EV177" s="12">
        <f t="shared" si="363"/>
        <v>0</v>
      </c>
      <c r="EW177" s="12">
        <f t="shared" si="363"/>
        <v>0</v>
      </c>
      <c r="EX177" s="12">
        <f t="shared" si="363"/>
        <v>0</v>
      </c>
      <c r="EY177" s="12">
        <f t="shared" si="363"/>
        <v>0</v>
      </c>
      <c r="EZ177" s="12">
        <f t="shared" si="363"/>
        <v>0</v>
      </c>
      <c r="FA177" s="12">
        <f t="shared" si="363"/>
        <v>0</v>
      </c>
      <c r="FB177" s="12">
        <f t="shared" si="363"/>
        <v>0</v>
      </c>
      <c r="FC177" s="12">
        <f t="shared" si="363"/>
        <v>0</v>
      </c>
      <c r="FD177" s="12">
        <f t="shared" si="363"/>
        <v>0</v>
      </c>
      <c r="FE177" s="12">
        <f t="shared" si="363"/>
        <v>0</v>
      </c>
      <c r="FF177" s="12">
        <f t="shared" si="363"/>
        <v>0</v>
      </c>
      <c r="FG177" s="12">
        <f t="shared" si="363"/>
        <v>0</v>
      </c>
      <c r="FH177" s="12">
        <f t="shared" si="363"/>
        <v>0</v>
      </c>
    </row>
    <row r="178" spans="1:164" x14ac:dyDescent="0.2">
      <c r="A178" s="10"/>
      <c r="B178" s="10"/>
      <c r="C178" s="10" t="s">
        <v>750</v>
      </c>
      <c r="D178" s="10"/>
      <c r="E178" s="10"/>
      <c r="F178" s="10"/>
      <c r="G178" s="10"/>
      <c r="H178" s="12">
        <f t="shared" si="358"/>
        <v>97731.427499999976</v>
      </c>
      <c r="I178" s="12">
        <f>IF(I$6&lt;$F$35,SUM($I176:I176),0)</f>
        <v>0</v>
      </c>
      <c r="J178" s="12">
        <f>IF(J$6&lt;$F$35,SUM($I176:J176),0)</f>
        <v>0</v>
      </c>
      <c r="K178" s="12">
        <f>IF(K$6&lt;$F$35,SUM($I176:K176),0)</f>
        <v>0</v>
      </c>
      <c r="L178" s="12">
        <f>IF(L$6&lt;$F$35,SUM($I176:L176),0)</f>
        <v>0</v>
      </c>
      <c r="M178" s="12">
        <f>IF(M$6&lt;$F$35,SUM($I176:M176),0)</f>
        <v>0</v>
      </c>
      <c r="N178" s="12">
        <f>IF(N$6&lt;$F$35,SUM($I176:N176),0)</f>
        <v>0</v>
      </c>
      <c r="O178" s="12">
        <f>IF(O$6&lt;$F$35,SUM($I176:O176),0)</f>
        <v>0</v>
      </c>
      <c r="P178" s="12">
        <f>IF(P$6&lt;$F$35,SUM($I176:P176),0)</f>
        <v>0</v>
      </c>
      <c r="Q178" s="12">
        <f>IF(Q$6&lt;$F$35,SUM($I176:Q176),0)</f>
        <v>0</v>
      </c>
      <c r="R178" s="12">
        <f>IF(R$6&lt;$F$35,SUM($I176:R176),0)</f>
        <v>0</v>
      </c>
      <c r="S178" s="12">
        <f>IF(S$6&lt;$F$35,SUM($I176:S176),0)</f>
        <v>0</v>
      </c>
      <c r="T178" s="12">
        <f>IF(T$6&lt;$F$35,SUM($I176:T176),0)</f>
        <v>0</v>
      </c>
      <c r="U178" s="12">
        <f>IF(U$6&lt;$F$35,SUM($I176:U176),0)</f>
        <v>0</v>
      </c>
      <c r="V178" s="12">
        <f>IF(V$6&lt;$F$35,SUM($I176:V176),0)</f>
        <v>0</v>
      </c>
      <c r="W178" s="12">
        <f>IF(W$6&lt;$F$35,SUM($I176:W176),0)</f>
        <v>0</v>
      </c>
      <c r="X178" s="12">
        <f>IF(X$6&lt;$F$35,SUM($I176:X176),0)</f>
        <v>0</v>
      </c>
      <c r="Y178" s="12">
        <f>IF(Y$6&lt;$F$35,SUM($I176:Y176),0)</f>
        <v>0</v>
      </c>
      <c r="Z178" s="12">
        <f>IF(Z$6&lt;$F$35,SUM($I176:Z176),0)</f>
        <v>0</v>
      </c>
      <c r="AA178" s="12">
        <f>IF(AA$6&lt;$F$35,SUM($I176:AA176),0)</f>
        <v>0</v>
      </c>
      <c r="AB178" s="12">
        <f>IF(AB$6&lt;$F$35,SUM($I176:AB176),0)</f>
        <v>0</v>
      </c>
      <c r="AC178" s="12">
        <f>IF(AC$6&lt;$F$35,SUM($I176:AC176),0)</f>
        <v>0</v>
      </c>
      <c r="AD178" s="12">
        <f>IF(AD$6&lt;$F$35,SUM($I176:AD176),0)</f>
        <v>0</v>
      </c>
      <c r="AE178" s="12">
        <f>IF(AE$6&lt;$F$35,SUM($I176:AE176),0)</f>
        <v>0</v>
      </c>
      <c r="AF178" s="12">
        <f>IF(AF$6&lt;$F$35,SUM($I176:AF176),0)</f>
        <v>0</v>
      </c>
      <c r="AG178" s="12">
        <f>IF(AG$6&lt;$F$35,SUM($I176:AG176),0)</f>
        <v>0</v>
      </c>
      <c r="AH178" s="12">
        <f>IF(AH$6&lt;$F$35,SUM($I176:AH176),0)</f>
        <v>0</v>
      </c>
      <c r="AI178" s="12">
        <f>IF(AI$6&lt;$F$35,SUM($I176:AI176),0)</f>
        <v>0</v>
      </c>
      <c r="AJ178" s="12">
        <f>IF(AJ$6&lt;$F$35,SUM($I176:AJ176),0)</f>
        <v>0</v>
      </c>
      <c r="AK178" s="12">
        <f>IF(AK$6&lt;$F$35,SUM($I176:AK176),0)</f>
        <v>0</v>
      </c>
      <c r="AL178" s="12">
        <f>IF(AL$6&lt;$F$35,SUM($I176:AL176),0)</f>
        <v>0</v>
      </c>
      <c r="AM178" s="12">
        <f>IF(AM$6&lt;$F$35,SUM($I176:AM176),0)</f>
        <v>0</v>
      </c>
      <c r="AN178" s="12">
        <f>IF(AN$6&lt;$F$35,SUM($I176:AN176),0)</f>
        <v>0</v>
      </c>
      <c r="AO178" s="12">
        <f>IF(AO$6&lt;$F$35,SUM($I176:AO176),0)</f>
        <v>0</v>
      </c>
      <c r="AP178" s="12">
        <f>IF(AP$6&lt;$F$35,SUM($I176:AP176),0)</f>
        <v>0</v>
      </c>
      <c r="AQ178" s="12">
        <f>IF(AQ$6&lt;$F$35,SUM($I176:AQ176),0)</f>
        <v>0</v>
      </c>
      <c r="AR178" s="12">
        <f>IF(AR$6&lt;$F$35,SUM($I176:AR176),0)</f>
        <v>0</v>
      </c>
      <c r="AS178" s="12">
        <f>IF(AS$6&lt;$F$35,SUM($I176:AS176),0)</f>
        <v>0</v>
      </c>
      <c r="AT178" s="12">
        <f>IF(AT$6&lt;$F$35,SUM($I176:AT176),0)</f>
        <v>0</v>
      </c>
      <c r="AU178" s="12">
        <f>IF(AU$6&lt;$F$35,SUM($I176:AU176),0)</f>
        <v>0</v>
      </c>
      <c r="AV178" s="12">
        <f>IF(AV$6&lt;$F$35,SUM($I176:AV176),0)</f>
        <v>0</v>
      </c>
      <c r="AW178" s="12">
        <f>IF(AW$6&lt;$F$35,SUM($I176:AW176),0)</f>
        <v>0</v>
      </c>
      <c r="AX178" s="12">
        <f>IF(AX$6&lt;$F$35,SUM($I176:AX176),0)</f>
        <v>0</v>
      </c>
      <c r="AY178" s="12">
        <f>IF(AY$6&lt;$F$35,SUM($I176:AY176),0)</f>
        <v>0</v>
      </c>
      <c r="AZ178" s="12">
        <f>IF(AZ$6&lt;$F$35,SUM($I176:AZ176),0)</f>
        <v>0</v>
      </c>
      <c r="BA178" s="12">
        <f>IF(BA$6&lt;$F$35,SUM($I176:BA176),0)</f>
        <v>0</v>
      </c>
      <c r="BB178" s="12">
        <f>IF(BB$6&lt;$F$35,SUM($I176:BB176),0)</f>
        <v>0</v>
      </c>
      <c r="BC178" s="12">
        <f>IF(BC$6&lt;$F$35,SUM($I176:BC176),0)</f>
        <v>0</v>
      </c>
      <c r="BD178" s="12">
        <f>IF(BD$6&lt;$F$35,SUM($I176:BD176),0)</f>
        <v>0</v>
      </c>
      <c r="BE178" s="12">
        <f>IF(BE$6&lt;$F$35,SUM($I176:BE176),0)</f>
        <v>0</v>
      </c>
      <c r="BF178" s="12">
        <f>IF(BF$6&lt;$F$35,SUM($I176:BF176),0)</f>
        <v>0</v>
      </c>
      <c r="BG178" s="12">
        <f>IF(BG$6&lt;$F$35,SUM($I176:BG176),0)</f>
        <v>0</v>
      </c>
      <c r="BH178" s="12">
        <f>IF(BH$6&lt;$F$35,SUM($I176:BH176),0)</f>
        <v>0</v>
      </c>
      <c r="BI178" s="12">
        <f>IF(BI$6&lt;$F$35,SUM($I176:BI176),0)</f>
        <v>0</v>
      </c>
      <c r="BJ178" s="12">
        <f>IF(BJ$6&lt;$F$35,SUM($I176:BJ176),0)</f>
        <v>0</v>
      </c>
      <c r="BK178" s="12">
        <f>IF(BK$6&lt;$F$35,SUM($I176:BK176),0)</f>
        <v>0</v>
      </c>
      <c r="BL178" s="12">
        <f>IF(BL$6&lt;$F$35,SUM($I176:BL176),0)</f>
        <v>0</v>
      </c>
      <c r="BM178" s="12">
        <f>IF(BM$6&lt;$F$35,SUM($I176:BM176),0)</f>
        <v>0</v>
      </c>
      <c r="BN178" s="12">
        <f>IF(BN$6&lt;$F$35,SUM($I176:BN176),0)</f>
        <v>0</v>
      </c>
      <c r="BO178" s="12">
        <f>IF(BO$6&lt;$F$35,SUM($I176:BO176),0)</f>
        <v>0</v>
      </c>
      <c r="BP178" s="12">
        <f>IF(BP$6&lt;$F$35,SUM($I176:BP176),0)</f>
        <v>0</v>
      </c>
      <c r="BQ178" s="12">
        <f>IF(BQ$6&lt;$F$35,SUM($I176:BQ176),0)</f>
        <v>129.27437499999996</v>
      </c>
      <c r="BR178" s="12">
        <f>IF(BR$6&lt;$F$35,SUM($I176:BR176),0)</f>
        <v>261.70178353658525</v>
      </c>
      <c r="BS178" s="12">
        <f>IF(BS$6&lt;$F$35,SUM($I176:BS176),0)</f>
        <v>397.43987728658522</v>
      </c>
      <c r="BT178" s="12">
        <f>IF(BT$6&lt;$F$35,SUM($I176:BT176),0)</f>
        <v>536.65843497889284</v>
      </c>
      <c r="BU178" s="12">
        <f>IF(BU$6&lt;$F$35,SUM($I176:BU176),0)</f>
        <v>679.54063892626118</v>
      </c>
      <c r="BV178" s="12">
        <f>IF(BV$6&lt;$F$35,SUM($I176:BV176),0)</f>
        <v>826.28452406139627</v>
      </c>
      <c r="BW178" s="12">
        <f>IF(BW$6&lt;$F$35,SUM($I176:BW176),0)</f>
        <v>876.55789211695185</v>
      </c>
      <c r="BX178" s="12">
        <f>IF(BX$6&lt;$F$35,SUM($I176:BX176),0)</f>
        <v>928.26764211695183</v>
      </c>
      <c r="BY178" s="12">
        <f>IF(BY$6&lt;$F$35,SUM($I176:BY176),0)</f>
        <v>981.49826711695187</v>
      </c>
      <c r="BZ178" s="12">
        <f>IF(BZ$6&lt;$F$35,SUM($I176:BZ176),0)</f>
        <v>1036.3419413593761</v>
      </c>
      <c r="CA178" s="12">
        <f>IF(CA$6&lt;$F$35,SUM($I176:CA176),0)</f>
        <v>1092.899480421876</v>
      </c>
      <c r="CB178" s="12">
        <f>IF(CB$6&lt;$F$35,SUM($I176:CB176),0)</f>
        <v>1151.2814562283277</v>
      </c>
      <c r="CC178" s="12">
        <f>IF(CC$6&lt;$F$35,SUM($I176:CC176),0)</f>
        <v>1211.6094978949943</v>
      </c>
      <c r="CD178" s="12">
        <f>IF(CD$6&lt;$F$35,SUM($I176:CD176),0)</f>
        <v>1274.0178168605116</v>
      </c>
      <c r="CE178" s="12">
        <f>IF(CE$6&lt;$F$35,SUM($I176:CE176),0)</f>
        <v>1338.6550043605116</v>
      </c>
      <c r="CF178" s="12">
        <f>IF(CF$6&lt;$F$35,SUM($I176:CF176),0)</f>
        <v>1405.686161767919</v>
      </c>
      <c r="CG178" s="12">
        <f>IF(CG$6&lt;$F$35,SUM($I176:CG176),0)</f>
        <v>1475.2954406140727</v>
      </c>
      <c r="CH178" s="12">
        <f>IF(CH$6&lt;$F$35,SUM($I176:CH176),0)</f>
        <v>1547.6890906140727</v>
      </c>
      <c r="CI178" s="12">
        <f>IF(CI$6&lt;$F$35,SUM($I176:CI176),0)</f>
        <v>1623.099142697406</v>
      </c>
      <c r="CJ178" s="12">
        <f>IF(CJ$6&lt;$F$35,SUM($I176:CJ176),0)</f>
        <v>1701.7878926974061</v>
      </c>
      <c r="CK178" s="12">
        <f>IF(CK$6&lt;$F$35,SUM($I176:CK176),0)</f>
        <v>1784.0534040610423</v>
      </c>
      <c r="CL178" s="12">
        <f>IF(CL$6&lt;$F$35,SUM($I176:CL176),0)</f>
        <v>1870.236320727709</v>
      </c>
      <c r="CM178" s="12">
        <f>IF(CM$6&lt;$F$35,SUM($I176:CM176),0)</f>
        <v>1960.7283832277089</v>
      </c>
      <c r="CN178" s="12">
        <f>IF(CN$6&lt;$F$35,SUM($I176:CN176),0)</f>
        <v>2055.9831858592879</v>
      </c>
      <c r="CO178" s="12">
        <f>IF(CO$6&lt;$F$35,SUM($I176:CO176),0)</f>
        <v>2156.5299219703988</v>
      </c>
      <c r="CP178" s="12">
        <f>IF(CP$6&lt;$F$35,SUM($I176:CP176),0)</f>
        <v>2262.9911719703987</v>
      </c>
      <c r="CQ178" s="12">
        <f>IF(CQ$6&lt;$F$35,SUM($I176:CQ176),0)</f>
        <v>2376.1062500953985</v>
      </c>
      <c r="CR178" s="12">
        <f>IF(CR$6&lt;$F$35,SUM($I176:CR176),0)</f>
        <v>2496.7623334287318</v>
      </c>
      <c r="CS178" s="12">
        <f>IF(CS$6&lt;$F$35,SUM($I176:CS176),0)</f>
        <v>2626.0367084287318</v>
      </c>
      <c r="CT178" s="12">
        <f>IF(CT$6&lt;$F$35,SUM($I176:CT176),0)</f>
        <v>2765.2552661210393</v>
      </c>
      <c r="CU178" s="12">
        <f>IF(CU$6&lt;$F$35,SUM($I176:CU176),0)</f>
        <v>2916.0753702877059</v>
      </c>
      <c r="CV178" s="12">
        <f>IF(CV$6&lt;$F$35,SUM($I176:CV176),0)</f>
        <v>3080.6063930149785</v>
      </c>
      <c r="CW178" s="12">
        <f>IF(CW$6&lt;$F$35,SUM($I176:CW176),0)</f>
        <v>3261.5905180149784</v>
      </c>
      <c r="CX178" s="12">
        <f>IF(CX$6&lt;$F$35,SUM($I176:CX176),0)</f>
        <v>3462.6839902372008</v>
      </c>
      <c r="CY178" s="12">
        <f>IF(CY$6&lt;$F$35,SUM($I176:CY176),0)</f>
        <v>3688.9141464872009</v>
      </c>
      <c r="CZ178" s="12">
        <f>IF(CZ$6&lt;$F$35,SUM($I176:CZ176),0)</f>
        <v>3947.4628964872009</v>
      </c>
      <c r="DA178" s="12">
        <f>IF(DA$6&lt;$F$35,SUM($I176:DA176),0)</f>
        <v>4249.1031048205341</v>
      </c>
      <c r="DB178" s="12">
        <f>IF(DB$6&lt;$F$35,SUM($I176:DB176),0)</f>
        <v>4611.071354820534</v>
      </c>
      <c r="DC178" s="12">
        <f>IF(DC$6&lt;$F$35,SUM($I176:DC176),0)</f>
        <v>5063.5316673205343</v>
      </c>
      <c r="DD178" s="12">
        <f>IF(DD$6&lt;$F$35,SUM($I176:DD176),0)</f>
        <v>5666.8120839872008</v>
      </c>
      <c r="DE178" s="12">
        <f>IF(DE$6&lt;$F$35,SUM($I176:DE176),0)</f>
        <v>6571.7327089872006</v>
      </c>
      <c r="DF178" s="12">
        <f>IF(DF$6&lt;$F$35,SUM($I176:DF176),0)</f>
        <v>8381.573958987201</v>
      </c>
      <c r="DG178" s="12">
        <f>IF(DG$6&lt;$F$35,SUM($I176:DG176),0)</f>
        <v>0</v>
      </c>
      <c r="DH178" s="12">
        <f>IF(DH$6&lt;$F$35,SUM($I176:DH176),0)</f>
        <v>0</v>
      </c>
      <c r="DI178" s="12">
        <f>IF(DI$6&lt;$F$35,SUM($I176:DI176),0)</f>
        <v>0</v>
      </c>
      <c r="DJ178" s="12">
        <f>IF(DJ$6&lt;$F$35,SUM($I176:DJ176),0)</f>
        <v>0</v>
      </c>
      <c r="DK178" s="12">
        <f>IF(DK$6&lt;$F$35,SUM($I176:DK176),0)</f>
        <v>0</v>
      </c>
      <c r="DL178" s="12">
        <f>IF(DL$6&lt;$F$35,SUM($I176:DL176),0)</f>
        <v>0</v>
      </c>
      <c r="DM178" s="12">
        <f>IF(DM$6&lt;$F$35,SUM($I176:DM176),0)</f>
        <v>0</v>
      </c>
      <c r="DN178" s="12">
        <f>IF(DN$6&lt;$F$35,SUM($I176:DN176),0)</f>
        <v>0</v>
      </c>
      <c r="DO178" s="12">
        <f>IF(DO$6&lt;$F$35,SUM($I176:DO176),0)</f>
        <v>0</v>
      </c>
      <c r="DP178" s="12">
        <f>IF(DP$6&lt;$F$35,SUM($I176:DP176),0)</f>
        <v>0</v>
      </c>
      <c r="DQ178" s="12">
        <f>IF(DQ$6&lt;$F$35,SUM($I176:DQ176),0)</f>
        <v>0</v>
      </c>
      <c r="DR178" s="12">
        <f>IF(DR$6&lt;$F$35,SUM($I176:DR176),0)</f>
        <v>0</v>
      </c>
      <c r="DS178" s="12">
        <f>IF(DS$6&lt;$F$35,SUM($I176:DS176),0)</f>
        <v>0</v>
      </c>
      <c r="DT178" s="12">
        <f>IF(DT$6&lt;$F$35,SUM($I176:DT176),0)</f>
        <v>0</v>
      </c>
      <c r="DU178" s="12">
        <f>IF(DU$6&lt;$F$35,SUM($I176:DU176),0)</f>
        <v>0</v>
      </c>
      <c r="DV178" s="12">
        <f>IF(DV$6&lt;$F$35,SUM($I176:DV176),0)</f>
        <v>0</v>
      </c>
      <c r="DW178" s="12">
        <f>IF(DW$6&lt;$F$35,SUM($I176:DW176),0)</f>
        <v>0</v>
      </c>
      <c r="DX178" s="12">
        <f>IF(DX$6&lt;$F$35,SUM($I176:DX176),0)</f>
        <v>0</v>
      </c>
      <c r="DY178" s="12">
        <f>IF(DY$6&lt;$F$35,SUM($I176:DY176),0)</f>
        <v>0</v>
      </c>
      <c r="DZ178" s="12">
        <f>IF(DZ$6&lt;$F$35,SUM($I176:DZ176),0)</f>
        <v>0</v>
      </c>
      <c r="EA178" s="12">
        <f>IF(EA$6&lt;$F$35,SUM($I176:EA176),0)</f>
        <v>0</v>
      </c>
      <c r="EB178" s="12">
        <f>IF(EB$6&lt;$F$35,SUM($I176:EB176),0)</f>
        <v>0</v>
      </c>
      <c r="EC178" s="12">
        <f>IF(EC$6&lt;$F$35,SUM($I176:EC176),0)</f>
        <v>0</v>
      </c>
      <c r="ED178" s="12">
        <f>IF(ED$6&lt;$F$35,SUM($I176:ED176),0)</f>
        <v>0</v>
      </c>
      <c r="EE178" s="12">
        <f>IF(EE$6&lt;$F$35,SUM($I176:EE176),0)</f>
        <v>0</v>
      </c>
      <c r="EF178" s="12">
        <f>IF(EF$6&lt;$F$35,SUM($I176:EF176),0)</f>
        <v>0</v>
      </c>
      <c r="EG178" s="12">
        <f>IF(EG$6&lt;$F$35,SUM($I176:EG176),0)</f>
        <v>0</v>
      </c>
      <c r="EH178" s="12">
        <f>IF(EH$6&lt;$F$35,SUM($I176:EH176),0)</f>
        <v>0</v>
      </c>
      <c r="EI178" s="12">
        <f>IF(EI$6&lt;$F$35,SUM($I176:EI176),0)</f>
        <v>0</v>
      </c>
      <c r="EJ178" s="12">
        <f>IF(EJ$6&lt;$F$35,SUM($I176:EJ176),0)</f>
        <v>0</v>
      </c>
      <c r="EK178" s="12">
        <f>IF(EK$6&lt;$F$35,SUM($I176:EK176),0)</f>
        <v>0</v>
      </c>
      <c r="EL178" s="12">
        <f>IF(EL$6&lt;$F$35,SUM($I176:EL176),0)</f>
        <v>0</v>
      </c>
      <c r="EM178" s="12">
        <f>IF(EM$6&lt;$F$35,SUM($I176:EM176),0)</f>
        <v>0</v>
      </c>
      <c r="EN178" s="12">
        <f>IF(EN$6&lt;$F$35,SUM($I176:EN176),0)</f>
        <v>0</v>
      </c>
      <c r="EO178" s="12">
        <f>IF(EO$6&lt;$F$35,SUM($I176:EO176),0)</f>
        <v>0</v>
      </c>
      <c r="EP178" s="12">
        <f>IF(EP$6&lt;$F$35,SUM($I176:EP176),0)</f>
        <v>0</v>
      </c>
      <c r="EQ178" s="12">
        <f>IF(EQ$6&lt;$F$35,SUM($I176:EQ176),0)</f>
        <v>0</v>
      </c>
      <c r="ER178" s="12">
        <f>IF(ER$6&lt;$F$35,SUM($I176:ER176),0)</f>
        <v>0</v>
      </c>
      <c r="ES178" s="12">
        <f>IF(ES$6&lt;$F$35,SUM($I176:ES176),0)</f>
        <v>0</v>
      </c>
      <c r="ET178" s="12">
        <f>IF(ET$6&lt;$F$35,SUM($I176:ET176),0)</f>
        <v>0</v>
      </c>
      <c r="EU178" s="12">
        <f>IF(EU$6&lt;$F$35,SUM($I176:EU176),0)</f>
        <v>0</v>
      </c>
      <c r="EV178" s="12">
        <f>IF(EV$6&lt;$F$35,SUM($I176:EV176),0)</f>
        <v>0</v>
      </c>
      <c r="EW178" s="12">
        <f>IF(EW$6&lt;$F$35,SUM($I176:EW176),0)</f>
        <v>0</v>
      </c>
      <c r="EX178" s="12">
        <f>IF(EX$6&lt;$F$35,SUM($I176:EX176),0)</f>
        <v>0</v>
      </c>
      <c r="EY178" s="12">
        <f>IF(EY$6&lt;$F$35,SUM($I176:EY176),0)</f>
        <v>0</v>
      </c>
      <c r="EZ178" s="12">
        <f>IF(EZ$6&lt;$F$35,SUM($I176:EZ176),0)</f>
        <v>0</v>
      </c>
      <c r="FA178" s="12">
        <f>IF(FA$6&lt;$F$35,SUM($I176:FA176),0)</f>
        <v>0</v>
      </c>
      <c r="FB178" s="12">
        <f>IF(FB$6&lt;$F$35,SUM($I176:FB176),0)</f>
        <v>0</v>
      </c>
      <c r="FC178" s="12">
        <f>IF(FC$6&lt;$F$35,SUM($I176:FC176),0)</f>
        <v>0</v>
      </c>
      <c r="FD178" s="12">
        <f>IF(FD$6&lt;$F$35,SUM($I176:FD176),0)</f>
        <v>0</v>
      </c>
      <c r="FE178" s="12">
        <f>IF(FE$6&lt;$F$35,SUM($I176:FE176),0)</f>
        <v>0</v>
      </c>
      <c r="FF178" s="12">
        <f>IF(FF$6&lt;$F$35,SUM($I176:FF176),0)</f>
        <v>0</v>
      </c>
      <c r="FG178" s="12">
        <f>IF(FG$6&lt;$F$35,SUM($I176:FG176),0)</f>
        <v>0</v>
      </c>
      <c r="FH178" s="12">
        <f>IF(FH$6&lt;$F$35,SUM($I176:FH176),0)</f>
        <v>0</v>
      </c>
    </row>
    <row r="179" spans="1:164" x14ac:dyDescent="0.2">
      <c r="A179" s="10"/>
      <c r="B179" s="10"/>
      <c r="C179" s="10" t="s">
        <v>709</v>
      </c>
      <c r="D179" s="10"/>
      <c r="E179" s="10"/>
      <c r="F179" s="10"/>
      <c r="G179" s="10"/>
      <c r="H179" s="12">
        <f t="shared" si="358"/>
        <v>32577.142499999973</v>
      </c>
      <c r="I179" s="12">
        <f t="shared" ref="I179:AN179" si="364">IF(I$6=$F$35,SUMIF($I$6:$FH$6,"&lt;"&amp;$F$35,$I$175:$FH$175)*$F$51,0)</f>
        <v>0</v>
      </c>
      <c r="J179" s="12">
        <f t="shared" si="364"/>
        <v>0</v>
      </c>
      <c r="K179" s="12">
        <f t="shared" si="364"/>
        <v>0</v>
      </c>
      <c r="L179" s="12">
        <f t="shared" si="364"/>
        <v>0</v>
      </c>
      <c r="M179" s="12">
        <f t="shared" si="364"/>
        <v>0</v>
      </c>
      <c r="N179" s="12">
        <f t="shared" si="364"/>
        <v>0</v>
      </c>
      <c r="O179" s="12">
        <f t="shared" si="364"/>
        <v>0</v>
      </c>
      <c r="P179" s="12">
        <f t="shared" si="364"/>
        <v>0</v>
      </c>
      <c r="Q179" s="12">
        <f t="shared" si="364"/>
        <v>0</v>
      </c>
      <c r="R179" s="12">
        <f t="shared" si="364"/>
        <v>0</v>
      </c>
      <c r="S179" s="12">
        <f t="shared" si="364"/>
        <v>0</v>
      </c>
      <c r="T179" s="12">
        <f t="shared" si="364"/>
        <v>0</v>
      </c>
      <c r="U179" s="12">
        <f t="shared" si="364"/>
        <v>0</v>
      </c>
      <c r="V179" s="12">
        <f t="shared" si="364"/>
        <v>0</v>
      </c>
      <c r="W179" s="12">
        <f t="shared" si="364"/>
        <v>0</v>
      </c>
      <c r="X179" s="12">
        <f t="shared" si="364"/>
        <v>0</v>
      </c>
      <c r="Y179" s="12">
        <f t="shared" si="364"/>
        <v>0</v>
      </c>
      <c r="Z179" s="12">
        <f t="shared" si="364"/>
        <v>0</v>
      </c>
      <c r="AA179" s="12">
        <f t="shared" si="364"/>
        <v>0</v>
      </c>
      <c r="AB179" s="12">
        <f t="shared" si="364"/>
        <v>0</v>
      </c>
      <c r="AC179" s="12">
        <f t="shared" si="364"/>
        <v>0</v>
      </c>
      <c r="AD179" s="12">
        <f t="shared" si="364"/>
        <v>0</v>
      </c>
      <c r="AE179" s="12">
        <f t="shared" si="364"/>
        <v>0</v>
      </c>
      <c r="AF179" s="12">
        <f t="shared" si="364"/>
        <v>0</v>
      </c>
      <c r="AG179" s="12">
        <f t="shared" si="364"/>
        <v>0</v>
      </c>
      <c r="AH179" s="12">
        <f t="shared" si="364"/>
        <v>0</v>
      </c>
      <c r="AI179" s="12">
        <f t="shared" si="364"/>
        <v>0</v>
      </c>
      <c r="AJ179" s="12">
        <f t="shared" si="364"/>
        <v>0</v>
      </c>
      <c r="AK179" s="12">
        <f t="shared" si="364"/>
        <v>0</v>
      </c>
      <c r="AL179" s="12">
        <f t="shared" si="364"/>
        <v>0</v>
      </c>
      <c r="AM179" s="12">
        <f t="shared" si="364"/>
        <v>0</v>
      </c>
      <c r="AN179" s="12">
        <f t="shared" si="364"/>
        <v>0</v>
      </c>
      <c r="AO179" s="12">
        <f t="shared" ref="AO179:BT179" si="365">IF(AO$6=$F$35,SUMIF($I$6:$FH$6,"&lt;"&amp;$F$35,$I$175:$FH$175)*$F$51,0)</f>
        <v>0</v>
      </c>
      <c r="AP179" s="12">
        <f t="shared" si="365"/>
        <v>0</v>
      </c>
      <c r="AQ179" s="12">
        <f t="shared" si="365"/>
        <v>0</v>
      </c>
      <c r="AR179" s="12">
        <f t="shared" si="365"/>
        <v>0</v>
      </c>
      <c r="AS179" s="12">
        <f t="shared" si="365"/>
        <v>0</v>
      </c>
      <c r="AT179" s="12">
        <f t="shared" si="365"/>
        <v>0</v>
      </c>
      <c r="AU179" s="12">
        <f t="shared" si="365"/>
        <v>0</v>
      </c>
      <c r="AV179" s="12">
        <f t="shared" si="365"/>
        <v>0</v>
      </c>
      <c r="AW179" s="12">
        <f t="shared" si="365"/>
        <v>0</v>
      </c>
      <c r="AX179" s="12">
        <f t="shared" si="365"/>
        <v>0</v>
      </c>
      <c r="AY179" s="12">
        <f t="shared" si="365"/>
        <v>0</v>
      </c>
      <c r="AZ179" s="12">
        <f t="shared" si="365"/>
        <v>0</v>
      </c>
      <c r="BA179" s="12">
        <f t="shared" si="365"/>
        <v>0</v>
      </c>
      <c r="BB179" s="12">
        <f t="shared" si="365"/>
        <v>0</v>
      </c>
      <c r="BC179" s="12">
        <f t="shared" si="365"/>
        <v>0</v>
      </c>
      <c r="BD179" s="12">
        <f t="shared" si="365"/>
        <v>0</v>
      </c>
      <c r="BE179" s="12">
        <f t="shared" si="365"/>
        <v>0</v>
      </c>
      <c r="BF179" s="12">
        <f t="shared" si="365"/>
        <v>0</v>
      </c>
      <c r="BG179" s="12">
        <f t="shared" si="365"/>
        <v>0</v>
      </c>
      <c r="BH179" s="12">
        <f t="shared" si="365"/>
        <v>0</v>
      </c>
      <c r="BI179" s="12">
        <f t="shared" si="365"/>
        <v>0</v>
      </c>
      <c r="BJ179" s="12">
        <f t="shared" si="365"/>
        <v>0</v>
      </c>
      <c r="BK179" s="12">
        <f t="shared" si="365"/>
        <v>0</v>
      </c>
      <c r="BL179" s="12">
        <f t="shared" si="365"/>
        <v>0</v>
      </c>
      <c r="BM179" s="12">
        <f t="shared" si="365"/>
        <v>0</v>
      </c>
      <c r="BN179" s="12">
        <f t="shared" si="365"/>
        <v>0</v>
      </c>
      <c r="BO179" s="12">
        <f t="shared" si="365"/>
        <v>0</v>
      </c>
      <c r="BP179" s="12">
        <f t="shared" si="365"/>
        <v>0</v>
      </c>
      <c r="BQ179" s="12">
        <f t="shared" si="365"/>
        <v>0</v>
      </c>
      <c r="BR179" s="12">
        <f t="shared" si="365"/>
        <v>0</v>
      </c>
      <c r="BS179" s="12">
        <f t="shared" si="365"/>
        <v>0</v>
      </c>
      <c r="BT179" s="12">
        <f t="shared" si="365"/>
        <v>0</v>
      </c>
      <c r="BU179" s="12">
        <f t="shared" ref="BU179:CZ179" si="366">IF(BU$6=$F$35,SUMIF($I$6:$FH$6,"&lt;"&amp;$F$35,$I$175:$FH$175)*$F$51,0)</f>
        <v>0</v>
      </c>
      <c r="BV179" s="12">
        <f t="shared" si="366"/>
        <v>0</v>
      </c>
      <c r="BW179" s="12">
        <f t="shared" si="366"/>
        <v>0</v>
      </c>
      <c r="BX179" s="12">
        <f t="shared" si="366"/>
        <v>0</v>
      </c>
      <c r="BY179" s="12">
        <f t="shared" si="366"/>
        <v>0</v>
      </c>
      <c r="BZ179" s="12">
        <f t="shared" si="366"/>
        <v>0</v>
      </c>
      <c r="CA179" s="12">
        <f t="shared" si="366"/>
        <v>0</v>
      </c>
      <c r="CB179" s="12">
        <f t="shared" si="366"/>
        <v>0</v>
      </c>
      <c r="CC179" s="12">
        <f t="shared" si="366"/>
        <v>0</v>
      </c>
      <c r="CD179" s="12">
        <f t="shared" si="366"/>
        <v>0</v>
      </c>
      <c r="CE179" s="12">
        <f t="shared" si="366"/>
        <v>0</v>
      </c>
      <c r="CF179" s="12">
        <f t="shared" si="366"/>
        <v>0</v>
      </c>
      <c r="CG179" s="12">
        <f t="shared" si="366"/>
        <v>0</v>
      </c>
      <c r="CH179" s="12">
        <f t="shared" si="366"/>
        <v>0</v>
      </c>
      <c r="CI179" s="12">
        <f t="shared" si="366"/>
        <v>0</v>
      </c>
      <c r="CJ179" s="12">
        <f t="shared" si="366"/>
        <v>0</v>
      </c>
      <c r="CK179" s="12">
        <f t="shared" si="366"/>
        <v>0</v>
      </c>
      <c r="CL179" s="12">
        <f t="shared" si="366"/>
        <v>0</v>
      </c>
      <c r="CM179" s="12">
        <f t="shared" si="366"/>
        <v>0</v>
      </c>
      <c r="CN179" s="12">
        <f t="shared" si="366"/>
        <v>0</v>
      </c>
      <c r="CO179" s="12">
        <f t="shared" si="366"/>
        <v>0</v>
      </c>
      <c r="CP179" s="12">
        <f t="shared" si="366"/>
        <v>0</v>
      </c>
      <c r="CQ179" s="12">
        <f t="shared" si="366"/>
        <v>0</v>
      </c>
      <c r="CR179" s="12">
        <f t="shared" si="366"/>
        <v>0</v>
      </c>
      <c r="CS179" s="12">
        <f t="shared" si="366"/>
        <v>0</v>
      </c>
      <c r="CT179" s="12">
        <f t="shared" si="366"/>
        <v>0</v>
      </c>
      <c r="CU179" s="12">
        <f t="shared" si="366"/>
        <v>0</v>
      </c>
      <c r="CV179" s="12">
        <f t="shared" si="366"/>
        <v>0</v>
      </c>
      <c r="CW179" s="12">
        <f t="shared" si="366"/>
        <v>0</v>
      </c>
      <c r="CX179" s="12">
        <f t="shared" si="366"/>
        <v>0</v>
      </c>
      <c r="CY179" s="12">
        <f t="shared" si="366"/>
        <v>0</v>
      </c>
      <c r="CZ179" s="12">
        <f t="shared" si="366"/>
        <v>0</v>
      </c>
      <c r="DA179" s="12">
        <f t="shared" ref="DA179:EF179" si="367">IF(DA$6=$F$35,SUMIF($I$6:$FH$6,"&lt;"&amp;$F$35,$I$175:$FH$175)*$F$51,0)</f>
        <v>0</v>
      </c>
      <c r="DB179" s="12">
        <f t="shared" si="367"/>
        <v>0</v>
      </c>
      <c r="DC179" s="12">
        <f t="shared" si="367"/>
        <v>0</v>
      </c>
      <c r="DD179" s="12">
        <f t="shared" si="367"/>
        <v>0</v>
      </c>
      <c r="DE179" s="12">
        <f t="shared" si="367"/>
        <v>0</v>
      </c>
      <c r="DF179" s="12">
        <f t="shared" si="367"/>
        <v>0</v>
      </c>
      <c r="DG179" s="12">
        <f t="shared" si="367"/>
        <v>32577.142499999973</v>
      </c>
      <c r="DH179" s="12">
        <f t="shared" si="367"/>
        <v>0</v>
      </c>
      <c r="DI179" s="12">
        <f t="shared" si="367"/>
        <v>0</v>
      </c>
      <c r="DJ179" s="12">
        <f t="shared" si="367"/>
        <v>0</v>
      </c>
      <c r="DK179" s="12">
        <f t="shared" si="367"/>
        <v>0</v>
      </c>
      <c r="DL179" s="12">
        <f t="shared" si="367"/>
        <v>0</v>
      </c>
      <c r="DM179" s="12">
        <f t="shared" si="367"/>
        <v>0</v>
      </c>
      <c r="DN179" s="12">
        <f t="shared" si="367"/>
        <v>0</v>
      </c>
      <c r="DO179" s="12">
        <f t="shared" si="367"/>
        <v>0</v>
      </c>
      <c r="DP179" s="12">
        <f t="shared" si="367"/>
        <v>0</v>
      </c>
      <c r="DQ179" s="12">
        <f t="shared" si="367"/>
        <v>0</v>
      </c>
      <c r="DR179" s="12">
        <f t="shared" si="367"/>
        <v>0</v>
      </c>
      <c r="DS179" s="12">
        <f t="shared" si="367"/>
        <v>0</v>
      </c>
      <c r="DT179" s="12">
        <f t="shared" si="367"/>
        <v>0</v>
      </c>
      <c r="DU179" s="12">
        <f t="shared" si="367"/>
        <v>0</v>
      </c>
      <c r="DV179" s="12">
        <f t="shared" si="367"/>
        <v>0</v>
      </c>
      <c r="DW179" s="12">
        <f t="shared" si="367"/>
        <v>0</v>
      </c>
      <c r="DX179" s="12">
        <f t="shared" si="367"/>
        <v>0</v>
      </c>
      <c r="DY179" s="12">
        <f t="shared" si="367"/>
        <v>0</v>
      </c>
      <c r="DZ179" s="12">
        <f t="shared" si="367"/>
        <v>0</v>
      </c>
      <c r="EA179" s="12">
        <f t="shared" si="367"/>
        <v>0</v>
      </c>
      <c r="EB179" s="12">
        <f t="shared" si="367"/>
        <v>0</v>
      </c>
      <c r="EC179" s="12">
        <f t="shared" si="367"/>
        <v>0</v>
      </c>
      <c r="ED179" s="12">
        <f t="shared" si="367"/>
        <v>0</v>
      </c>
      <c r="EE179" s="12">
        <f t="shared" si="367"/>
        <v>0</v>
      </c>
      <c r="EF179" s="12">
        <f t="shared" si="367"/>
        <v>0</v>
      </c>
      <c r="EG179" s="12">
        <f t="shared" ref="EG179:FH179" si="368">IF(EG$6=$F$35,SUMIF($I$6:$FH$6,"&lt;"&amp;$F$35,$I$175:$FH$175)*$F$51,0)</f>
        <v>0</v>
      </c>
      <c r="EH179" s="12">
        <f t="shared" si="368"/>
        <v>0</v>
      </c>
      <c r="EI179" s="12">
        <f t="shared" si="368"/>
        <v>0</v>
      </c>
      <c r="EJ179" s="12">
        <f t="shared" si="368"/>
        <v>0</v>
      </c>
      <c r="EK179" s="12">
        <f t="shared" si="368"/>
        <v>0</v>
      </c>
      <c r="EL179" s="12">
        <f t="shared" si="368"/>
        <v>0</v>
      </c>
      <c r="EM179" s="12">
        <f t="shared" si="368"/>
        <v>0</v>
      </c>
      <c r="EN179" s="12">
        <f t="shared" si="368"/>
        <v>0</v>
      </c>
      <c r="EO179" s="12">
        <f t="shared" si="368"/>
        <v>0</v>
      </c>
      <c r="EP179" s="12">
        <f t="shared" si="368"/>
        <v>0</v>
      </c>
      <c r="EQ179" s="12">
        <f t="shared" si="368"/>
        <v>0</v>
      </c>
      <c r="ER179" s="12">
        <f t="shared" si="368"/>
        <v>0</v>
      </c>
      <c r="ES179" s="12">
        <f t="shared" si="368"/>
        <v>0</v>
      </c>
      <c r="ET179" s="12">
        <f t="shared" si="368"/>
        <v>0</v>
      </c>
      <c r="EU179" s="12">
        <f t="shared" si="368"/>
        <v>0</v>
      </c>
      <c r="EV179" s="12">
        <f t="shared" si="368"/>
        <v>0</v>
      </c>
      <c r="EW179" s="12">
        <f t="shared" si="368"/>
        <v>0</v>
      </c>
      <c r="EX179" s="12">
        <f t="shared" si="368"/>
        <v>0</v>
      </c>
      <c r="EY179" s="12">
        <f t="shared" si="368"/>
        <v>0</v>
      </c>
      <c r="EZ179" s="12">
        <f t="shared" si="368"/>
        <v>0</v>
      </c>
      <c r="FA179" s="12">
        <f t="shared" si="368"/>
        <v>0</v>
      </c>
      <c r="FB179" s="12">
        <f t="shared" si="368"/>
        <v>0</v>
      </c>
      <c r="FC179" s="12">
        <f t="shared" si="368"/>
        <v>0</v>
      </c>
      <c r="FD179" s="12">
        <f t="shared" si="368"/>
        <v>0</v>
      </c>
      <c r="FE179" s="12">
        <f t="shared" si="368"/>
        <v>0</v>
      </c>
      <c r="FF179" s="12">
        <f t="shared" si="368"/>
        <v>0</v>
      </c>
      <c r="FG179" s="12">
        <f t="shared" si="368"/>
        <v>0</v>
      </c>
      <c r="FH179" s="12">
        <f t="shared" si="368"/>
        <v>0</v>
      </c>
    </row>
    <row r="180" spans="1:164" x14ac:dyDescent="0.2">
      <c r="A180" s="10"/>
      <c r="B180" s="10"/>
      <c r="C180" s="10" t="s">
        <v>751</v>
      </c>
      <c r="D180" s="10"/>
      <c r="E180" s="10"/>
      <c r="F180" s="10"/>
      <c r="G180" s="10"/>
      <c r="H180" s="12">
        <f t="shared" si="358"/>
        <v>180984.12499999994</v>
      </c>
      <c r="I180" s="12">
        <f t="shared" ref="I180:AN180" si="369">IF(I$6=$F$46,SUMIF($I$6:$FH$6,"&lt;"&amp;$F$46,$I$175:$FH$175)*$F$52,0)</f>
        <v>0</v>
      </c>
      <c r="J180" s="12">
        <f t="shared" si="369"/>
        <v>0</v>
      </c>
      <c r="K180" s="12">
        <f t="shared" si="369"/>
        <v>0</v>
      </c>
      <c r="L180" s="12">
        <f t="shared" si="369"/>
        <v>0</v>
      </c>
      <c r="M180" s="12">
        <f t="shared" si="369"/>
        <v>0</v>
      </c>
      <c r="N180" s="12">
        <f t="shared" si="369"/>
        <v>0</v>
      </c>
      <c r="O180" s="12">
        <f t="shared" si="369"/>
        <v>0</v>
      </c>
      <c r="P180" s="12">
        <f t="shared" si="369"/>
        <v>0</v>
      </c>
      <c r="Q180" s="12">
        <f t="shared" si="369"/>
        <v>0</v>
      </c>
      <c r="R180" s="12">
        <f t="shared" si="369"/>
        <v>0</v>
      </c>
      <c r="S180" s="12">
        <f t="shared" si="369"/>
        <v>0</v>
      </c>
      <c r="T180" s="12">
        <f t="shared" si="369"/>
        <v>0</v>
      </c>
      <c r="U180" s="12">
        <f t="shared" si="369"/>
        <v>0</v>
      </c>
      <c r="V180" s="12">
        <f t="shared" si="369"/>
        <v>0</v>
      </c>
      <c r="W180" s="12">
        <f t="shared" si="369"/>
        <v>0</v>
      </c>
      <c r="X180" s="12">
        <f t="shared" si="369"/>
        <v>0</v>
      </c>
      <c r="Y180" s="12">
        <f t="shared" si="369"/>
        <v>0</v>
      </c>
      <c r="Z180" s="12">
        <f t="shared" si="369"/>
        <v>0</v>
      </c>
      <c r="AA180" s="12">
        <f t="shared" si="369"/>
        <v>0</v>
      </c>
      <c r="AB180" s="12">
        <f t="shared" si="369"/>
        <v>0</v>
      </c>
      <c r="AC180" s="12">
        <f t="shared" si="369"/>
        <v>0</v>
      </c>
      <c r="AD180" s="12">
        <f t="shared" si="369"/>
        <v>0</v>
      </c>
      <c r="AE180" s="12">
        <f t="shared" si="369"/>
        <v>0</v>
      </c>
      <c r="AF180" s="12">
        <f t="shared" si="369"/>
        <v>0</v>
      </c>
      <c r="AG180" s="12">
        <f t="shared" si="369"/>
        <v>0</v>
      </c>
      <c r="AH180" s="12">
        <f t="shared" si="369"/>
        <v>0</v>
      </c>
      <c r="AI180" s="12">
        <f t="shared" si="369"/>
        <v>0</v>
      </c>
      <c r="AJ180" s="12">
        <f t="shared" si="369"/>
        <v>0</v>
      </c>
      <c r="AK180" s="12">
        <f t="shared" si="369"/>
        <v>0</v>
      </c>
      <c r="AL180" s="12">
        <f t="shared" si="369"/>
        <v>0</v>
      </c>
      <c r="AM180" s="12">
        <f t="shared" si="369"/>
        <v>0</v>
      </c>
      <c r="AN180" s="12">
        <f t="shared" si="369"/>
        <v>0</v>
      </c>
      <c r="AO180" s="12">
        <f t="shared" ref="AO180:BT180" si="370">IF(AO$6=$F$46,SUMIF($I$6:$FH$6,"&lt;"&amp;$F$46,$I$175:$FH$175)*$F$52,0)</f>
        <v>0</v>
      </c>
      <c r="AP180" s="12">
        <f t="shared" si="370"/>
        <v>0</v>
      </c>
      <c r="AQ180" s="12">
        <f t="shared" si="370"/>
        <v>0</v>
      </c>
      <c r="AR180" s="12">
        <f t="shared" si="370"/>
        <v>0</v>
      </c>
      <c r="AS180" s="12">
        <f t="shared" si="370"/>
        <v>0</v>
      </c>
      <c r="AT180" s="12">
        <f t="shared" si="370"/>
        <v>0</v>
      </c>
      <c r="AU180" s="12">
        <f t="shared" si="370"/>
        <v>0</v>
      </c>
      <c r="AV180" s="12">
        <f t="shared" si="370"/>
        <v>0</v>
      </c>
      <c r="AW180" s="12">
        <f t="shared" si="370"/>
        <v>0</v>
      </c>
      <c r="AX180" s="12">
        <f t="shared" si="370"/>
        <v>0</v>
      </c>
      <c r="AY180" s="12">
        <f t="shared" si="370"/>
        <v>0</v>
      </c>
      <c r="AZ180" s="12">
        <f t="shared" si="370"/>
        <v>0</v>
      </c>
      <c r="BA180" s="12">
        <f t="shared" si="370"/>
        <v>0</v>
      </c>
      <c r="BB180" s="12">
        <f t="shared" si="370"/>
        <v>0</v>
      </c>
      <c r="BC180" s="12">
        <f t="shared" si="370"/>
        <v>0</v>
      </c>
      <c r="BD180" s="12">
        <f t="shared" si="370"/>
        <v>0</v>
      </c>
      <c r="BE180" s="12">
        <f t="shared" si="370"/>
        <v>0</v>
      </c>
      <c r="BF180" s="12">
        <f t="shared" si="370"/>
        <v>0</v>
      </c>
      <c r="BG180" s="12">
        <f t="shared" si="370"/>
        <v>0</v>
      </c>
      <c r="BH180" s="12">
        <f t="shared" si="370"/>
        <v>0</v>
      </c>
      <c r="BI180" s="12">
        <f t="shared" si="370"/>
        <v>0</v>
      </c>
      <c r="BJ180" s="12">
        <f t="shared" si="370"/>
        <v>0</v>
      </c>
      <c r="BK180" s="12">
        <f t="shared" si="370"/>
        <v>0</v>
      </c>
      <c r="BL180" s="12">
        <f t="shared" si="370"/>
        <v>0</v>
      </c>
      <c r="BM180" s="12">
        <f t="shared" si="370"/>
        <v>0</v>
      </c>
      <c r="BN180" s="12">
        <f t="shared" si="370"/>
        <v>0</v>
      </c>
      <c r="BO180" s="12">
        <f t="shared" si="370"/>
        <v>0</v>
      </c>
      <c r="BP180" s="12">
        <f t="shared" si="370"/>
        <v>0</v>
      </c>
      <c r="BQ180" s="12">
        <f t="shared" si="370"/>
        <v>0</v>
      </c>
      <c r="BR180" s="12">
        <f t="shared" si="370"/>
        <v>0</v>
      </c>
      <c r="BS180" s="12">
        <f t="shared" si="370"/>
        <v>0</v>
      </c>
      <c r="BT180" s="12">
        <f t="shared" si="370"/>
        <v>0</v>
      </c>
      <c r="BU180" s="12">
        <f t="shared" ref="BU180:CZ180" si="371">IF(BU$6=$F$46,SUMIF($I$6:$FH$6,"&lt;"&amp;$F$46,$I$175:$FH$175)*$F$52,0)</f>
        <v>0</v>
      </c>
      <c r="BV180" s="12">
        <f t="shared" si="371"/>
        <v>0</v>
      </c>
      <c r="BW180" s="12">
        <f t="shared" si="371"/>
        <v>0</v>
      </c>
      <c r="BX180" s="12">
        <f t="shared" si="371"/>
        <v>0</v>
      </c>
      <c r="BY180" s="12">
        <f t="shared" si="371"/>
        <v>0</v>
      </c>
      <c r="BZ180" s="12">
        <f t="shared" si="371"/>
        <v>0</v>
      </c>
      <c r="CA180" s="12">
        <f t="shared" si="371"/>
        <v>0</v>
      </c>
      <c r="CB180" s="12">
        <f t="shared" si="371"/>
        <v>0</v>
      </c>
      <c r="CC180" s="12">
        <f t="shared" si="371"/>
        <v>0</v>
      </c>
      <c r="CD180" s="12">
        <f t="shared" si="371"/>
        <v>0</v>
      </c>
      <c r="CE180" s="12">
        <f t="shared" si="371"/>
        <v>0</v>
      </c>
      <c r="CF180" s="12">
        <f t="shared" si="371"/>
        <v>0</v>
      </c>
      <c r="CG180" s="12">
        <f t="shared" si="371"/>
        <v>0</v>
      </c>
      <c r="CH180" s="12">
        <f t="shared" si="371"/>
        <v>0</v>
      </c>
      <c r="CI180" s="12">
        <f t="shared" si="371"/>
        <v>0</v>
      </c>
      <c r="CJ180" s="12">
        <f t="shared" si="371"/>
        <v>0</v>
      </c>
      <c r="CK180" s="12">
        <f t="shared" si="371"/>
        <v>0</v>
      </c>
      <c r="CL180" s="12">
        <f t="shared" si="371"/>
        <v>0</v>
      </c>
      <c r="CM180" s="12">
        <f t="shared" si="371"/>
        <v>0</v>
      </c>
      <c r="CN180" s="12">
        <f t="shared" si="371"/>
        <v>0</v>
      </c>
      <c r="CO180" s="12">
        <f t="shared" si="371"/>
        <v>0</v>
      </c>
      <c r="CP180" s="12">
        <f t="shared" si="371"/>
        <v>0</v>
      </c>
      <c r="CQ180" s="12">
        <f t="shared" si="371"/>
        <v>0</v>
      </c>
      <c r="CR180" s="12">
        <f t="shared" si="371"/>
        <v>0</v>
      </c>
      <c r="CS180" s="12">
        <f t="shared" si="371"/>
        <v>0</v>
      </c>
      <c r="CT180" s="12">
        <f t="shared" si="371"/>
        <v>0</v>
      </c>
      <c r="CU180" s="12">
        <f t="shared" si="371"/>
        <v>0</v>
      </c>
      <c r="CV180" s="12">
        <f t="shared" si="371"/>
        <v>0</v>
      </c>
      <c r="CW180" s="12">
        <f t="shared" si="371"/>
        <v>0</v>
      </c>
      <c r="CX180" s="12">
        <f t="shared" si="371"/>
        <v>0</v>
      </c>
      <c r="CY180" s="12">
        <f t="shared" si="371"/>
        <v>0</v>
      </c>
      <c r="CZ180" s="12">
        <f t="shared" si="371"/>
        <v>0</v>
      </c>
      <c r="DA180" s="12">
        <f t="shared" ref="DA180:EF180" si="372">IF(DA$6=$F$46,SUMIF($I$6:$FH$6,"&lt;"&amp;$F$46,$I$175:$FH$175)*$F$52,0)</f>
        <v>0</v>
      </c>
      <c r="DB180" s="12">
        <f t="shared" si="372"/>
        <v>0</v>
      </c>
      <c r="DC180" s="12">
        <f t="shared" si="372"/>
        <v>0</v>
      </c>
      <c r="DD180" s="12">
        <f t="shared" si="372"/>
        <v>0</v>
      </c>
      <c r="DE180" s="12">
        <f t="shared" si="372"/>
        <v>0</v>
      </c>
      <c r="DF180" s="12">
        <f t="shared" si="372"/>
        <v>0</v>
      </c>
      <c r="DG180" s="12">
        <f t="shared" si="372"/>
        <v>0</v>
      </c>
      <c r="DH180" s="12">
        <f t="shared" si="372"/>
        <v>0</v>
      </c>
      <c r="DI180" s="12">
        <f t="shared" si="372"/>
        <v>0</v>
      </c>
      <c r="DJ180" s="12">
        <f t="shared" si="372"/>
        <v>0</v>
      </c>
      <c r="DK180" s="12">
        <f t="shared" si="372"/>
        <v>0</v>
      </c>
      <c r="DL180" s="12">
        <f t="shared" si="372"/>
        <v>0</v>
      </c>
      <c r="DM180" s="12">
        <f t="shared" si="372"/>
        <v>0</v>
      </c>
      <c r="DN180" s="12">
        <f t="shared" si="372"/>
        <v>0</v>
      </c>
      <c r="DO180" s="12">
        <f t="shared" si="372"/>
        <v>0</v>
      </c>
      <c r="DP180" s="12">
        <f t="shared" si="372"/>
        <v>0</v>
      </c>
      <c r="DQ180" s="12">
        <f t="shared" si="372"/>
        <v>0</v>
      </c>
      <c r="DR180" s="12">
        <f t="shared" si="372"/>
        <v>0</v>
      </c>
      <c r="DS180" s="12">
        <f t="shared" si="372"/>
        <v>0</v>
      </c>
      <c r="DT180" s="12">
        <f t="shared" si="372"/>
        <v>180984.12499999994</v>
      </c>
      <c r="DU180" s="12">
        <f t="shared" si="372"/>
        <v>0</v>
      </c>
      <c r="DV180" s="12">
        <f t="shared" si="372"/>
        <v>0</v>
      </c>
      <c r="DW180" s="12">
        <f t="shared" si="372"/>
        <v>0</v>
      </c>
      <c r="DX180" s="12">
        <f t="shared" si="372"/>
        <v>0</v>
      </c>
      <c r="DY180" s="12">
        <f t="shared" si="372"/>
        <v>0</v>
      </c>
      <c r="DZ180" s="12">
        <f t="shared" si="372"/>
        <v>0</v>
      </c>
      <c r="EA180" s="12">
        <f t="shared" si="372"/>
        <v>0</v>
      </c>
      <c r="EB180" s="12">
        <f t="shared" si="372"/>
        <v>0</v>
      </c>
      <c r="EC180" s="12">
        <f t="shared" si="372"/>
        <v>0</v>
      </c>
      <c r="ED180" s="12">
        <f t="shared" si="372"/>
        <v>0</v>
      </c>
      <c r="EE180" s="12">
        <f t="shared" si="372"/>
        <v>0</v>
      </c>
      <c r="EF180" s="12">
        <f t="shared" si="372"/>
        <v>0</v>
      </c>
      <c r="EG180" s="12">
        <f t="shared" ref="EG180:FH180" si="373">IF(EG$6=$F$46,SUMIF($I$6:$FH$6,"&lt;"&amp;$F$46,$I$175:$FH$175)*$F$52,0)</f>
        <v>0</v>
      </c>
      <c r="EH180" s="12">
        <f t="shared" si="373"/>
        <v>0</v>
      </c>
      <c r="EI180" s="12">
        <f t="shared" si="373"/>
        <v>0</v>
      </c>
      <c r="EJ180" s="12">
        <f t="shared" si="373"/>
        <v>0</v>
      </c>
      <c r="EK180" s="12">
        <f t="shared" si="373"/>
        <v>0</v>
      </c>
      <c r="EL180" s="12">
        <f t="shared" si="373"/>
        <v>0</v>
      </c>
      <c r="EM180" s="12">
        <f t="shared" si="373"/>
        <v>0</v>
      </c>
      <c r="EN180" s="12">
        <f t="shared" si="373"/>
        <v>0</v>
      </c>
      <c r="EO180" s="12">
        <f t="shared" si="373"/>
        <v>0</v>
      </c>
      <c r="EP180" s="12">
        <f t="shared" si="373"/>
        <v>0</v>
      </c>
      <c r="EQ180" s="12">
        <f t="shared" si="373"/>
        <v>0</v>
      </c>
      <c r="ER180" s="12">
        <f t="shared" si="373"/>
        <v>0</v>
      </c>
      <c r="ES180" s="12">
        <f t="shared" si="373"/>
        <v>0</v>
      </c>
      <c r="ET180" s="12">
        <f t="shared" si="373"/>
        <v>0</v>
      </c>
      <c r="EU180" s="12">
        <f t="shared" si="373"/>
        <v>0</v>
      </c>
      <c r="EV180" s="12">
        <f t="shared" si="373"/>
        <v>0</v>
      </c>
      <c r="EW180" s="12">
        <f t="shared" si="373"/>
        <v>0</v>
      </c>
      <c r="EX180" s="12">
        <f t="shared" si="373"/>
        <v>0</v>
      </c>
      <c r="EY180" s="12">
        <f t="shared" si="373"/>
        <v>0</v>
      </c>
      <c r="EZ180" s="12">
        <f t="shared" si="373"/>
        <v>0</v>
      </c>
      <c r="FA180" s="12">
        <f t="shared" si="373"/>
        <v>0</v>
      </c>
      <c r="FB180" s="12">
        <f t="shared" si="373"/>
        <v>0</v>
      </c>
      <c r="FC180" s="12">
        <f t="shared" si="373"/>
        <v>0</v>
      </c>
      <c r="FD180" s="12">
        <f t="shared" si="373"/>
        <v>0</v>
      </c>
      <c r="FE180" s="12">
        <f t="shared" si="373"/>
        <v>0</v>
      </c>
      <c r="FF180" s="12">
        <f t="shared" si="373"/>
        <v>0</v>
      </c>
      <c r="FG180" s="12">
        <f t="shared" si="373"/>
        <v>0</v>
      </c>
      <c r="FH180" s="12">
        <f t="shared" si="373"/>
        <v>0</v>
      </c>
    </row>
    <row r="181" spans="1:164" x14ac:dyDescent="0.2">
      <c r="A181" s="10"/>
      <c r="B181" s="10"/>
      <c r="C181" s="238" t="s">
        <v>747</v>
      </c>
      <c r="D181" s="238"/>
      <c r="E181" s="238"/>
      <c r="F181" s="238"/>
      <c r="G181" s="238"/>
      <c r="H181" s="239">
        <f t="shared" si="358"/>
        <v>361968.25</v>
      </c>
      <c r="I181" s="239">
        <f t="shared" ref="I181:AN181" si="374">SUM(I177:I180)</f>
        <v>0</v>
      </c>
      <c r="J181" s="239">
        <f t="shared" si="374"/>
        <v>0</v>
      </c>
      <c r="K181" s="239">
        <f t="shared" si="374"/>
        <v>0</v>
      </c>
      <c r="L181" s="239">
        <f t="shared" si="374"/>
        <v>0</v>
      </c>
      <c r="M181" s="239">
        <f t="shared" si="374"/>
        <v>0</v>
      </c>
      <c r="N181" s="239">
        <f t="shared" si="374"/>
        <v>0</v>
      </c>
      <c r="O181" s="239">
        <f t="shared" si="374"/>
        <v>0</v>
      </c>
      <c r="P181" s="239">
        <f t="shared" si="374"/>
        <v>0</v>
      </c>
      <c r="Q181" s="239">
        <f t="shared" si="374"/>
        <v>0</v>
      </c>
      <c r="R181" s="239">
        <f t="shared" si="374"/>
        <v>0</v>
      </c>
      <c r="S181" s="239">
        <f t="shared" si="374"/>
        <v>0</v>
      </c>
      <c r="T181" s="239">
        <f t="shared" si="374"/>
        <v>0</v>
      </c>
      <c r="U181" s="239">
        <f t="shared" si="374"/>
        <v>0</v>
      </c>
      <c r="V181" s="239">
        <f t="shared" si="374"/>
        <v>0</v>
      </c>
      <c r="W181" s="239">
        <f t="shared" si="374"/>
        <v>0</v>
      </c>
      <c r="X181" s="239">
        <f t="shared" si="374"/>
        <v>0</v>
      </c>
      <c r="Y181" s="239">
        <f t="shared" si="374"/>
        <v>0</v>
      </c>
      <c r="Z181" s="239">
        <f t="shared" si="374"/>
        <v>0</v>
      </c>
      <c r="AA181" s="239">
        <f t="shared" si="374"/>
        <v>0</v>
      </c>
      <c r="AB181" s="239">
        <f t="shared" si="374"/>
        <v>0</v>
      </c>
      <c r="AC181" s="239">
        <f t="shared" si="374"/>
        <v>0</v>
      </c>
      <c r="AD181" s="239">
        <f t="shared" si="374"/>
        <v>0</v>
      </c>
      <c r="AE181" s="239">
        <f t="shared" si="374"/>
        <v>0</v>
      </c>
      <c r="AF181" s="239">
        <f t="shared" si="374"/>
        <v>0</v>
      </c>
      <c r="AG181" s="239">
        <f t="shared" si="374"/>
        <v>0</v>
      </c>
      <c r="AH181" s="239">
        <f t="shared" si="374"/>
        <v>0</v>
      </c>
      <c r="AI181" s="239">
        <f t="shared" si="374"/>
        <v>0</v>
      </c>
      <c r="AJ181" s="239">
        <f t="shared" si="374"/>
        <v>0</v>
      </c>
      <c r="AK181" s="239">
        <f t="shared" si="374"/>
        <v>0</v>
      </c>
      <c r="AL181" s="239">
        <f t="shared" si="374"/>
        <v>0</v>
      </c>
      <c r="AM181" s="239">
        <f t="shared" si="374"/>
        <v>0</v>
      </c>
      <c r="AN181" s="239">
        <f t="shared" si="374"/>
        <v>0</v>
      </c>
      <c r="AO181" s="239">
        <f t="shared" ref="AO181:BT181" si="375">SUM(AO177:AO180)</f>
        <v>0</v>
      </c>
      <c r="AP181" s="239">
        <f t="shared" si="375"/>
        <v>0</v>
      </c>
      <c r="AQ181" s="239">
        <f t="shared" si="375"/>
        <v>0</v>
      </c>
      <c r="AR181" s="239">
        <f t="shared" si="375"/>
        <v>0</v>
      </c>
      <c r="AS181" s="239">
        <f t="shared" si="375"/>
        <v>0</v>
      </c>
      <c r="AT181" s="239">
        <f t="shared" si="375"/>
        <v>0</v>
      </c>
      <c r="AU181" s="239">
        <f t="shared" si="375"/>
        <v>0</v>
      </c>
      <c r="AV181" s="239">
        <f t="shared" si="375"/>
        <v>0</v>
      </c>
      <c r="AW181" s="239">
        <f t="shared" si="375"/>
        <v>0</v>
      </c>
      <c r="AX181" s="239">
        <f t="shared" si="375"/>
        <v>0</v>
      </c>
      <c r="AY181" s="239">
        <f t="shared" si="375"/>
        <v>0</v>
      </c>
      <c r="AZ181" s="239">
        <f t="shared" si="375"/>
        <v>0</v>
      </c>
      <c r="BA181" s="239">
        <f t="shared" si="375"/>
        <v>0</v>
      </c>
      <c r="BB181" s="239">
        <f t="shared" si="375"/>
        <v>0</v>
      </c>
      <c r="BC181" s="239">
        <f t="shared" si="375"/>
        <v>0</v>
      </c>
      <c r="BD181" s="239">
        <f t="shared" si="375"/>
        <v>0</v>
      </c>
      <c r="BE181" s="239">
        <f t="shared" si="375"/>
        <v>0</v>
      </c>
      <c r="BF181" s="239">
        <f t="shared" si="375"/>
        <v>0</v>
      </c>
      <c r="BG181" s="239">
        <f t="shared" si="375"/>
        <v>0</v>
      </c>
      <c r="BH181" s="239">
        <f t="shared" si="375"/>
        <v>0</v>
      </c>
      <c r="BI181" s="239">
        <f t="shared" si="375"/>
        <v>0</v>
      </c>
      <c r="BJ181" s="239">
        <f t="shared" si="375"/>
        <v>0</v>
      </c>
      <c r="BK181" s="239">
        <f t="shared" si="375"/>
        <v>0</v>
      </c>
      <c r="BL181" s="239">
        <f t="shared" si="375"/>
        <v>0</v>
      </c>
      <c r="BM181" s="239">
        <f t="shared" si="375"/>
        <v>0</v>
      </c>
      <c r="BN181" s="239">
        <f t="shared" si="375"/>
        <v>0</v>
      </c>
      <c r="BO181" s="239">
        <f t="shared" si="375"/>
        <v>0</v>
      </c>
      <c r="BP181" s="239">
        <f t="shared" si="375"/>
        <v>0</v>
      </c>
      <c r="BQ181" s="239">
        <f t="shared" si="375"/>
        <v>1939.1156249999995</v>
      </c>
      <c r="BR181" s="239">
        <f t="shared" si="375"/>
        <v>2071.5430335365845</v>
      </c>
      <c r="BS181" s="239">
        <f t="shared" si="375"/>
        <v>2207.2811272865847</v>
      </c>
      <c r="BT181" s="239">
        <f t="shared" si="375"/>
        <v>2346.4996849788922</v>
      </c>
      <c r="BU181" s="239">
        <f t="shared" ref="BU181:CZ181" si="376">SUM(BU177:BU180)</f>
        <v>2489.3818889262607</v>
      </c>
      <c r="BV181" s="239">
        <f t="shared" si="376"/>
        <v>2636.1257740613955</v>
      </c>
      <c r="BW181" s="239">
        <f t="shared" si="376"/>
        <v>1479.8383087836185</v>
      </c>
      <c r="BX181" s="239">
        <f t="shared" si="376"/>
        <v>1531.5480587836184</v>
      </c>
      <c r="BY181" s="239">
        <f t="shared" si="376"/>
        <v>1584.7786837836184</v>
      </c>
      <c r="BZ181" s="239">
        <f t="shared" si="376"/>
        <v>1639.6223580260425</v>
      </c>
      <c r="CA181" s="239">
        <f t="shared" si="376"/>
        <v>1696.1798970885425</v>
      </c>
      <c r="CB181" s="239">
        <f t="shared" si="376"/>
        <v>1754.5618728949944</v>
      </c>
      <c r="CC181" s="239">
        <f t="shared" si="376"/>
        <v>1814.889914561661</v>
      </c>
      <c r="CD181" s="239">
        <f t="shared" si="376"/>
        <v>1877.2982335271781</v>
      </c>
      <c r="CE181" s="239">
        <f t="shared" si="376"/>
        <v>1941.9354210271781</v>
      </c>
      <c r="CF181" s="239">
        <f t="shared" si="376"/>
        <v>2008.9665784345857</v>
      </c>
      <c r="CG181" s="239">
        <f t="shared" si="376"/>
        <v>2078.5758572807395</v>
      </c>
      <c r="CH181" s="239">
        <f t="shared" si="376"/>
        <v>2150.9695072807394</v>
      </c>
      <c r="CI181" s="239">
        <f t="shared" si="376"/>
        <v>2226.3795593640725</v>
      </c>
      <c r="CJ181" s="239">
        <f t="shared" si="376"/>
        <v>2305.0683093640728</v>
      </c>
      <c r="CK181" s="239">
        <f t="shared" si="376"/>
        <v>2387.3338207277088</v>
      </c>
      <c r="CL181" s="239">
        <f t="shared" si="376"/>
        <v>2473.5167373943755</v>
      </c>
      <c r="CM181" s="239">
        <f t="shared" si="376"/>
        <v>2564.0087998943754</v>
      </c>
      <c r="CN181" s="239">
        <f t="shared" si="376"/>
        <v>2659.2636025259544</v>
      </c>
      <c r="CO181" s="239">
        <f t="shared" si="376"/>
        <v>2759.8103386370653</v>
      </c>
      <c r="CP181" s="239">
        <f t="shared" si="376"/>
        <v>2866.2715886370652</v>
      </c>
      <c r="CQ181" s="239">
        <f t="shared" si="376"/>
        <v>2979.386666762065</v>
      </c>
      <c r="CR181" s="239">
        <f t="shared" si="376"/>
        <v>3100.0427500953983</v>
      </c>
      <c r="CS181" s="239">
        <f t="shared" si="376"/>
        <v>3229.3171250953983</v>
      </c>
      <c r="CT181" s="239">
        <f t="shared" si="376"/>
        <v>3368.5356827877058</v>
      </c>
      <c r="CU181" s="239">
        <f t="shared" si="376"/>
        <v>3519.3557869543724</v>
      </c>
      <c r="CV181" s="239">
        <f t="shared" si="376"/>
        <v>3683.886809681645</v>
      </c>
      <c r="CW181" s="239">
        <f t="shared" si="376"/>
        <v>3864.8709346816449</v>
      </c>
      <c r="CX181" s="239">
        <f t="shared" si="376"/>
        <v>4065.9644069038673</v>
      </c>
      <c r="CY181" s="239">
        <f t="shared" si="376"/>
        <v>4292.1945631538674</v>
      </c>
      <c r="CZ181" s="239">
        <f t="shared" si="376"/>
        <v>4550.7433131538673</v>
      </c>
      <c r="DA181" s="239">
        <f t="shared" ref="DA181:EF181" si="377">SUM(DA177:DA180)</f>
        <v>4852.3835214872006</v>
      </c>
      <c r="DB181" s="239">
        <f t="shared" si="377"/>
        <v>5214.3517714872005</v>
      </c>
      <c r="DC181" s="239">
        <f t="shared" si="377"/>
        <v>5666.8120839872008</v>
      </c>
      <c r="DD181" s="239">
        <f t="shared" si="377"/>
        <v>6270.0925006538673</v>
      </c>
      <c r="DE181" s="239">
        <f t="shared" si="377"/>
        <v>7175.0131256538671</v>
      </c>
      <c r="DF181" s="239">
        <f t="shared" si="377"/>
        <v>8984.8543756538675</v>
      </c>
      <c r="DG181" s="239">
        <f t="shared" si="377"/>
        <v>32577.142499999973</v>
      </c>
      <c r="DH181" s="239">
        <f t="shared" si="377"/>
        <v>1508.2010416666665</v>
      </c>
      <c r="DI181" s="239">
        <f t="shared" si="377"/>
        <v>1508.2010416666665</v>
      </c>
      <c r="DJ181" s="239">
        <f t="shared" si="377"/>
        <v>1508.2010416666665</v>
      </c>
      <c r="DK181" s="239">
        <f t="shared" si="377"/>
        <v>1508.2010416666665</v>
      </c>
      <c r="DL181" s="239">
        <f t="shared" si="377"/>
        <v>1508.2010416666665</v>
      </c>
      <c r="DM181" s="239">
        <f t="shared" si="377"/>
        <v>1508.2010416666665</v>
      </c>
      <c r="DN181" s="239">
        <f t="shared" si="377"/>
        <v>1508.2010416666665</v>
      </c>
      <c r="DO181" s="239">
        <f t="shared" si="377"/>
        <v>1508.2010416666665</v>
      </c>
      <c r="DP181" s="239">
        <f t="shared" si="377"/>
        <v>1508.2010416666665</v>
      </c>
      <c r="DQ181" s="239">
        <f t="shared" si="377"/>
        <v>1508.2010416666665</v>
      </c>
      <c r="DR181" s="239">
        <f t="shared" si="377"/>
        <v>1508.2010416666665</v>
      </c>
      <c r="DS181" s="239">
        <f t="shared" si="377"/>
        <v>1508.2010416666665</v>
      </c>
      <c r="DT181" s="239">
        <f t="shared" si="377"/>
        <v>180984.12499999994</v>
      </c>
      <c r="DU181" s="239">
        <f t="shared" si="377"/>
        <v>0</v>
      </c>
      <c r="DV181" s="239">
        <f t="shared" si="377"/>
        <v>0</v>
      </c>
      <c r="DW181" s="239">
        <f t="shared" si="377"/>
        <v>0</v>
      </c>
      <c r="DX181" s="239">
        <f t="shared" si="377"/>
        <v>0</v>
      </c>
      <c r="DY181" s="239">
        <f t="shared" si="377"/>
        <v>0</v>
      </c>
      <c r="DZ181" s="239">
        <f t="shared" si="377"/>
        <v>0</v>
      </c>
      <c r="EA181" s="239">
        <f t="shared" si="377"/>
        <v>0</v>
      </c>
      <c r="EB181" s="239">
        <f t="shared" si="377"/>
        <v>0</v>
      </c>
      <c r="EC181" s="239">
        <f t="shared" si="377"/>
        <v>0</v>
      </c>
      <c r="ED181" s="239">
        <f t="shared" si="377"/>
        <v>0</v>
      </c>
      <c r="EE181" s="239">
        <f t="shared" si="377"/>
        <v>0</v>
      </c>
      <c r="EF181" s="239">
        <f t="shared" si="377"/>
        <v>0</v>
      </c>
      <c r="EG181" s="239">
        <f t="shared" ref="EG181:FH181" si="378">SUM(EG177:EG180)</f>
        <v>0</v>
      </c>
      <c r="EH181" s="239">
        <f t="shared" si="378"/>
        <v>0</v>
      </c>
      <c r="EI181" s="239">
        <f t="shared" si="378"/>
        <v>0</v>
      </c>
      <c r="EJ181" s="239">
        <f t="shared" si="378"/>
        <v>0</v>
      </c>
      <c r="EK181" s="239">
        <f t="shared" si="378"/>
        <v>0</v>
      </c>
      <c r="EL181" s="239">
        <f t="shared" si="378"/>
        <v>0</v>
      </c>
      <c r="EM181" s="239">
        <f t="shared" si="378"/>
        <v>0</v>
      </c>
      <c r="EN181" s="239">
        <f t="shared" si="378"/>
        <v>0</v>
      </c>
      <c r="EO181" s="239">
        <f t="shared" si="378"/>
        <v>0</v>
      </c>
      <c r="EP181" s="239">
        <f t="shared" si="378"/>
        <v>0</v>
      </c>
      <c r="EQ181" s="239">
        <f t="shared" si="378"/>
        <v>0</v>
      </c>
      <c r="ER181" s="239">
        <f t="shared" si="378"/>
        <v>0</v>
      </c>
      <c r="ES181" s="239">
        <f t="shared" si="378"/>
        <v>0</v>
      </c>
      <c r="ET181" s="239">
        <f t="shared" si="378"/>
        <v>0</v>
      </c>
      <c r="EU181" s="239">
        <f t="shared" si="378"/>
        <v>0</v>
      </c>
      <c r="EV181" s="239">
        <f t="shared" si="378"/>
        <v>0</v>
      </c>
      <c r="EW181" s="239">
        <f t="shared" si="378"/>
        <v>0</v>
      </c>
      <c r="EX181" s="239">
        <f t="shared" si="378"/>
        <v>0</v>
      </c>
      <c r="EY181" s="239">
        <f t="shared" si="378"/>
        <v>0</v>
      </c>
      <c r="EZ181" s="239">
        <f t="shared" si="378"/>
        <v>0</v>
      </c>
      <c r="FA181" s="239">
        <f t="shared" si="378"/>
        <v>0</v>
      </c>
      <c r="FB181" s="239">
        <f t="shared" si="378"/>
        <v>0</v>
      </c>
      <c r="FC181" s="239">
        <f t="shared" si="378"/>
        <v>0</v>
      </c>
      <c r="FD181" s="239">
        <f t="shared" si="378"/>
        <v>0</v>
      </c>
      <c r="FE181" s="239">
        <f t="shared" si="378"/>
        <v>0</v>
      </c>
      <c r="FF181" s="239">
        <f t="shared" si="378"/>
        <v>0</v>
      </c>
      <c r="FG181" s="239">
        <f t="shared" si="378"/>
        <v>0</v>
      </c>
      <c r="FH181" s="239">
        <f t="shared" si="378"/>
        <v>0</v>
      </c>
    </row>
    <row r="182" spans="1:164" x14ac:dyDescent="0.2">
      <c r="A182" s="10"/>
      <c r="B182" s="10"/>
      <c r="C182" s="10" t="s">
        <v>753</v>
      </c>
      <c r="D182" s="10"/>
      <c r="E182" s="10"/>
      <c r="F182" s="10"/>
      <c r="G182" s="10"/>
      <c r="H182" s="12">
        <f t="shared" si="358"/>
        <v>-18098.412500000002</v>
      </c>
      <c r="I182" s="12">
        <f t="shared" ref="I182:AN182" si="379">-I175*$F$61</f>
        <v>0</v>
      </c>
      <c r="J182" s="12">
        <f t="shared" si="379"/>
        <v>0</v>
      </c>
      <c r="K182" s="12">
        <f t="shared" si="379"/>
        <v>0</v>
      </c>
      <c r="L182" s="12">
        <f t="shared" si="379"/>
        <v>0</v>
      </c>
      <c r="M182" s="12">
        <f t="shared" si="379"/>
        <v>0</v>
      </c>
      <c r="N182" s="12">
        <f t="shared" si="379"/>
        <v>0</v>
      </c>
      <c r="O182" s="12">
        <f t="shared" si="379"/>
        <v>0</v>
      </c>
      <c r="P182" s="12">
        <f t="shared" si="379"/>
        <v>0</v>
      </c>
      <c r="Q182" s="12">
        <f t="shared" si="379"/>
        <v>0</v>
      </c>
      <c r="R182" s="12">
        <f t="shared" si="379"/>
        <v>0</v>
      </c>
      <c r="S182" s="12">
        <f t="shared" si="379"/>
        <v>0</v>
      </c>
      <c r="T182" s="12">
        <f t="shared" si="379"/>
        <v>0</v>
      </c>
      <c r="U182" s="12">
        <f t="shared" si="379"/>
        <v>0</v>
      </c>
      <c r="V182" s="12">
        <f t="shared" si="379"/>
        <v>0</v>
      </c>
      <c r="W182" s="12">
        <f t="shared" si="379"/>
        <v>0</v>
      </c>
      <c r="X182" s="12">
        <f t="shared" si="379"/>
        <v>0</v>
      </c>
      <c r="Y182" s="12">
        <f t="shared" si="379"/>
        <v>0</v>
      </c>
      <c r="Z182" s="12">
        <f t="shared" si="379"/>
        <v>0</v>
      </c>
      <c r="AA182" s="12">
        <f t="shared" si="379"/>
        <v>0</v>
      </c>
      <c r="AB182" s="12">
        <f t="shared" si="379"/>
        <v>0</v>
      </c>
      <c r="AC182" s="12">
        <f t="shared" si="379"/>
        <v>0</v>
      </c>
      <c r="AD182" s="12">
        <f t="shared" si="379"/>
        <v>0</v>
      </c>
      <c r="AE182" s="12">
        <f t="shared" si="379"/>
        <v>0</v>
      </c>
      <c r="AF182" s="12">
        <f t="shared" si="379"/>
        <v>0</v>
      </c>
      <c r="AG182" s="12">
        <f t="shared" si="379"/>
        <v>0</v>
      </c>
      <c r="AH182" s="12">
        <f t="shared" si="379"/>
        <v>0</v>
      </c>
      <c r="AI182" s="12">
        <f t="shared" si="379"/>
        <v>0</v>
      </c>
      <c r="AJ182" s="12">
        <f t="shared" si="379"/>
        <v>0</v>
      </c>
      <c r="AK182" s="12">
        <f t="shared" si="379"/>
        <v>0</v>
      </c>
      <c r="AL182" s="12">
        <f t="shared" si="379"/>
        <v>0</v>
      </c>
      <c r="AM182" s="12">
        <f t="shared" si="379"/>
        <v>0</v>
      </c>
      <c r="AN182" s="12">
        <f t="shared" si="379"/>
        <v>0</v>
      </c>
      <c r="AO182" s="12">
        <f t="shared" ref="AO182:BT182" si="380">-AO175*$F$61</f>
        <v>0</v>
      </c>
      <c r="AP182" s="12">
        <f t="shared" si="380"/>
        <v>0</v>
      </c>
      <c r="AQ182" s="12">
        <f t="shared" si="380"/>
        <v>0</v>
      </c>
      <c r="AR182" s="12">
        <f t="shared" si="380"/>
        <v>0</v>
      </c>
      <c r="AS182" s="12">
        <f t="shared" si="380"/>
        <v>0</v>
      </c>
      <c r="AT182" s="12">
        <f t="shared" si="380"/>
        <v>0</v>
      </c>
      <c r="AU182" s="12">
        <f t="shared" si="380"/>
        <v>0</v>
      </c>
      <c r="AV182" s="12">
        <f t="shared" si="380"/>
        <v>0</v>
      </c>
      <c r="AW182" s="12">
        <f t="shared" si="380"/>
        <v>0</v>
      </c>
      <c r="AX182" s="12">
        <f t="shared" si="380"/>
        <v>0</v>
      </c>
      <c r="AY182" s="12">
        <f t="shared" si="380"/>
        <v>0</v>
      </c>
      <c r="AZ182" s="12">
        <f t="shared" si="380"/>
        <v>0</v>
      </c>
      <c r="BA182" s="12">
        <f t="shared" si="380"/>
        <v>0</v>
      </c>
      <c r="BB182" s="12">
        <f t="shared" si="380"/>
        <v>0</v>
      </c>
      <c r="BC182" s="12">
        <f t="shared" si="380"/>
        <v>0</v>
      </c>
      <c r="BD182" s="12">
        <f t="shared" si="380"/>
        <v>0</v>
      </c>
      <c r="BE182" s="12">
        <f t="shared" si="380"/>
        <v>0</v>
      </c>
      <c r="BF182" s="12">
        <f t="shared" si="380"/>
        <v>0</v>
      </c>
      <c r="BG182" s="12">
        <f t="shared" si="380"/>
        <v>0</v>
      </c>
      <c r="BH182" s="12">
        <f t="shared" si="380"/>
        <v>0</v>
      </c>
      <c r="BI182" s="12">
        <f t="shared" si="380"/>
        <v>0</v>
      </c>
      <c r="BJ182" s="12">
        <f t="shared" si="380"/>
        <v>0</v>
      </c>
      <c r="BK182" s="12">
        <f t="shared" si="380"/>
        <v>0</v>
      </c>
      <c r="BL182" s="12">
        <f t="shared" si="380"/>
        <v>0</v>
      </c>
      <c r="BM182" s="12">
        <f t="shared" si="380"/>
        <v>0</v>
      </c>
      <c r="BN182" s="12">
        <f t="shared" si="380"/>
        <v>0</v>
      </c>
      <c r="BO182" s="12">
        <f t="shared" si="380"/>
        <v>0</v>
      </c>
      <c r="BP182" s="12">
        <f t="shared" si="380"/>
        <v>0</v>
      </c>
      <c r="BQ182" s="12">
        <f t="shared" si="380"/>
        <v>-904.92062499999975</v>
      </c>
      <c r="BR182" s="12">
        <f t="shared" si="380"/>
        <v>-904.92062499999975</v>
      </c>
      <c r="BS182" s="12">
        <f t="shared" si="380"/>
        <v>-904.92062499999975</v>
      </c>
      <c r="BT182" s="12">
        <f t="shared" si="380"/>
        <v>-904.92062499999975</v>
      </c>
      <c r="BU182" s="12">
        <f t="shared" ref="BU182:CZ182" si="381">-BU175*$F$61</f>
        <v>-904.92062499999975</v>
      </c>
      <c r="BV182" s="12">
        <f t="shared" si="381"/>
        <v>-904.92062499999975</v>
      </c>
      <c r="BW182" s="12">
        <f t="shared" si="381"/>
        <v>-301.64020833333331</v>
      </c>
      <c r="BX182" s="12">
        <f t="shared" si="381"/>
        <v>-301.64020833333331</v>
      </c>
      <c r="BY182" s="12">
        <f t="shared" si="381"/>
        <v>-301.64020833333331</v>
      </c>
      <c r="BZ182" s="12">
        <f t="shared" si="381"/>
        <v>-301.64020833333331</v>
      </c>
      <c r="CA182" s="12">
        <f t="shared" si="381"/>
        <v>-301.64020833333331</v>
      </c>
      <c r="CB182" s="12">
        <f t="shared" si="381"/>
        <v>-301.64020833333331</v>
      </c>
      <c r="CC182" s="12">
        <f t="shared" si="381"/>
        <v>-301.64020833333331</v>
      </c>
      <c r="CD182" s="12">
        <f t="shared" si="381"/>
        <v>-301.64020833333331</v>
      </c>
      <c r="CE182" s="12">
        <f t="shared" si="381"/>
        <v>-301.64020833333331</v>
      </c>
      <c r="CF182" s="12">
        <f t="shared" si="381"/>
        <v>-301.64020833333331</v>
      </c>
      <c r="CG182" s="12">
        <f t="shared" si="381"/>
        <v>-301.64020833333331</v>
      </c>
      <c r="CH182" s="12">
        <f t="shared" si="381"/>
        <v>-301.64020833333331</v>
      </c>
      <c r="CI182" s="12">
        <f t="shared" si="381"/>
        <v>-301.64020833333331</v>
      </c>
      <c r="CJ182" s="12">
        <f t="shared" si="381"/>
        <v>-301.64020833333331</v>
      </c>
      <c r="CK182" s="12">
        <f t="shared" si="381"/>
        <v>-301.64020833333331</v>
      </c>
      <c r="CL182" s="12">
        <f t="shared" si="381"/>
        <v>-301.64020833333331</v>
      </c>
      <c r="CM182" s="12">
        <f t="shared" si="381"/>
        <v>-301.64020833333331</v>
      </c>
      <c r="CN182" s="12">
        <f t="shared" si="381"/>
        <v>-301.64020833333331</v>
      </c>
      <c r="CO182" s="12">
        <f t="shared" si="381"/>
        <v>-301.64020833333331</v>
      </c>
      <c r="CP182" s="12">
        <f t="shared" si="381"/>
        <v>-301.64020833333331</v>
      </c>
      <c r="CQ182" s="12">
        <f t="shared" si="381"/>
        <v>-301.64020833333331</v>
      </c>
      <c r="CR182" s="12">
        <f t="shared" si="381"/>
        <v>-301.64020833333331</v>
      </c>
      <c r="CS182" s="12">
        <f t="shared" si="381"/>
        <v>-301.64020833333331</v>
      </c>
      <c r="CT182" s="12">
        <f t="shared" si="381"/>
        <v>-301.64020833333331</v>
      </c>
      <c r="CU182" s="12">
        <f t="shared" si="381"/>
        <v>-301.64020833333331</v>
      </c>
      <c r="CV182" s="12">
        <f t="shared" si="381"/>
        <v>-301.64020833333331</v>
      </c>
      <c r="CW182" s="12">
        <f t="shared" si="381"/>
        <v>-301.64020833333331</v>
      </c>
      <c r="CX182" s="12">
        <f t="shared" si="381"/>
        <v>-301.64020833333331</v>
      </c>
      <c r="CY182" s="12">
        <f t="shared" si="381"/>
        <v>-301.64020833333331</v>
      </c>
      <c r="CZ182" s="12">
        <f t="shared" si="381"/>
        <v>-301.64020833333331</v>
      </c>
      <c r="DA182" s="12">
        <f t="shared" ref="DA182:EF182" si="382">-DA175*$F$61</f>
        <v>-301.64020833333331</v>
      </c>
      <c r="DB182" s="12">
        <f t="shared" si="382"/>
        <v>-301.64020833333331</v>
      </c>
      <c r="DC182" s="12">
        <f t="shared" si="382"/>
        <v>-301.64020833333331</v>
      </c>
      <c r="DD182" s="12">
        <f t="shared" si="382"/>
        <v>-301.64020833333331</v>
      </c>
      <c r="DE182" s="12">
        <f t="shared" si="382"/>
        <v>-301.64020833333331</v>
      </c>
      <c r="DF182" s="12">
        <f t="shared" si="382"/>
        <v>-301.64020833333331</v>
      </c>
      <c r="DG182" s="12">
        <f t="shared" si="382"/>
        <v>0</v>
      </c>
      <c r="DH182" s="12">
        <f t="shared" si="382"/>
        <v>-150.82010416666665</v>
      </c>
      <c r="DI182" s="12">
        <f t="shared" si="382"/>
        <v>-150.82010416666665</v>
      </c>
      <c r="DJ182" s="12">
        <f t="shared" si="382"/>
        <v>-150.82010416666665</v>
      </c>
      <c r="DK182" s="12">
        <f t="shared" si="382"/>
        <v>-150.82010416666665</v>
      </c>
      <c r="DL182" s="12">
        <f t="shared" si="382"/>
        <v>-150.82010416666665</v>
      </c>
      <c r="DM182" s="12">
        <f t="shared" si="382"/>
        <v>-150.82010416666665</v>
      </c>
      <c r="DN182" s="12">
        <f t="shared" si="382"/>
        <v>-150.82010416666665</v>
      </c>
      <c r="DO182" s="12">
        <f t="shared" si="382"/>
        <v>-150.82010416666665</v>
      </c>
      <c r="DP182" s="12">
        <f t="shared" si="382"/>
        <v>-150.82010416666665</v>
      </c>
      <c r="DQ182" s="12">
        <f t="shared" si="382"/>
        <v>-150.82010416666665</v>
      </c>
      <c r="DR182" s="12">
        <f t="shared" si="382"/>
        <v>-150.82010416666665</v>
      </c>
      <c r="DS182" s="12">
        <f t="shared" si="382"/>
        <v>-150.82010416666665</v>
      </c>
      <c r="DT182" s="12">
        <f t="shared" si="382"/>
        <v>0</v>
      </c>
      <c r="DU182" s="12">
        <f t="shared" si="382"/>
        <v>0</v>
      </c>
      <c r="DV182" s="12">
        <f t="shared" si="382"/>
        <v>0</v>
      </c>
      <c r="DW182" s="12">
        <f t="shared" si="382"/>
        <v>0</v>
      </c>
      <c r="DX182" s="12">
        <f t="shared" si="382"/>
        <v>0</v>
      </c>
      <c r="DY182" s="12">
        <f t="shared" si="382"/>
        <v>0</v>
      </c>
      <c r="DZ182" s="12">
        <f t="shared" si="382"/>
        <v>0</v>
      </c>
      <c r="EA182" s="12">
        <f t="shared" si="382"/>
        <v>0</v>
      </c>
      <c r="EB182" s="12">
        <f t="shared" si="382"/>
        <v>0</v>
      </c>
      <c r="EC182" s="12">
        <f t="shared" si="382"/>
        <v>0</v>
      </c>
      <c r="ED182" s="12">
        <f t="shared" si="382"/>
        <v>0</v>
      </c>
      <c r="EE182" s="12">
        <f t="shared" si="382"/>
        <v>0</v>
      </c>
      <c r="EF182" s="12">
        <f t="shared" si="382"/>
        <v>0</v>
      </c>
      <c r="EG182" s="12">
        <f t="shared" ref="EG182:FH182" si="383">-EG175*$F$61</f>
        <v>0</v>
      </c>
      <c r="EH182" s="12">
        <f t="shared" si="383"/>
        <v>0</v>
      </c>
      <c r="EI182" s="12">
        <f t="shared" si="383"/>
        <v>0</v>
      </c>
      <c r="EJ182" s="12">
        <f t="shared" si="383"/>
        <v>0</v>
      </c>
      <c r="EK182" s="12">
        <f t="shared" si="383"/>
        <v>0</v>
      </c>
      <c r="EL182" s="12">
        <f t="shared" si="383"/>
        <v>0</v>
      </c>
      <c r="EM182" s="12">
        <f t="shared" si="383"/>
        <v>0</v>
      </c>
      <c r="EN182" s="12">
        <f t="shared" si="383"/>
        <v>0</v>
      </c>
      <c r="EO182" s="12">
        <f t="shared" si="383"/>
        <v>0</v>
      </c>
      <c r="EP182" s="12">
        <f t="shared" si="383"/>
        <v>0</v>
      </c>
      <c r="EQ182" s="12">
        <f t="shared" si="383"/>
        <v>0</v>
      </c>
      <c r="ER182" s="12">
        <f t="shared" si="383"/>
        <v>0</v>
      </c>
      <c r="ES182" s="12">
        <f t="shared" si="383"/>
        <v>0</v>
      </c>
      <c r="ET182" s="12">
        <f t="shared" si="383"/>
        <v>0</v>
      </c>
      <c r="EU182" s="12">
        <f t="shared" si="383"/>
        <v>0</v>
      </c>
      <c r="EV182" s="12">
        <f t="shared" si="383"/>
        <v>0</v>
      </c>
      <c r="EW182" s="12">
        <f t="shared" si="383"/>
        <v>0</v>
      </c>
      <c r="EX182" s="12">
        <f t="shared" si="383"/>
        <v>0</v>
      </c>
      <c r="EY182" s="12">
        <f t="shared" si="383"/>
        <v>0</v>
      </c>
      <c r="EZ182" s="12">
        <f t="shared" si="383"/>
        <v>0</v>
      </c>
      <c r="FA182" s="12">
        <f t="shared" si="383"/>
        <v>0</v>
      </c>
      <c r="FB182" s="12">
        <f t="shared" si="383"/>
        <v>0</v>
      </c>
      <c r="FC182" s="12">
        <f t="shared" si="383"/>
        <v>0</v>
      </c>
      <c r="FD182" s="12">
        <f t="shared" si="383"/>
        <v>0</v>
      </c>
      <c r="FE182" s="12">
        <f t="shared" si="383"/>
        <v>0</v>
      </c>
      <c r="FF182" s="12">
        <f t="shared" si="383"/>
        <v>0</v>
      </c>
      <c r="FG182" s="12">
        <f t="shared" si="383"/>
        <v>0</v>
      </c>
      <c r="FH182" s="12">
        <f t="shared" si="383"/>
        <v>0</v>
      </c>
    </row>
    <row r="183" spans="1:164" x14ac:dyDescent="0.2">
      <c r="A183" s="10"/>
      <c r="B183" s="10"/>
      <c r="C183" s="10" t="s">
        <v>492</v>
      </c>
      <c r="D183" s="10"/>
      <c r="E183" s="10"/>
      <c r="F183" s="10"/>
      <c r="G183" s="10"/>
      <c r="H183" s="12">
        <f t="shared" si="358"/>
        <v>-13754.7935</v>
      </c>
      <c r="I183" s="12">
        <f t="shared" ref="I183:AN183" si="384">-(I181+I182)*$F$62</f>
        <v>0</v>
      </c>
      <c r="J183" s="12">
        <f t="shared" si="384"/>
        <v>0</v>
      </c>
      <c r="K183" s="12">
        <f t="shared" si="384"/>
        <v>0</v>
      </c>
      <c r="L183" s="12">
        <f t="shared" si="384"/>
        <v>0</v>
      </c>
      <c r="M183" s="12">
        <f t="shared" si="384"/>
        <v>0</v>
      </c>
      <c r="N183" s="12">
        <f t="shared" si="384"/>
        <v>0</v>
      </c>
      <c r="O183" s="12">
        <f t="shared" si="384"/>
        <v>0</v>
      </c>
      <c r="P183" s="12">
        <f t="shared" si="384"/>
        <v>0</v>
      </c>
      <c r="Q183" s="12">
        <f t="shared" si="384"/>
        <v>0</v>
      </c>
      <c r="R183" s="12">
        <f t="shared" si="384"/>
        <v>0</v>
      </c>
      <c r="S183" s="12">
        <f t="shared" si="384"/>
        <v>0</v>
      </c>
      <c r="T183" s="12">
        <f t="shared" si="384"/>
        <v>0</v>
      </c>
      <c r="U183" s="12">
        <f t="shared" si="384"/>
        <v>0</v>
      </c>
      <c r="V183" s="12">
        <f t="shared" si="384"/>
        <v>0</v>
      </c>
      <c r="W183" s="12">
        <f t="shared" si="384"/>
        <v>0</v>
      </c>
      <c r="X183" s="12">
        <f t="shared" si="384"/>
        <v>0</v>
      </c>
      <c r="Y183" s="12">
        <f t="shared" si="384"/>
        <v>0</v>
      </c>
      <c r="Z183" s="12">
        <f t="shared" si="384"/>
        <v>0</v>
      </c>
      <c r="AA183" s="12">
        <f t="shared" si="384"/>
        <v>0</v>
      </c>
      <c r="AB183" s="12">
        <f t="shared" si="384"/>
        <v>0</v>
      </c>
      <c r="AC183" s="12">
        <f t="shared" si="384"/>
        <v>0</v>
      </c>
      <c r="AD183" s="12">
        <f t="shared" si="384"/>
        <v>0</v>
      </c>
      <c r="AE183" s="12">
        <f t="shared" si="384"/>
        <v>0</v>
      </c>
      <c r="AF183" s="12">
        <f t="shared" si="384"/>
        <v>0</v>
      </c>
      <c r="AG183" s="12">
        <f t="shared" si="384"/>
        <v>0</v>
      </c>
      <c r="AH183" s="12">
        <f t="shared" si="384"/>
        <v>0</v>
      </c>
      <c r="AI183" s="12">
        <f t="shared" si="384"/>
        <v>0</v>
      </c>
      <c r="AJ183" s="12">
        <f t="shared" si="384"/>
        <v>0</v>
      </c>
      <c r="AK183" s="12">
        <f t="shared" si="384"/>
        <v>0</v>
      </c>
      <c r="AL183" s="12">
        <f t="shared" si="384"/>
        <v>0</v>
      </c>
      <c r="AM183" s="12">
        <f t="shared" si="384"/>
        <v>0</v>
      </c>
      <c r="AN183" s="12">
        <f t="shared" si="384"/>
        <v>0</v>
      </c>
      <c r="AO183" s="12">
        <f t="shared" ref="AO183:BT183" si="385">-(AO181+AO182)*$F$62</f>
        <v>0</v>
      </c>
      <c r="AP183" s="12">
        <f t="shared" si="385"/>
        <v>0</v>
      </c>
      <c r="AQ183" s="12">
        <f t="shared" si="385"/>
        <v>0</v>
      </c>
      <c r="AR183" s="12">
        <f t="shared" si="385"/>
        <v>0</v>
      </c>
      <c r="AS183" s="12">
        <f t="shared" si="385"/>
        <v>0</v>
      </c>
      <c r="AT183" s="12">
        <f t="shared" si="385"/>
        <v>0</v>
      </c>
      <c r="AU183" s="12">
        <f t="shared" si="385"/>
        <v>0</v>
      </c>
      <c r="AV183" s="12">
        <f t="shared" si="385"/>
        <v>0</v>
      </c>
      <c r="AW183" s="12">
        <f t="shared" si="385"/>
        <v>0</v>
      </c>
      <c r="AX183" s="12">
        <f t="shared" si="385"/>
        <v>0</v>
      </c>
      <c r="AY183" s="12">
        <f t="shared" si="385"/>
        <v>0</v>
      </c>
      <c r="AZ183" s="12">
        <f t="shared" si="385"/>
        <v>0</v>
      </c>
      <c r="BA183" s="12">
        <f t="shared" si="385"/>
        <v>0</v>
      </c>
      <c r="BB183" s="12">
        <f t="shared" si="385"/>
        <v>0</v>
      </c>
      <c r="BC183" s="12">
        <f t="shared" si="385"/>
        <v>0</v>
      </c>
      <c r="BD183" s="12">
        <f t="shared" si="385"/>
        <v>0</v>
      </c>
      <c r="BE183" s="12">
        <f t="shared" si="385"/>
        <v>0</v>
      </c>
      <c r="BF183" s="12">
        <f t="shared" si="385"/>
        <v>0</v>
      </c>
      <c r="BG183" s="12">
        <f t="shared" si="385"/>
        <v>0</v>
      </c>
      <c r="BH183" s="12">
        <f t="shared" si="385"/>
        <v>0</v>
      </c>
      <c r="BI183" s="12">
        <f t="shared" si="385"/>
        <v>0</v>
      </c>
      <c r="BJ183" s="12">
        <f t="shared" si="385"/>
        <v>0</v>
      </c>
      <c r="BK183" s="12">
        <f t="shared" si="385"/>
        <v>0</v>
      </c>
      <c r="BL183" s="12">
        <f t="shared" si="385"/>
        <v>0</v>
      </c>
      <c r="BM183" s="12">
        <f t="shared" si="385"/>
        <v>0</v>
      </c>
      <c r="BN183" s="12">
        <f t="shared" si="385"/>
        <v>0</v>
      </c>
      <c r="BO183" s="12">
        <f t="shared" si="385"/>
        <v>0</v>
      </c>
      <c r="BP183" s="12">
        <f t="shared" si="385"/>
        <v>0</v>
      </c>
      <c r="BQ183" s="12">
        <f t="shared" si="385"/>
        <v>-41.367799999999988</v>
      </c>
      <c r="BR183" s="12">
        <f t="shared" si="385"/>
        <v>-46.66489634146339</v>
      </c>
      <c r="BS183" s="12">
        <f t="shared" si="385"/>
        <v>-52.094420091463398</v>
      </c>
      <c r="BT183" s="12">
        <f t="shared" si="385"/>
        <v>-57.663162399155702</v>
      </c>
      <c r="BU183" s="12">
        <f t="shared" ref="BU183:CZ183" si="386">-(BU181+BU182)*$F$62</f>
        <v>-63.378450557050435</v>
      </c>
      <c r="BV183" s="12">
        <f t="shared" si="386"/>
        <v>-69.248205962455827</v>
      </c>
      <c r="BW183" s="12">
        <f t="shared" si="386"/>
        <v>-47.127924018011406</v>
      </c>
      <c r="BX183" s="12">
        <f t="shared" si="386"/>
        <v>-49.196314018011407</v>
      </c>
      <c r="BY183" s="12">
        <f t="shared" si="386"/>
        <v>-51.325539018011405</v>
      </c>
      <c r="BZ183" s="12">
        <f t="shared" si="386"/>
        <v>-53.519285987708372</v>
      </c>
      <c r="CA183" s="12">
        <f t="shared" si="386"/>
        <v>-55.781587550208371</v>
      </c>
      <c r="CB183" s="12">
        <f t="shared" si="386"/>
        <v>-58.11686658246645</v>
      </c>
      <c r="CC183" s="12">
        <f t="shared" si="386"/>
        <v>-60.529988249133112</v>
      </c>
      <c r="CD183" s="12">
        <f t="shared" si="386"/>
        <v>-63.026321007753793</v>
      </c>
      <c r="CE183" s="12">
        <f t="shared" si="386"/>
        <v>-65.611808507753793</v>
      </c>
      <c r="CF183" s="12">
        <f t="shared" si="386"/>
        <v>-68.293054804050101</v>
      </c>
      <c r="CG183" s="12">
        <f t="shared" si="386"/>
        <v>-71.077425957896253</v>
      </c>
      <c r="CH183" s="12">
        <f t="shared" si="386"/>
        <v>-73.973171957896255</v>
      </c>
      <c r="CI183" s="12">
        <f t="shared" si="386"/>
        <v>-76.989574041229574</v>
      </c>
      <c r="CJ183" s="12">
        <f t="shared" si="386"/>
        <v>-80.137124041229583</v>
      </c>
      <c r="CK183" s="12">
        <f t="shared" si="386"/>
        <v>-83.42774449577503</v>
      </c>
      <c r="CL183" s="12">
        <f t="shared" si="386"/>
        <v>-86.875061162441696</v>
      </c>
      <c r="CM183" s="12">
        <f t="shared" si="386"/>
        <v>-90.494743662441692</v>
      </c>
      <c r="CN183" s="12">
        <f t="shared" si="386"/>
        <v>-94.304935767704848</v>
      </c>
      <c r="CO183" s="12">
        <f t="shared" si="386"/>
        <v>-98.326805212149281</v>
      </c>
      <c r="CP183" s="12">
        <f t="shared" si="386"/>
        <v>-102.58525521214928</v>
      </c>
      <c r="CQ183" s="12">
        <f t="shared" si="386"/>
        <v>-107.10985833714928</v>
      </c>
      <c r="CR183" s="12">
        <f t="shared" si="386"/>
        <v>-111.9361016704826</v>
      </c>
      <c r="CS183" s="12">
        <f t="shared" si="386"/>
        <v>-117.1070766704826</v>
      </c>
      <c r="CT183" s="12">
        <f t="shared" si="386"/>
        <v>-122.6758189781749</v>
      </c>
      <c r="CU183" s="12">
        <f t="shared" si="386"/>
        <v>-128.70862314484157</v>
      </c>
      <c r="CV183" s="12">
        <f t="shared" si="386"/>
        <v>-135.28986405393246</v>
      </c>
      <c r="CW183" s="12">
        <f t="shared" si="386"/>
        <v>-142.52922905393248</v>
      </c>
      <c r="CX183" s="12">
        <f t="shared" si="386"/>
        <v>-150.57296794282135</v>
      </c>
      <c r="CY183" s="12">
        <f t="shared" si="386"/>
        <v>-159.62217419282138</v>
      </c>
      <c r="CZ183" s="12">
        <f t="shared" si="386"/>
        <v>-169.96412419282137</v>
      </c>
      <c r="DA183" s="12">
        <f t="shared" ref="DA183:EF183" si="387">-(DA181+DA182)*$F$62</f>
        <v>-182.0297325261547</v>
      </c>
      <c r="DB183" s="12">
        <f t="shared" si="387"/>
        <v>-196.50846252615469</v>
      </c>
      <c r="DC183" s="12">
        <f t="shared" si="387"/>
        <v>-214.60687502615471</v>
      </c>
      <c r="DD183" s="12">
        <f t="shared" si="387"/>
        <v>-238.73809169282137</v>
      </c>
      <c r="DE183" s="12">
        <f t="shared" si="387"/>
        <v>-274.93491669282133</v>
      </c>
      <c r="DF183" s="12">
        <f t="shared" si="387"/>
        <v>-347.32856669282131</v>
      </c>
      <c r="DG183" s="12">
        <f t="shared" si="387"/>
        <v>-1303.085699999999</v>
      </c>
      <c r="DH183" s="12">
        <f t="shared" si="387"/>
        <v>-54.295237499999992</v>
      </c>
      <c r="DI183" s="12">
        <f t="shared" si="387"/>
        <v>-54.295237499999992</v>
      </c>
      <c r="DJ183" s="12">
        <f t="shared" si="387"/>
        <v>-54.295237499999992</v>
      </c>
      <c r="DK183" s="12">
        <f t="shared" si="387"/>
        <v>-54.295237499999992</v>
      </c>
      <c r="DL183" s="12">
        <f t="shared" si="387"/>
        <v>-54.295237499999992</v>
      </c>
      <c r="DM183" s="12">
        <f t="shared" si="387"/>
        <v>-54.295237499999992</v>
      </c>
      <c r="DN183" s="12">
        <f t="shared" si="387"/>
        <v>-54.295237499999992</v>
      </c>
      <c r="DO183" s="12">
        <f t="shared" si="387"/>
        <v>-54.295237499999992</v>
      </c>
      <c r="DP183" s="12">
        <f t="shared" si="387"/>
        <v>-54.295237499999992</v>
      </c>
      <c r="DQ183" s="12">
        <f t="shared" si="387"/>
        <v>-54.295237499999992</v>
      </c>
      <c r="DR183" s="12">
        <f t="shared" si="387"/>
        <v>-54.295237499999992</v>
      </c>
      <c r="DS183" s="12">
        <f t="shared" si="387"/>
        <v>-54.295237499999992</v>
      </c>
      <c r="DT183" s="12">
        <f t="shared" si="387"/>
        <v>-7239.364999999998</v>
      </c>
      <c r="DU183" s="12">
        <f t="shared" si="387"/>
        <v>0</v>
      </c>
      <c r="DV183" s="12">
        <f t="shared" si="387"/>
        <v>0</v>
      </c>
      <c r="DW183" s="12">
        <f t="shared" si="387"/>
        <v>0</v>
      </c>
      <c r="DX183" s="12">
        <f t="shared" si="387"/>
        <v>0</v>
      </c>
      <c r="DY183" s="12">
        <f t="shared" si="387"/>
        <v>0</v>
      </c>
      <c r="DZ183" s="12">
        <f t="shared" si="387"/>
        <v>0</v>
      </c>
      <c r="EA183" s="12">
        <f t="shared" si="387"/>
        <v>0</v>
      </c>
      <c r="EB183" s="12">
        <f t="shared" si="387"/>
        <v>0</v>
      </c>
      <c r="EC183" s="12">
        <f t="shared" si="387"/>
        <v>0</v>
      </c>
      <c r="ED183" s="12">
        <f t="shared" si="387"/>
        <v>0</v>
      </c>
      <c r="EE183" s="12">
        <f t="shared" si="387"/>
        <v>0</v>
      </c>
      <c r="EF183" s="12">
        <f t="shared" si="387"/>
        <v>0</v>
      </c>
      <c r="EG183" s="12">
        <f t="shared" ref="EG183:FH183" si="388">-(EG181+EG182)*$F$62</f>
        <v>0</v>
      </c>
      <c r="EH183" s="12">
        <f t="shared" si="388"/>
        <v>0</v>
      </c>
      <c r="EI183" s="12">
        <f t="shared" si="388"/>
        <v>0</v>
      </c>
      <c r="EJ183" s="12">
        <f t="shared" si="388"/>
        <v>0</v>
      </c>
      <c r="EK183" s="12">
        <f t="shared" si="388"/>
        <v>0</v>
      </c>
      <c r="EL183" s="12">
        <f t="shared" si="388"/>
        <v>0</v>
      </c>
      <c r="EM183" s="12">
        <f t="shared" si="388"/>
        <v>0</v>
      </c>
      <c r="EN183" s="12">
        <f t="shared" si="388"/>
        <v>0</v>
      </c>
      <c r="EO183" s="12">
        <f t="shared" si="388"/>
        <v>0</v>
      </c>
      <c r="EP183" s="12">
        <f t="shared" si="388"/>
        <v>0</v>
      </c>
      <c r="EQ183" s="12">
        <f t="shared" si="388"/>
        <v>0</v>
      </c>
      <c r="ER183" s="12">
        <f t="shared" si="388"/>
        <v>0</v>
      </c>
      <c r="ES183" s="12">
        <f t="shared" si="388"/>
        <v>0</v>
      </c>
      <c r="ET183" s="12">
        <f t="shared" si="388"/>
        <v>0</v>
      </c>
      <c r="EU183" s="12">
        <f t="shared" si="388"/>
        <v>0</v>
      </c>
      <c r="EV183" s="12">
        <f t="shared" si="388"/>
        <v>0</v>
      </c>
      <c r="EW183" s="12">
        <f t="shared" si="388"/>
        <v>0</v>
      </c>
      <c r="EX183" s="12">
        <f t="shared" si="388"/>
        <v>0</v>
      </c>
      <c r="EY183" s="12">
        <f t="shared" si="388"/>
        <v>0</v>
      </c>
      <c r="EZ183" s="12">
        <f t="shared" si="388"/>
        <v>0</v>
      </c>
      <c r="FA183" s="12">
        <f t="shared" si="388"/>
        <v>0</v>
      </c>
      <c r="FB183" s="12">
        <f t="shared" si="388"/>
        <v>0</v>
      </c>
      <c r="FC183" s="12">
        <f t="shared" si="388"/>
        <v>0</v>
      </c>
      <c r="FD183" s="12">
        <f t="shared" si="388"/>
        <v>0</v>
      </c>
      <c r="FE183" s="12">
        <f t="shared" si="388"/>
        <v>0</v>
      </c>
      <c r="FF183" s="12">
        <f t="shared" si="388"/>
        <v>0</v>
      </c>
      <c r="FG183" s="12">
        <f t="shared" si="388"/>
        <v>0</v>
      </c>
      <c r="FH183" s="12">
        <f t="shared" si="388"/>
        <v>0</v>
      </c>
    </row>
    <row r="184" spans="1:164" x14ac:dyDescent="0.2">
      <c r="A184" s="10"/>
      <c r="B184" s="10"/>
      <c r="C184" s="10" t="s">
        <v>754</v>
      </c>
      <c r="D184" s="10"/>
      <c r="E184" s="10"/>
      <c r="F184" s="10"/>
      <c r="G184" s="10"/>
      <c r="H184" s="12">
        <f t="shared" si="358"/>
        <v>-14478.729999999992</v>
      </c>
      <c r="I184" s="12">
        <f t="shared" ref="I184:AN184" si="389">-I181*$F$63</f>
        <v>0</v>
      </c>
      <c r="J184" s="12">
        <f t="shared" si="389"/>
        <v>0</v>
      </c>
      <c r="K184" s="12">
        <f t="shared" si="389"/>
        <v>0</v>
      </c>
      <c r="L184" s="12">
        <f t="shared" si="389"/>
        <v>0</v>
      </c>
      <c r="M184" s="12">
        <f t="shared" si="389"/>
        <v>0</v>
      </c>
      <c r="N184" s="12">
        <f t="shared" si="389"/>
        <v>0</v>
      </c>
      <c r="O184" s="12">
        <f t="shared" si="389"/>
        <v>0</v>
      </c>
      <c r="P184" s="12">
        <f t="shared" si="389"/>
        <v>0</v>
      </c>
      <c r="Q184" s="12">
        <f t="shared" si="389"/>
        <v>0</v>
      </c>
      <c r="R184" s="12">
        <f t="shared" si="389"/>
        <v>0</v>
      </c>
      <c r="S184" s="12">
        <f t="shared" si="389"/>
        <v>0</v>
      </c>
      <c r="T184" s="12">
        <f t="shared" si="389"/>
        <v>0</v>
      </c>
      <c r="U184" s="12">
        <f t="shared" si="389"/>
        <v>0</v>
      </c>
      <c r="V184" s="12">
        <f t="shared" si="389"/>
        <v>0</v>
      </c>
      <c r="W184" s="12">
        <f t="shared" si="389"/>
        <v>0</v>
      </c>
      <c r="X184" s="12">
        <f t="shared" si="389"/>
        <v>0</v>
      </c>
      <c r="Y184" s="12">
        <f t="shared" si="389"/>
        <v>0</v>
      </c>
      <c r="Z184" s="12">
        <f t="shared" si="389"/>
        <v>0</v>
      </c>
      <c r="AA184" s="12">
        <f t="shared" si="389"/>
        <v>0</v>
      </c>
      <c r="AB184" s="12">
        <f t="shared" si="389"/>
        <v>0</v>
      </c>
      <c r="AC184" s="12">
        <f t="shared" si="389"/>
        <v>0</v>
      </c>
      <c r="AD184" s="12">
        <f t="shared" si="389"/>
        <v>0</v>
      </c>
      <c r="AE184" s="12">
        <f t="shared" si="389"/>
        <v>0</v>
      </c>
      <c r="AF184" s="12">
        <f t="shared" si="389"/>
        <v>0</v>
      </c>
      <c r="AG184" s="12">
        <f t="shared" si="389"/>
        <v>0</v>
      </c>
      <c r="AH184" s="12">
        <f t="shared" si="389"/>
        <v>0</v>
      </c>
      <c r="AI184" s="12">
        <f t="shared" si="389"/>
        <v>0</v>
      </c>
      <c r="AJ184" s="12">
        <f t="shared" si="389"/>
        <v>0</v>
      </c>
      <c r="AK184" s="12">
        <f t="shared" si="389"/>
        <v>0</v>
      </c>
      <c r="AL184" s="12">
        <f t="shared" si="389"/>
        <v>0</v>
      </c>
      <c r="AM184" s="12">
        <f t="shared" si="389"/>
        <v>0</v>
      </c>
      <c r="AN184" s="12">
        <f t="shared" si="389"/>
        <v>0</v>
      </c>
      <c r="AO184" s="12">
        <f t="shared" ref="AO184:BT184" si="390">-AO181*$F$63</f>
        <v>0</v>
      </c>
      <c r="AP184" s="12">
        <f t="shared" si="390"/>
        <v>0</v>
      </c>
      <c r="AQ184" s="12">
        <f t="shared" si="390"/>
        <v>0</v>
      </c>
      <c r="AR184" s="12">
        <f t="shared" si="390"/>
        <v>0</v>
      </c>
      <c r="AS184" s="12">
        <f t="shared" si="390"/>
        <v>0</v>
      </c>
      <c r="AT184" s="12">
        <f t="shared" si="390"/>
        <v>0</v>
      </c>
      <c r="AU184" s="12">
        <f t="shared" si="390"/>
        <v>0</v>
      </c>
      <c r="AV184" s="12">
        <f t="shared" si="390"/>
        <v>0</v>
      </c>
      <c r="AW184" s="12">
        <f t="shared" si="390"/>
        <v>0</v>
      </c>
      <c r="AX184" s="12">
        <f t="shared" si="390"/>
        <v>0</v>
      </c>
      <c r="AY184" s="12">
        <f t="shared" si="390"/>
        <v>0</v>
      </c>
      <c r="AZ184" s="12">
        <f t="shared" si="390"/>
        <v>0</v>
      </c>
      <c r="BA184" s="12">
        <f t="shared" si="390"/>
        <v>0</v>
      </c>
      <c r="BB184" s="12">
        <f t="shared" si="390"/>
        <v>0</v>
      </c>
      <c r="BC184" s="12">
        <f t="shared" si="390"/>
        <v>0</v>
      </c>
      <c r="BD184" s="12">
        <f t="shared" si="390"/>
        <v>0</v>
      </c>
      <c r="BE184" s="12">
        <f t="shared" si="390"/>
        <v>0</v>
      </c>
      <c r="BF184" s="12">
        <f t="shared" si="390"/>
        <v>0</v>
      </c>
      <c r="BG184" s="12">
        <f t="shared" si="390"/>
        <v>0</v>
      </c>
      <c r="BH184" s="12">
        <f t="shared" si="390"/>
        <v>0</v>
      </c>
      <c r="BI184" s="12">
        <f t="shared" si="390"/>
        <v>0</v>
      </c>
      <c r="BJ184" s="12">
        <f t="shared" si="390"/>
        <v>0</v>
      </c>
      <c r="BK184" s="12">
        <f t="shared" si="390"/>
        <v>0</v>
      </c>
      <c r="BL184" s="12">
        <f t="shared" si="390"/>
        <v>0</v>
      </c>
      <c r="BM184" s="12">
        <f t="shared" si="390"/>
        <v>0</v>
      </c>
      <c r="BN184" s="12">
        <f t="shared" si="390"/>
        <v>0</v>
      </c>
      <c r="BO184" s="12">
        <f t="shared" si="390"/>
        <v>0</v>
      </c>
      <c r="BP184" s="12">
        <f t="shared" si="390"/>
        <v>0</v>
      </c>
      <c r="BQ184" s="12">
        <f t="shared" si="390"/>
        <v>-77.564624999999978</v>
      </c>
      <c r="BR184" s="12">
        <f t="shared" si="390"/>
        <v>-82.86172134146338</v>
      </c>
      <c r="BS184" s="12">
        <f t="shared" si="390"/>
        <v>-88.291245091463395</v>
      </c>
      <c r="BT184" s="12">
        <f t="shared" si="390"/>
        <v>-93.859987399155685</v>
      </c>
      <c r="BU184" s="12">
        <f t="shared" ref="BU184:CZ184" si="391">-BU181*$F$63</f>
        <v>-99.575275557050432</v>
      </c>
      <c r="BV184" s="12">
        <f t="shared" si="391"/>
        <v>-105.44503096245582</v>
      </c>
      <c r="BW184" s="12">
        <f t="shared" si="391"/>
        <v>-59.193532351344743</v>
      </c>
      <c r="BX184" s="12">
        <f t="shared" si="391"/>
        <v>-61.261922351344737</v>
      </c>
      <c r="BY184" s="12">
        <f t="shared" si="391"/>
        <v>-63.391147351344735</v>
      </c>
      <c r="BZ184" s="12">
        <f t="shared" si="391"/>
        <v>-65.584894321041702</v>
      </c>
      <c r="CA184" s="12">
        <f t="shared" si="391"/>
        <v>-67.847195883541701</v>
      </c>
      <c r="CB184" s="12">
        <f t="shared" si="391"/>
        <v>-70.182474915799773</v>
      </c>
      <c r="CC184" s="12">
        <f t="shared" si="391"/>
        <v>-72.595596582466442</v>
      </c>
      <c r="CD184" s="12">
        <f t="shared" si="391"/>
        <v>-75.091929341087123</v>
      </c>
      <c r="CE184" s="12">
        <f t="shared" si="391"/>
        <v>-77.677416841087123</v>
      </c>
      <c r="CF184" s="12">
        <f t="shared" si="391"/>
        <v>-80.358663137383431</v>
      </c>
      <c r="CG184" s="12">
        <f t="shared" si="391"/>
        <v>-83.143034291229583</v>
      </c>
      <c r="CH184" s="12">
        <f t="shared" si="391"/>
        <v>-86.038780291229585</v>
      </c>
      <c r="CI184" s="12">
        <f t="shared" si="391"/>
        <v>-89.055182374562904</v>
      </c>
      <c r="CJ184" s="12">
        <f t="shared" si="391"/>
        <v>-92.202732374562913</v>
      </c>
      <c r="CK184" s="12">
        <f t="shared" si="391"/>
        <v>-95.49335282910836</v>
      </c>
      <c r="CL184" s="12">
        <f t="shared" si="391"/>
        <v>-98.940669495775026</v>
      </c>
      <c r="CM184" s="12">
        <f t="shared" si="391"/>
        <v>-102.56035199577502</v>
      </c>
      <c r="CN184" s="12">
        <f t="shared" si="391"/>
        <v>-106.37054410103818</v>
      </c>
      <c r="CO184" s="12">
        <f t="shared" si="391"/>
        <v>-110.39241354548261</v>
      </c>
      <c r="CP184" s="12">
        <f t="shared" si="391"/>
        <v>-114.65086354548261</v>
      </c>
      <c r="CQ184" s="12">
        <f t="shared" si="391"/>
        <v>-119.17546667048261</v>
      </c>
      <c r="CR184" s="12">
        <f t="shared" si="391"/>
        <v>-124.00171000381593</v>
      </c>
      <c r="CS184" s="12">
        <f t="shared" si="391"/>
        <v>-129.17268500381593</v>
      </c>
      <c r="CT184" s="12">
        <f t="shared" si="391"/>
        <v>-134.74142731150823</v>
      </c>
      <c r="CU184" s="12">
        <f t="shared" si="391"/>
        <v>-140.7742314781749</v>
      </c>
      <c r="CV184" s="12">
        <f t="shared" si="391"/>
        <v>-147.35547238726579</v>
      </c>
      <c r="CW184" s="12">
        <f t="shared" si="391"/>
        <v>-154.59483738726581</v>
      </c>
      <c r="CX184" s="12">
        <f t="shared" si="391"/>
        <v>-162.63857627615468</v>
      </c>
      <c r="CY184" s="12">
        <f t="shared" si="391"/>
        <v>-171.68778252615471</v>
      </c>
      <c r="CZ184" s="12">
        <f t="shared" si="391"/>
        <v>-182.0297325261547</v>
      </c>
      <c r="DA184" s="12">
        <f t="shared" ref="DA184:EF184" si="392">-DA181*$F$63</f>
        <v>-194.09534085948803</v>
      </c>
      <c r="DB184" s="12">
        <f t="shared" si="392"/>
        <v>-208.57407085948802</v>
      </c>
      <c r="DC184" s="12">
        <f t="shared" si="392"/>
        <v>-226.67248335948804</v>
      </c>
      <c r="DD184" s="12">
        <f t="shared" si="392"/>
        <v>-250.8037000261547</v>
      </c>
      <c r="DE184" s="12">
        <f t="shared" si="392"/>
        <v>-287.00052502615466</v>
      </c>
      <c r="DF184" s="12">
        <f t="shared" si="392"/>
        <v>-359.3941750261547</v>
      </c>
      <c r="DG184" s="12">
        <f t="shared" si="392"/>
        <v>-1303.085699999999</v>
      </c>
      <c r="DH184" s="12">
        <f t="shared" si="392"/>
        <v>-60.328041666666657</v>
      </c>
      <c r="DI184" s="12">
        <f t="shared" si="392"/>
        <v>-60.328041666666657</v>
      </c>
      <c r="DJ184" s="12">
        <f t="shared" si="392"/>
        <v>-60.328041666666657</v>
      </c>
      <c r="DK184" s="12">
        <f t="shared" si="392"/>
        <v>-60.328041666666657</v>
      </c>
      <c r="DL184" s="12">
        <f t="shared" si="392"/>
        <v>-60.328041666666657</v>
      </c>
      <c r="DM184" s="12">
        <f t="shared" si="392"/>
        <v>-60.328041666666657</v>
      </c>
      <c r="DN184" s="12">
        <f t="shared" si="392"/>
        <v>-60.328041666666657</v>
      </c>
      <c r="DO184" s="12">
        <f t="shared" si="392"/>
        <v>-60.328041666666657</v>
      </c>
      <c r="DP184" s="12">
        <f t="shared" si="392"/>
        <v>-60.328041666666657</v>
      </c>
      <c r="DQ184" s="12">
        <f t="shared" si="392"/>
        <v>-60.328041666666657</v>
      </c>
      <c r="DR184" s="12">
        <f t="shared" si="392"/>
        <v>-60.328041666666657</v>
      </c>
      <c r="DS184" s="12">
        <f t="shared" si="392"/>
        <v>-60.328041666666657</v>
      </c>
      <c r="DT184" s="12">
        <f t="shared" si="392"/>
        <v>-7239.364999999998</v>
      </c>
      <c r="DU184" s="12">
        <f t="shared" si="392"/>
        <v>0</v>
      </c>
      <c r="DV184" s="12">
        <f t="shared" si="392"/>
        <v>0</v>
      </c>
      <c r="DW184" s="12">
        <f t="shared" si="392"/>
        <v>0</v>
      </c>
      <c r="DX184" s="12">
        <f t="shared" si="392"/>
        <v>0</v>
      </c>
      <c r="DY184" s="12">
        <f t="shared" si="392"/>
        <v>0</v>
      </c>
      <c r="DZ184" s="12">
        <f t="shared" si="392"/>
        <v>0</v>
      </c>
      <c r="EA184" s="12">
        <f t="shared" si="392"/>
        <v>0</v>
      </c>
      <c r="EB184" s="12">
        <f t="shared" si="392"/>
        <v>0</v>
      </c>
      <c r="EC184" s="12">
        <f t="shared" si="392"/>
        <v>0</v>
      </c>
      <c r="ED184" s="12">
        <f t="shared" si="392"/>
        <v>0</v>
      </c>
      <c r="EE184" s="12">
        <f t="shared" si="392"/>
        <v>0</v>
      </c>
      <c r="EF184" s="12">
        <f t="shared" si="392"/>
        <v>0</v>
      </c>
      <c r="EG184" s="12">
        <f t="shared" ref="EG184:FH184" si="393">-EG181*$F$63</f>
        <v>0</v>
      </c>
      <c r="EH184" s="12">
        <f t="shared" si="393"/>
        <v>0</v>
      </c>
      <c r="EI184" s="12">
        <f t="shared" si="393"/>
        <v>0</v>
      </c>
      <c r="EJ184" s="12">
        <f t="shared" si="393"/>
        <v>0</v>
      </c>
      <c r="EK184" s="12">
        <f t="shared" si="393"/>
        <v>0</v>
      </c>
      <c r="EL184" s="12">
        <f t="shared" si="393"/>
        <v>0</v>
      </c>
      <c r="EM184" s="12">
        <f t="shared" si="393"/>
        <v>0</v>
      </c>
      <c r="EN184" s="12">
        <f t="shared" si="393"/>
        <v>0</v>
      </c>
      <c r="EO184" s="12">
        <f t="shared" si="393"/>
        <v>0</v>
      </c>
      <c r="EP184" s="12">
        <f t="shared" si="393"/>
        <v>0</v>
      </c>
      <c r="EQ184" s="12">
        <f t="shared" si="393"/>
        <v>0</v>
      </c>
      <c r="ER184" s="12">
        <f t="shared" si="393"/>
        <v>0</v>
      </c>
      <c r="ES184" s="12">
        <f t="shared" si="393"/>
        <v>0</v>
      </c>
      <c r="ET184" s="12">
        <f t="shared" si="393"/>
        <v>0</v>
      </c>
      <c r="EU184" s="12">
        <f t="shared" si="393"/>
        <v>0</v>
      </c>
      <c r="EV184" s="12">
        <f t="shared" si="393"/>
        <v>0</v>
      </c>
      <c r="EW184" s="12">
        <f t="shared" si="393"/>
        <v>0</v>
      </c>
      <c r="EX184" s="12">
        <f t="shared" si="393"/>
        <v>0</v>
      </c>
      <c r="EY184" s="12">
        <f t="shared" si="393"/>
        <v>0</v>
      </c>
      <c r="EZ184" s="12">
        <f t="shared" si="393"/>
        <v>0</v>
      </c>
      <c r="FA184" s="12">
        <f t="shared" si="393"/>
        <v>0</v>
      </c>
      <c r="FB184" s="12">
        <f t="shared" si="393"/>
        <v>0</v>
      </c>
      <c r="FC184" s="12">
        <f t="shared" si="393"/>
        <v>0</v>
      </c>
      <c r="FD184" s="12">
        <f t="shared" si="393"/>
        <v>0</v>
      </c>
      <c r="FE184" s="12">
        <f t="shared" si="393"/>
        <v>0</v>
      </c>
      <c r="FF184" s="12">
        <f t="shared" si="393"/>
        <v>0</v>
      </c>
      <c r="FG184" s="12">
        <f t="shared" si="393"/>
        <v>0</v>
      </c>
      <c r="FH184" s="12">
        <f t="shared" si="393"/>
        <v>0</v>
      </c>
    </row>
    <row r="185" spans="1:164" x14ac:dyDescent="0.2">
      <c r="A185" s="10"/>
      <c r="B185" s="10"/>
      <c r="C185" s="238" t="s">
        <v>7</v>
      </c>
      <c r="D185" s="238"/>
      <c r="E185" s="238"/>
      <c r="F185" s="238"/>
      <c r="G185" s="238"/>
      <c r="H185" s="239">
        <f t="shared" si="358"/>
        <v>315636.31400000001</v>
      </c>
      <c r="I185" s="239">
        <f t="shared" ref="I185:AN185" si="394">SUM(I181:I184)</f>
        <v>0</v>
      </c>
      <c r="J185" s="239">
        <f t="shared" si="394"/>
        <v>0</v>
      </c>
      <c r="K185" s="239">
        <f t="shared" si="394"/>
        <v>0</v>
      </c>
      <c r="L185" s="239">
        <f t="shared" si="394"/>
        <v>0</v>
      </c>
      <c r="M185" s="239">
        <f t="shared" si="394"/>
        <v>0</v>
      </c>
      <c r="N185" s="239">
        <f t="shared" si="394"/>
        <v>0</v>
      </c>
      <c r="O185" s="239">
        <f t="shared" si="394"/>
        <v>0</v>
      </c>
      <c r="P185" s="239">
        <f t="shared" si="394"/>
        <v>0</v>
      </c>
      <c r="Q185" s="239">
        <f t="shared" si="394"/>
        <v>0</v>
      </c>
      <c r="R185" s="239">
        <f t="shared" si="394"/>
        <v>0</v>
      </c>
      <c r="S185" s="239">
        <f t="shared" si="394"/>
        <v>0</v>
      </c>
      <c r="T185" s="239">
        <f t="shared" si="394"/>
        <v>0</v>
      </c>
      <c r="U185" s="239">
        <f t="shared" si="394"/>
        <v>0</v>
      </c>
      <c r="V185" s="239">
        <f t="shared" si="394"/>
        <v>0</v>
      </c>
      <c r="W185" s="239">
        <f t="shared" si="394"/>
        <v>0</v>
      </c>
      <c r="X185" s="239">
        <f t="shared" si="394"/>
        <v>0</v>
      </c>
      <c r="Y185" s="239">
        <f t="shared" si="394"/>
        <v>0</v>
      </c>
      <c r="Z185" s="239">
        <f t="shared" si="394"/>
        <v>0</v>
      </c>
      <c r="AA185" s="239">
        <f t="shared" si="394"/>
        <v>0</v>
      </c>
      <c r="AB185" s="239">
        <f t="shared" si="394"/>
        <v>0</v>
      </c>
      <c r="AC185" s="239">
        <f t="shared" si="394"/>
        <v>0</v>
      </c>
      <c r="AD185" s="239">
        <f t="shared" si="394"/>
        <v>0</v>
      </c>
      <c r="AE185" s="239">
        <f t="shared" si="394"/>
        <v>0</v>
      </c>
      <c r="AF185" s="239">
        <f t="shared" si="394"/>
        <v>0</v>
      </c>
      <c r="AG185" s="239">
        <f t="shared" si="394"/>
        <v>0</v>
      </c>
      <c r="AH185" s="239">
        <f t="shared" si="394"/>
        <v>0</v>
      </c>
      <c r="AI185" s="239">
        <f t="shared" si="394"/>
        <v>0</v>
      </c>
      <c r="AJ185" s="239">
        <f t="shared" si="394"/>
        <v>0</v>
      </c>
      <c r="AK185" s="239">
        <f t="shared" si="394"/>
        <v>0</v>
      </c>
      <c r="AL185" s="239">
        <f t="shared" si="394"/>
        <v>0</v>
      </c>
      <c r="AM185" s="239">
        <f t="shared" si="394"/>
        <v>0</v>
      </c>
      <c r="AN185" s="239">
        <f t="shared" si="394"/>
        <v>0</v>
      </c>
      <c r="AO185" s="239">
        <f t="shared" ref="AO185:BT185" si="395">SUM(AO181:AO184)</f>
        <v>0</v>
      </c>
      <c r="AP185" s="239">
        <f t="shared" si="395"/>
        <v>0</v>
      </c>
      <c r="AQ185" s="239">
        <f t="shared" si="395"/>
        <v>0</v>
      </c>
      <c r="AR185" s="239">
        <f t="shared" si="395"/>
        <v>0</v>
      </c>
      <c r="AS185" s="239">
        <f t="shared" si="395"/>
        <v>0</v>
      </c>
      <c r="AT185" s="239">
        <f t="shared" si="395"/>
        <v>0</v>
      </c>
      <c r="AU185" s="239">
        <f t="shared" si="395"/>
        <v>0</v>
      </c>
      <c r="AV185" s="239">
        <f t="shared" si="395"/>
        <v>0</v>
      </c>
      <c r="AW185" s="239">
        <f t="shared" si="395"/>
        <v>0</v>
      </c>
      <c r="AX185" s="239">
        <f t="shared" si="395"/>
        <v>0</v>
      </c>
      <c r="AY185" s="239">
        <f t="shared" si="395"/>
        <v>0</v>
      </c>
      <c r="AZ185" s="239">
        <f t="shared" si="395"/>
        <v>0</v>
      </c>
      <c r="BA185" s="239">
        <f t="shared" si="395"/>
        <v>0</v>
      </c>
      <c r="BB185" s="239">
        <f t="shared" si="395"/>
        <v>0</v>
      </c>
      <c r="BC185" s="239">
        <f t="shared" si="395"/>
        <v>0</v>
      </c>
      <c r="BD185" s="239">
        <f t="shared" si="395"/>
        <v>0</v>
      </c>
      <c r="BE185" s="239">
        <f t="shared" si="395"/>
        <v>0</v>
      </c>
      <c r="BF185" s="239">
        <f t="shared" si="395"/>
        <v>0</v>
      </c>
      <c r="BG185" s="239">
        <f t="shared" si="395"/>
        <v>0</v>
      </c>
      <c r="BH185" s="239">
        <f t="shared" si="395"/>
        <v>0</v>
      </c>
      <c r="BI185" s="239">
        <f t="shared" si="395"/>
        <v>0</v>
      </c>
      <c r="BJ185" s="239">
        <f t="shared" si="395"/>
        <v>0</v>
      </c>
      <c r="BK185" s="239">
        <f t="shared" si="395"/>
        <v>0</v>
      </c>
      <c r="BL185" s="239">
        <f t="shared" si="395"/>
        <v>0</v>
      </c>
      <c r="BM185" s="239">
        <f t="shared" si="395"/>
        <v>0</v>
      </c>
      <c r="BN185" s="239">
        <f t="shared" si="395"/>
        <v>0</v>
      </c>
      <c r="BO185" s="239">
        <f t="shared" si="395"/>
        <v>0</v>
      </c>
      <c r="BP185" s="239">
        <f t="shared" si="395"/>
        <v>0</v>
      </c>
      <c r="BQ185" s="239">
        <f t="shared" si="395"/>
        <v>915.26257499999974</v>
      </c>
      <c r="BR185" s="239">
        <f t="shared" si="395"/>
        <v>1037.0957908536579</v>
      </c>
      <c r="BS185" s="239">
        <f t="shared" si="395"/>
        <v>1161.974837103658</v>
      </c>
      <c r="BT185" s="239">
        <f t="shared" si="395"/>
        <v>1290.0559101805811</v>
      </c>
      <c r="BU185" s="239">
        <f t="shared" ref="BU185:CZ185" si="396">SUM(BU181:BU184)</f>
        <v>1421.5075378121601</v>
      </c>
      <c r="BV185" s="239">
        <f t="shared" si="396"/>
        <v>1556.5119121364842</v>
      </c>
      <c r="BW185" s="239">
        <f t="shared" si="396"/>
        <v>1071.8766440809291</v>
      </c>
      <c r="BX185" s="239">
        <f t="shared" si="396"/>
        <v>1119.449614080929</v>
      </c>
      <c r="BY185" s="239">
        <f t="shared" si="396"/>
        <v>1168.4217890809291</v>
      </c>
      <c r="BZ185" s="239">
        <f t="shared" si="396"/>
        <v>1218.8779693839592</v>
      </c>
      <c r="CA185" s="239">
        <f t="shared" si="396"/>
        <v>1270.9109053214593</v>
      </c>
      <c r="CB185" s="239">
        <f t="shared" si="396"/>
        <v>1324.622323063395</v>
      </c>
      <c r="CC185" s="239">
        <f t="shared" si="396"/>
        <v>1380.1241213967282</v>
      </c>
      <c r="CD185" s="239">
        <f t="shared" si="396"/>
        <v>1437.5397748450041</v>
      </c>
      <c r="CE185" s="239">
        <f t="shared" si="396"/>
        <v>1497.0059873450041</v>
      </c>
      <c r="CF185" s="239">
        <f t="shared" si="396"/>
        <v>1558.6746521598188</v>
      </c>
      <c r="CG185" s="239">
        <f t="shared" si="396"/>
        <v>1622.7151886982806</v>
      </c>
      <c r="CH185" s="239">
        <f t="shared" si="396"/>
        <v>1689.3173466982803</v>
      </c>
      <c r="CI185" s="239">
        <f t="shared" si="396"/>
        <v>1758.6945946149467</v>
      </c>
      <c r="CJ185" s="239">
        <f t="shared" si="396"/>
        <v>1831.0882446149471</v>
      </c>
      <c r="CK185" s="239">
        <f t="shared" si="396"/>
        <v>1906.7725150694923</v>
      </c>
      <c r="CL185" s="239">
        <f t="shared" si="396"/>
        <v>1986.0607984028254</v>
      </c>
      <c r="CM185" s="239">
        <f t="shared" si="396"/>
        <v>2069.3134959028257</v>
      </c>
      <c r="CN185" s="239">
        <f t="shared" si="396"/>
        <v>2156.9479143238777</v>
      </c>
      <c r="CO185" s="239">
        <f t="shared" si="396"/>
        <v>2249.4509115461001</v>
      </c>
      <c r="CP185" s="239">
        <f t="shared" si="396"/>
        <v>2347.3952615461003</v>
      </c>
      <c r="CQ185" s="239">
        <f t="shared" si="396"/>
        <v>2451.4611334210995</v>
      </c>
      <c r="CR185" s="239">
        <f t="shared" si="396"/>
        <v>2562.4647300877668</v>
      </c>
      <c r="CS185" s="239">
        <f t="shared" si="396"/>
        <v>2681.3971550877668</v>
      </c>
      <c r="CT185" s="239">
        <f t="shared" si="396"/>
        <v>2809.4782281646894</v>
      </c>
      <c r="CU185" s="239">
        <f t="shared" si="396"/>
        <v>2948.2327239980227</v>
      </c>
      <c r="CV185" s="239">
        <f t="shared" si="396"/>
        <v>3099.6012649071135</v>
      </c>
      <c r="CW185" s="239">
        <f t="shared" si="396"/>
        <v>3266.1066599071137</v>
      </c>
      <c r="CX185" s="239">
        <f t="shared" si="396"/>
        <v>3451.1126543515579</v>
      </c>
      <c r="CY185" s="239">
        <f t="shared" si="396"/>
        <v>3659.2443981015585</v>
      </c>
      <c r="CZ185" s="239">
        <f t="shared" si="396"/>
        <v>3897.1092481015585</v>
      </c>
      <c r="DA185" s="239">
        <f t="shared" ref="DA185:EF185" si="397">SUM(DA181:DA184)</f>
        <v>4174.6182397682251</v>
      </c>
      <c r="DB185" s="239">
        <f t="shared" si="397"/>
        <v>4507.6290297682253</v>
      </c>
      <c r="DC185" s="239">
        <f t="shared" si="397"/>
        <v>4923.8925172682248</v>
      </c>
      <c r="DD185" s="239">
        <f t="shared" si="397"/>
        <v>5478.9105006015579</v>
      </c>
      <c r="DE185" s="239">
        <f t="shared" si="397"/>
        <v>6311.4374756015577</v>
      </c>
      <c r="DF185" s="239">
        <f t="shared" si="397"/>
        <v>7976.4914256015581</v>
      </c>
      <c r="DG185" s="239">
        <f t="shared" si="397"/>
        <v>29970.971099999973</v>
      </c>
      <c r="DH185" s="239">
        <f t="shared" si="397"/>
        <v>1242.7576583333332</v>
      </c>
      <c r="DI185" s="239">
        <f t="shared" si="397"/>
        <v>1242.7576583333332</v>
      </c>
      <c r="DJ185" s="239">
        <f t="shared" si="397"/>
        <v>1242.7576583333332</v>
      </c>
      <c r="DK185" s="239">
        <f t="shared" si="397"/>
        <v>1242.7576583333332</v>
      </c>
      <c r="DL185" s="239">
        <f t="shared" si="397"/>
        <v>1242.7576583333332</v>
      </c>
      <c r="DM185" s="239">
        <f t="shared" si="397"/>
        <v>1242.7576583333332</v>
      </c>
      <c r="DN185" s="239">
        <f t="shared" si="397"/>
        <v>1242.7576583333332</v>
      </c>
      <c r="DO185" s="239">
        <f t="shared" si="397"/>
        <v>1242.7576583333332</v>
      </c>
      <c r="DP185" s="239">
        <f t="shared" si="397"/>
        <v>1242.7576583333332</v>
      </c>
      <c r="DQ185" s="239">
        <f t="shared" si="397"/>
        <v>1242.7576583333332</v>
      </c>
      <c r="DR185" s="239">
        <f t="shared" si="397"/>
        <v>1242.7576583333332</v>
      </c>
      <c r="DS185" s="239">
        <f t="shared" si="397"/>
        <v>1242.7576583333332</v>
      </c>
      <c r="DT185" s="239">
        <f t="shared" si="397"/>
        <v>166505.39499999996</v>
      </c>
      <c r="DU185" s="239">
        <f t="shared" si="397"/>
        <v>0</v>
      </c>
      <c r="DV185" s="239">
        <f t="shared" si="397"/>
        <v>0</v>
      </c>
      <c r="DW185" s="239">
        <f t="shared" si="397"/>
        <v>0</v>
      </c>
      <c r="DX185" s="239">
        <f t="shared" si="397"/>
        <v>0</v>
      </c>
      <c r="DY185" s="239">
        <f t="shared" si="397"/>
        <v>0</v>
      </c>
      <c r="DZ185" s="239">
        <f t="shared" si="397"/>
        <v>0</v>
      </c>
      <c r="EA185" s="239">
        <f t="shared" si="397"/>
        <v>0</v>
      </c>
      <c r="EB185" s="239">
        <f t="shared" si="397"/>
        <v>0</v>
      </c>
      <c r="EC185" s="239">
        <f t="shared" si="397"/>
        <v>0</v>
      </c>
      <c r="ED185" s="239">
        <f t="shared" si="397"/>
        <v>0</v>
      </c>
      <c r="EE185" s="239">
        <f t="shared" si="397"/>
        <v>0</v>
      </c>
      <c r="EF185" s="239">
        <f t="shared" si="397"/>
        <v>0</v>
      </c>
      <c r="EG185" s="239">
        <f t="shared" ref="EG185:FH185" si="398">SUM(EG181:EG184)</f>
        <v>0</v>
      </c>
      <c r="EH185" s="239">
        <f t="shared" si="398"/>
        <v>0</v>
      </c>
      <c r="EI185" s="239">
        <f t="shared" si="398"/>
        <v>0</v>
      </c>
      <c r="EJ185" s="239">
        <f t="shared" si="398"/>
        <v>0</v>
      </c>
      <c r="EK185" s="239">
        <f t="shared" si="398"/>
        <v>0</v>
      </c>
      <c r="EL185" s="239">
        <f t="shared" si="398"/>
        <v>0</v>
      </c>
      <c r="EM185" s="239">
        <f t="shared" si="398"/>
        <v>0</v>
      </c>
      <c r="EN185" s="239">
        <f t="shared" si="398"/>
        <v>0</v>
      </c>
      <c r="EO185" s="239">
        <f t="shared" si="398"/>
        <v>0</v>
      </c>
      <c r="EP185" s="239">
        <f t="shared" si="398"/>
        <v>0</v>
      </c>
      <c r="EQ185" s="239">
        <f t="shared" si="398"/>
        <v>0</v>
      </c>
      <c r="ER185" s="239">
        <f t="shared" si="398"/>
        <v>0</v>
      </c>
      <c r="ES185" s="239">
        <f t="shared" si="398"/>
        <v>0</v>
      </c>
      <c r="ET185" s="239">
        <f t="shared" si="398"/>
        <v>0</v>
      </c>
      <c r="EU185" s="239">
        <f t="shared" si="398"/>
        <v>0</v>
      </c>
      <c r="EV185" s="239">
        <f t="shared" si="398"/>
        <v>0</v>
      </c>
      <c r="EW185" s="239">
        <f t="shared" si="398"/>
        <v>0</v>
      </c>
      <c r="EX185" s="239">
        <f t="shared" si="398"/>
        <v>0</v>
      </c>
      <c r="EY185" s="239">
        <f t="shared" si="398"/>
        <v>0</v>
      </c>
      <c r="EZ185" s="239">
        <f t="shared" si="398"/>
        <v>0</v>
      </c>
      <c r="FA185" s="239">
        <f t="shared" si="398"/>
        <v>0</v>
      </c>
      <c r="FB185" s="239">
        <f t="shared" si="398"/>
        <v>0</v>
      </c>
      <c r="FC185" s="239">
        <f t="shared" si="398"/>
        <v>0</v>
      </c>
      <c r="FD185" s="239">
        <f t="shared" si="398"/>
        <v>0</v>
      </c>
      <c r="FE185" s="239">
        <f t="shared" si="398"/>
        <v>0</v>
      </c>
      <c r="FF185" s="239">
        <f t="shared" si="398"/>
        <v>0</v>
      </c>
      <c r="FG185" s="239">
        <f t="shared" si="398"/>
        <v>0</v>
      </c>
      <c r="FH185" s="239">
        <f t="shared" si="398"/>
        <v>0</v>
      </c>
    </row>
    <row r="186" spans="1:164" x14ac:dyDescent="0.2">
      <c r="A186" s="10"/>
      <c r="B186" s="10"/>
      <c r="C186" s="201" t="s">
        <v>756</v>
      </c>
      <c r="D186" s="194"/>
      <c r="E186" s="194"/>
      <c r="F186" s="194"/>
      <c r="G186" s="194"/>
      <c r="H186" s="216"/>
      <c r="I186" s="217">
        <f t="shared" ref="I186:AN186" si="399">((YEAR(I$6)-YEAR($F$34))*12+MONTH(I$6)-MONTH($F$34)+1)</f>
        <v>-65</v>
      </c>
      <c r="J186" s="217">
        <f t="shared" si="399"/>
        <v>-64</v>
      </c>
      <c r="K186" s="217">
        <f t="shared" si="399"/>
        <v>-63</v>
      </c>
      <c r="L186" s="217">
        <f t="shared" si="399"/>
        <v>-62</v>
      </c>
      <c r="M186" s="217">
        <f t="shared" si="399"/>
        <v>-61</v>
      </c>
      <c r="N186" s="217">
        <f t="shared" si="399"/>
        <v>-60</v>
      </c>
      <c r="O186" s="217">
        <f t="shared" si="399"/>
        <v>-59</v>
      </c>
      <c r="P186" s="217">
        <f t="shared" si="399"/>
        <v>-58</v>
      </c>
      <c r="Q186" s="217">
        <f t="shared" si="399"/>
        <v>-57</v>
      </c>
      <c r="R186" s="217">
        <f t="shared" si="399"/>
        <v>-56</v>
      </c>
      <c r="S186" s="217">
        <f t="shared" si="399"/>
        <v>-55</v>
      </c>
      <c r="T186" s="217">
        <f t="shared" si="399"/>
        <v>-54</v>
      </c>
      <c r="U186" s="217">
        <f t="shared" si="399"/>
        <v>-53</v>
      </c>
      <c r="V186" s="217">
        <f t="shared" si="399"/>
        <v>-52</v>
      </c>
      <c r="W186" s="217">
        <f t="shared" si="399"/>
        <v>-51</v>
      </c>
      <c r="X186" s="217">
        <f t="shared" si="399"/>
        <v>-50</v>
      </c>
      <c r="Y186" s="217">
        <f t="shared" si="399"/>
        <v>-49</v>
      </c>
      <c r="Z186" s="217">
        <f t="shared" si="399"/>
        <v>-48</v>
      </c>
      <c r="AA186" s="217">
        <f t="shared" si="399"/>
        <v>-47</v>
      </c>
      <c r="AB186" s="217">
        <f t="shared" si="399"/>
        <v>-46</v>
      </c>
      <c r="AC186" s="217">
        <f t="shared" si="399"/>
        <v>-45</v>
      </c>
      <c r="AD186" s="217">
        <f t="shared" si="399"/>
        <v>-44</v>
      </c>
      <c r="AE186" s="217">
        <f t="shared" si="399"/>
        <v>-43</v>
      </c>
      <c r="AF186" s="217">
        <f t="shared" si="399"/>
        <v>-42</v>
      </c>
      <c r="AG186" s="217">
        <f t="shared" si="399"/>
        <v>-41</v>
      </c>
      <c r="AH186" s="217">
        <f t="shared" si="399"/>
        <v>-40</v>
      </c>
      <c r="AI186" s="217">
        <f t="shared" si="399"/>
        <v>-39</v>
      </c>
      <c r="AJ186" s="217">
        <f t="shared" si="399"/>
        <v>-38</v>
      </c>
      <c r="AK186" s="217">
        <f t="shared" si="399"/>
        <v>-37</v>
      </c>
      <c r="AL186" s="217">
        <f t="shared" si="399"/>
        <v>-36</v>
      </c>
      <c r="AM186" s="217">
        <f t="shared" si="399"/>
        <v>-35</v>
      </c>
      <c r="AN186" s="217">
        <f t="shared" si="399"/>
        <v>-34</v>
      </c>
      <c r="AO186" s="217">
        <f t="shared" ref="AO186:BT186" si="400">((YEAR(AO$6)-YEAR($F$34))*12+MONTH(AO$6)-MONTH($F$34)+1)</f>
        <v>-33</v>
      </c>
      <c r="AP186" s="217">
        <f t="shared" si="400"/>
        <v>-32</v>
      </c>
      <c r="AQ186" s="217">
        <f t="shared" si="400"/>
        <v>-31</v>
      </c>
      <c r="AR186" s="217">
        <f t="shared" si="400"/>
        <v>-30</v>
      </c>
      <c r="AS186" s="217">
        <f t="shared" si="400"/>
        <v>-29</v>
      </c>
      <c r="AT186" s="217">
        <f t="shared" si="400"/>
        <v>-28</v>
      </c>
      <c r="AU186" s="217">
        <f t="shared" si="400"/>
        <v>-27</v>
      </c>
      <c r="AV186" s="217">
        <f t="shared" si="400"/>
        <v>-26</v>
      </c>
      <c r="AW186" s="217">
        <f t="shared" si="400"/>
        <v>-25</v>
      </c>
      <c r="AX186" s="217">
        <f t="shared" si="400"/>
        <v>-24</v>
      </c>
      <c r="AY186" s="217">
        <f t="shared" si="400"/>
        <v>-23</v>
      </c>
      <c r="AZ186" s="217">
        <f t="shared" si="400"/>
        <v>-22</v>
      </c>
      <c r="BA186" s="217">
        <f t="shared" si="400"/>
        <v>-21</v>
      </c>
      <c r="BB186" s="217">
        <f t="shared" si="400"/>
        <v>-20</v>
      </c>
      <c r="BC186" s="217">
        <f t="shared" si="400"/>
        <v>-19</v>
      </c>
      <c r="BD186" s="217">
        <f t="shared" si="400"/>
        <v>-18</v>
      </c>
      <c r="BE186" s="217">
        <f t="shared" si="400"/>
        <v>-17</v>
      </c>
      <c r="BF186" s="217">
        <f t="shared" si="400"/>
        <v>-16</v>
      </c>
      <c r="BG186" s="217">
        <f t="shared" si="400"/>
        <v>-15</v>
      </c>
      <c r="BH186" s="217">
        <f t="shared" si="400"/>
        <v>-14</v>
      </c>
      <c r="BI186" s="217">
        <f t="shared" si="400"/>
        <v>-13</v>
      </c>
      <c r="BJ186" s="217">
        <f t="shared" si="400"/>
        <v>-12</v>
      </c>
      <c r="BK186" s="217">
        <f t="shared" si="400"/>
        <v>-11</v>
      </c>
      <c r="BL186" s="217">
        <f t="shared" si="400"/>
        <v>-10</v>
      </c>
      <c r="BM186" s="217">
        <f t="shared" si="400"/>
        <v>-9</v>
      </c>
      <c r="BN186" s="217">
        <f t="shared" si="400"/>
        <v>-8</v>
      </c>
      <c r="BO186" s="217">
        <f t="shared" si="400"/>
        <v>-7</v>
      </c>
      <c r="BP186" s="217">
        <f t="shared" si="400"/>
        <v>-6</v>
      </c>
      <c r="BQ186" s="217">
        <f t="shared" si="400"/>
        <v>-5</v>
      </c>
      <c r="BR186" s="217">
        <f t="shared" si="400"/>
        <v>-4</v>
      </c>
      <c r="BS186" s="217">
        <f t="shared" si="400"/>
        <v>-3</v>
      </c>
      <c r="BT186" s="217">
        <f t="shared" si="400"/>
        <v>-2</v>
      </c>
      <c r="BU186" s="217">
        <f t="shared" ref="BU186:CZ186" si="401">((YEAR(BU$6)-YEAR($F$34))*12+MONTH(BU$6)-MONTH($F$34)+1)</f>
        <v>-1</v>
      </c>
      <c r="BV186" s="217">
        <f t="shared" si="401"/>
        <v>0</v>
      </c>
      <c r="BW186" s="217">
        <f t="shared" si="401"/>
        <v>1</v>
      </c>
      <c r="BX186" s="217">
        <f t="shared" si="401"/>
        <v>2</v>
      </c>
      <c r="BY186" s="217">
        <f t="shared" si="401"/>
        <v>3</v>
      </c>
      <c r="BZ186" s="217">
        <f t="shared" si="401"/>
        <v>4</v>
      </c>
      <c r="CA186" s="217">
        <f t="shared" si="401"/>
        <v>5</v>
      </c>
      <c r="CB186" s="217">
        <f t="shared" si="401"/>
        <v>6</v>
      </c>
      <c r="CC186" s="217">
        <f t="shared" si="401"/>
        <v>7</v>
      </c>
      <c r="CD186" s="217">
        <f t="shared" si="401"/>
        <v>8</v>
      </c>
      <c r="CE186" s="217">
        <f t="shared" si="401"/>
        <v>9</v>
      </c>
      <c r="CF186" s="217">
        <f t="shared" si="401"/>
        <v>10</v>
      </c>
      <c r="CG186" s="217">
        <f t="shared" si="401"/>
        <v>11</v>
      </c>
      <c r="CH186" s="217">
        <f t="shared" si="401"/>
        <v>12</v>
      </c>
      <c r="CI186" s="217">
        <f t="shared" si="401"/>
        <v>13</v>
      </c>
      <c r="CJ186" s="217">
        <f t="shared" si="401"/>
        <v>14</v>
      </c>
      <c r="CK186" s="217">
        <f t="shared" si="401"/>
        <v>15</v>
      </c>
      <c r="CL186" s="217">
        <f t="shared" si="401"/>
        <v>16</v>
      </c>
      <c r="CM186" s="217">
        <f t="shared" si="401"/>
        <v>17</v>
      </c>
      <c r="CN186" s="217">
        <f t="shared" si="401"/>
        <v>18</v>
      </c>
      <c r="CO186" s="217">
        <f t="shared" si="401"/>
        <v>19</v>
      </c>
      <c r="CP186" s="217">
        <f t="shared" si="401"/>
        <v>20</v>
      </c>
      <c r="CQ186" s="217">
        <f t="shared" si="401"/>
        <v>21</v>
      </c>
      <c r="CR186" s="217">
        <f t="shared" si="401"/>
        <v>22</v>
      </c>
      <c r="CS186" s="217">
        <f t="shared" si="401"/>
        <v>23</v>
      </c>
      <c r="CT186" s="217">
        <f t="shared" si="401"/>
        <v>24</v>
      </c>
      <c r="CU186" s="217">
        <f t="shared" si="401"/>
        <v>25</v>
      </c>
      <c r="CV186" s="217">
        <f t="shared" si="401"/>
        <v>26</v>
      </c>
      <c r="CW186" s="217">
        <f t="shared" si="401"/>
        <v>27</v>
      </c>
      <c r="CX186" s="217">
        <f t="shared" si="401"/>
        <v>28</v>
      </c>
      <c r="CY186" s="217">
        <f t="shared" si="401"/>
        <v>29</v>
      </c>
      <c r="CZ186" s="217">
        <f t="shared" si="401"/>
        <v>30</v>
      </c>
      <c r="DA186" s="217">
        <f t="shared" ref="DA186:EF186" si="402">((YEAR(DA$6)-YEAR($F$34))*12+MONTH(DA$6)-MONTH($F$34)+1)</f>
        <v>31</v>
      </c>
      <c r="DB186" s="217">
        <f t="shared" si="402"/>
        <v>32</v>
      </c>
      <c r="DC186" s="217">
        <f t="shared" si="402"/>
        <v>33</v>
      </c>
      <c r="DD186" s="217">
        <f t="shared" si="402"/>
        <v>34</v>
      </c>
      <c r="DE186" s="217">
        <f t="shared" si="402"/>
        <v>35</v>
      </c>
      <c r="DF186" s="217">
        <f t="shared" si="402"/>
        <v>36</v>
      </c>
      <c r="DG186" s="217">
        <f t="shared" si="402"/>
        <v>37</v>
      </c>
      <c r="DH186" s="217">
        <f t="shared" si="402"/>
        <v>38</v>
      </c>
      <c r="DI186" s="217">
        <f t="shared" si="402"/>
        <v>39</v>
      </c>
      <c r="DJ186" s="217">
        <f t="shared" si="402"/>
        <v>40</v>
      </c>
      <c r="DK186" s="217">
        <f t="shared" si="402"/>
        <v>41</v>
      </c>
      <c r="DL186" s="217">
        <f t="shared" si="402"/>
        <v>42</v>
      </c>
      <c r="DM186" s="217">
        <f t="shared" si="402"/>
        <v>43</v>
      </c>
      <c r="DN186" s="217">
        <f t="shared" si="402"/>
        <v>44</v>
      </c>
      <c r="DO186" s="217">
        <f t="shared" si="402"/>
        <v>45</v>
      </c>
      <c r="DP186" s="217">
        <f t="shared" si="402"/>
        <v>46</v>
      </c>
      <c r="DQ186" s="217">
        <f t="shared" si="402"/>
        <v>47</v>
      </c>
      <c r="DR186" s="217">
        <f t="shared" si="402"/>
        <v>48</v>
      </c>
      <c r="DS186" s="217">
        <f t="shared" si="402"/>
        <v>49</v>
      </c>
      <c r="DT186" s="217">
        <f t="shared" si="402"/>
        <v>50</v>
      </c>
      <c r="DU186" s="217">
        <f t="shared" si="402"/>
        <v>51</v>
      </c>
      <c r="DV186" s="217">
        <f t="shared" si="402"/>
        <v>52</v>
      </c>
      <c r="DW186" s="217">
        <f t="shared" si="402"/>
        <v>53</v>
      </c>
      <c r="DX186" s="217">
        <f t="shared" si="402"/>
        <v>54</v>
      </c>
      <c r="DY186" s="217">
        <f t="shared" si="402"/>
        <v>55</v>
      </c>
      <c r="DZ186" s="217">
        <f t="shared" si="402"/>
        <v>56</v>
      </c>
      <c r="EA186" s="217">
        <f t="shared" si="402"/>
        <v>57</v>
      </c>
      <c r="EB186" s="217">
        <f t="shared" si="402"/>
        <v>58</v>
      </c>
      <c r="EC186" s="217">
        <f t="shared" si="402"/>
        <v>59</v>
      </c>
      <c r="ED186" s="217">
        <f t="shared" si="402"/>
        <v>60</v>
      </c>
      <c r="EE186" s="217">
        <f t="shared" si="402"/>
        <v>61</v>
      </c>
      <c r="EF186" s="217">
        <f t="shared" si="402"/>
        <v>62</v>
      </c>
      <c r="EG186" s="217">
        <f t="shared" ref="EG186:FH186" si="403">((YEAR(EG$6)-YEAR($F$34))*12+MONTH(EG$6)-MONTH($F$34)+1)</f>
        <v>63</v>
      </c>
      <c r="EH186" s="217">
        <f t="shared" si="403"/>
        <v>64</v>
      </c>
      <c r="EI186" s="217">
        <f t="shared" si="403"/>
        <v>65</v>
      </c>
      <c r="EJ186" s="217">
        <f t="shared" si="403"/>
        <v>66</v>
      </c>
      <c r="EK186" s="217">
        <f t="shared" si="403"/>
        <v>67</v>
      </c>
      <c r="EL186" s="217">
        <f t="shared" si="403"/>
        <v>68</v>
      </c>
      <c r="EM186" s="217">
        <f t="shared" si="403"/>
        <v>69</v>
      </c>
      <c r="EN186" s="217">
        <f t="shared" si="403"/>
        <v>70</v>
      </c>
      <c r="EO186" s="217">
        <f t="shared" si="403"/>
        <v>71</v>
      </c>
      <c r="EP186" s="217">
        <f t="shared" si="403"/>
        <v>72</v>
      </c>
      <c r="EQ186" s="217">
        <f t="shared" si="403"/>
        <v>73</v>
      </c>
      <c r="ER186" s="217">
        <f t="shared" si="403"/>
        <v>74</v>
      </c>
      <c r="ES186" s="217">
        <f t="shared" si="403"/>
        <v>75</v>
      </c>
      <c r="ET186" s="217">
        <f t="shared" si="403"/>
        <v>76</v>
      </c>
      <c r="EU186" s="217">
        <f t="shared" si="403"/>
        <v>77</v>
      </c>
      <c r="EV186" s="217">
        <f t="shared" si="403"/>
        <v>78</v>
      </c>
      <c r="EW186" s="217">
        <f t="shared" si="403"/>
        <v>79</v>
      </c>
      <c r="EX186" s="217">
        <f t="shared" si="403"/>
        <v>80</v>
      </c>
      <c r="EY186" s="217">
        <f t="shared" si="403"/>
        <v>81</v>
      </c>
      <c r="EZ186" s="217">
        <f t="shared" si="403"/>
        <v>82</v>
      </c>
      <c r="FA186" s="217">
        <f t="shared" si="403"/>
        <v>83</v>
      </c>
      <c r="FB186" s="217">
        <f t="shared" si="403"/>
        <v>84</v>
      </c>
      <c r="FC186" s="217">
        <f t="shared" si="403"/>
        <v>85</v>
      </c>
      <c r="FD186" s="217">
        <f t="shared" si="403"/>
        <v>86</v>
      </c>
      <c r="FE186" s="217">
        <f t="shared" si="403"/>
        <v>87</v>
      </c>
      <c r="FF186" s="217">
        <f t="shared" si="403"/>
        <v>88</v>
      </c>
      <c r="FG186" s="217">
        <f t="shared" si="403"/>
        <v>89</v>
      </c>
      <c r="FH186" s="217">
        <f t="shared" si="403"/>
        <v>90</v>
      </c>
    </row>
    <row r="187" spans="1:164" x14ac:dyDescent="0.2">
      <c r="A187" s="10"/>
      <c r="B187" s="10"/>
      <c r="C187" s="10" t="s">
        <v>757</v>
      </c>
      <c r="D187" s="10"/>
      <c r="E187" s="10"/>
      <c r="F187" s="10"/>
      <c r="G187" s="10"/>
      <c r="H187" s="18">
        <f t="shared" ref="H187:H196" si="404">SUM(I187:FH187)</f>
        <v>0.99999999999999978</v>
      </c>
      <c r="I187" s="51">
        <f t="shared" ref="I187:AN187" si="405">IF(AND(I186&gt;=1,I186&lt;=$F$31),SIN(PI()*(I186-0.5)/$F$31)*SIN(PI()/(2*$F$31)),0)</f>
        <v>0</v>
      </c>
      <c r="J187" s="51">
        <f t="shared" si="405"/>
        <v>0</v>
      </c>
      <c r="K187" s="51">
        <f t="shared" si="405"/>
        <v>0</v>
      </c>
      <c r="L187" s="51">
        <f t="shared" si="405"/>
        <v>0</v>
      </c>
      <c r="M187" s="51">
        <f t="shared" si="405"/>
        <v>0</v>
      </c>
      <c r="N187" s="51">
        <f t="shared" si="405"/>
        <v>0</v>
      </c>
      <c r="O187" s="51">
        <f t="shared" si="405"/>
        <v>0</v>
      </c>
      <c r="P187" s="51">
        <f t="shared" si="405"/>
        <v>0</v>
      </c>
      <c r="Q187" s="51">
        <f t="shared" si="405"/>
        <v>0</v>
      </c>
      <c r="R187" s="51">
        <f t="shared" si="405"/>
        <v>0</v>
      </c>
      <c r="S187" s="51">
        <f t="shared" si="405"/>
        <v>0</v>
      </c>
      <c r="T187" s="51">
        <f t="shared" si="405"/>
        <v>0</v>
      </c>
      <c r="U187" s="51">
        <f t="shared" si="405"/>
        <v>0</v>
      </c>
      <c r="V187" s="51">
        <f t="shared" si="405"/>
        <v>0</v>
      </c>
      <c r="W187" s="51">
        <f t="shared" si="405"/>
        <v>0</v>
      </c>
      <c r="X187" s="51">
        <f t="shared" si="405"/>
        <v>0</v>
      </c>
      <c r="Y187" s="51">
        <f t="shared" si="405"/>
        <v>0</v>
      </c>
      <c r="Z187" s="51">
        <f t="shared" si="405"/>
        <v>0</v>
      </c>
      <c r="AA187" s="51">
        <f t="shared" si="405"/>
        <v>0</v>
      </c>
      <c r="AB187" s="51">
        <f t="shared" si="405"/>
        <v>0</v>
      </c>
      <c r="AC187" s="51">
        <f t="shared" si="405"/>
        <v>0</v>
      </c>
      <c r="AD187" s="51">
        <f t="shared" si="405"/>
        <v>0</v>
      </c>
      <c r="AE187" s="51">
        <f t="shared" si="405"/>
        <v>0</v>
      </c>
      <c r="AF187" s="51">
        <f t="shared" si="405"/>
        <v>0</v>
      </c>
      <c r="AG187" s="51">
        <f t="shared" si="405"/>
        <v>0</v>
      </c>
      <c r="AH187" s="51">
        <f t="shared" si="405"/>
        <v>0</v>
      </c>
      <c r="AI187" s="51">
        <f t="shared" si="405"/>
        <v>0</v>
      </c>
      <c r="AJ187" s="51">
        <f t="shared" si="405"/>
        <v>0</v>
      </c>
      <c r="AK187" s="51">
        <f t="shared" si="405"/>
        <v>0</v>
      </c>
      <c r="AL187" s="51">
        <f t="shared" si="405"/>
        <v>0</v>
      </c>
      <c r="AM187" s="51">
        <f t="shared" si="405"/>
        <v>0</v>
      </c>
      <c r="AN187" s="51">
        <f t="shared" si="405"/>
        <v>0</v>
      </c>
      <c r="AO187" s="51">
        <f t="shared" ref="AO187:BT187" si="406">IF(AND(AO186&gt;=1,AO186&lt;=$F$31),SIN(PI()*(AO186-0.5)/$F$31)*SIN(PI()/(2*$F$31)),0)</f>
        <v>0</v>
      </c>
      <c r="AP187" s="51">
        <f t="shared" si="406"/>
        <v>0</v>
      </c>
      <c r="AQ187" s="51">
        <f t="shared" si="406"/>
        <v>0</v>
      </c>
      <c r="AR187" s="51">
        <f t="shared" si="406"/>
        <v>0</v>
      </c>
      <c r="AS187" s="51">
        <f t="shared" si="406"/>
        <v>0</v>
      </c>
      <c r="AT187" s="51">
        <f t="shared" si="406"/>
        <v>0</v>
      </c>
      <c r="AU187" s="51">
        <f t="shared" si="406"/>
        <v>0</v>
      </c>
      <c r="AV187" s="51">
        <f t="shared" si="406"/>
        <v>0</v>
      </c>
      <c r="AW187" s="51">
        <f t="shared" si="406"/>
        <v>0</v>
      </c>
      <c r="AX187" s="51">
        <f t="shared" si="406"/>
        <v>0</v>
      </c>
      <c r="AY187" s="51">
        <f t="shared" si="406"/>
        <v>0</v>
      </c>
      <c r="AZ187" s="51">
        <f t="shared" si="406"/>
        <v>0</v>
      </c>
      <c r="BA187" s="51">
        <f t="shared" si="406"/>
        <v>0</v>
      </c>
      <c r="BB187" s="51">
        <f t="shared" si="406"/>
        <v>0</v>
      </c>
      <c r="BC187" s="51">
        <f t="shared" si="406"/>
        <v>0</v>
      </c>
      <c r="BD187" s="51">
        <f t="shared" si="406"/>
        <v>0</v>
      </c>
      <c r="BE187" s="51">
        <f t="shared" si="406"/>
        <v>0</v>
      </c>
      <c r="BF187" s="51">
        <f t="shared" si="406"/>
        <v>0</v>
      </c>
      <c r="BG187" s="51">
        <f t="shared" si="406"/>
        <v>0</v>
      </c>
      <c r="BH187" s="51">
        <f t="shared" si="406"/>
        <v>0</v>
      </c>
      <c r="BI187" s="51">
        <f t="shared" si="406"/>
        <v>0</v>
      </c>
      <c r="BJ187" s="51">
        <f t="shared" si="406"/>
        <v>0</v>
      </c>
      <c r="BK187" s="51">
        <f t="shared" si="406"/>
        <v>0</v>
      </c>
      <c r="BL187" s="51">
        <f t="shared" si="406"/>
        <v>0</v>
      </c>
      <c r="BM187" s="51">
        <f t="shared" si="406"/>
        <v>0</v>
      </c>
      <c r="BN187" s="51">
        <f t="shared" si="406"/>
        <v>0</v>
      </c>
      <c r="BO187" s="51">
        <f t="shared" si="406"/>
        <v>0</v>
      </c>
      <c r="BP187" s="51">
        <f t="shared" si="406"/>
        <v>0</v>
      </c>
      <c r="BQ187" s="51">
        <f t="shared" si="406"/>
        <v>0</v>
      </c>
      <c r="BR187" s="51">
        <f t="shared" si="406"/>
        <v>0</v>
      </c>
      <c r="BS187" s="51">
        <f t="shared" si="406"/>
        <v>0</v>
      </c>
      <c r="BT187" s="51">
        <f t="shared" si="406"/>
        <v>0</v>
      </c>
      <c r="BU187" s="51">
        <f t="shared" ref="BU187:CZ187" si="407">IF(AND(BU186&gt;=1,BU186&lt;=$F$31),SIN(PI()*(BU186-0.5)/$F$31)*SIN(PI()/(2*$F$31)),0)</f>
        <v>0</v>
      </c>
      <c r="BV187" s="51">
        <f t="shared" si="407"/>
        <v>0</v>
      </c>
      <c r="BW187" s="51">
        <f t="shared" si="407"/>
        <v>1.9026509541272339E-3</v>
      </c>
      <c r="BX187" s="51">
        <f t="shared" si="407"/>
        <v>5.6934725397687356E-3</v>
      </c>
      <c r="BY187" s="51">
        <f t="shared" si="407"/>
        <v>9.440963361569887E-3</v>
      </c>
      <c r="BZ187" s="51">
        <f t="shared" si="407"/>
        <v>1.3116602751579951E-2</v>
      </c>
      <c r="CA187" s="51">
        <f t="shared" si="407"/>
        <v>1.6692416874629211E-2</v>
      </c>
      <c r="CB187" s="51">
        <f t="shared" si="407"/>
        <v>2.0141191626105656E-2</v>
      </c>
      <c r="CC187" s="51">
        <f t="shared" si="407"/>
        <v>2.343667974772343E-2</v>
      </c>
      <c r="CD187" s="51">
        <f t="shared" si="407"/>
        <v>2.6553800585006872E-2</v>
      </c>
      <c r="CE187" s="51">
        <f t="shared" si="407"/>
        <v>2.9468830966215255E-2</v>
      </c>
      <c r="CF187" s="51">
        <f t="shared" si="407"/>
        <v>3.2159585750004098E-2</v>
      </c>
      <c r="CG187" s="51">
        <f t="shared" si="407"/>
        <v>3.4605586667746616E-2</v>
      </c>
      <c r="CH187" s="51">
        <f t="shared" si="407"/>
        <v>3.6788218175523045E-2</v>
      </c>
      <c r="CI187" s="51">
        <f t="shared" si="407"/>
        <v>3.8690869129650279E-2</v>
      </c>
      <c r="CJ187" s="51">
        <f t="shared" si="407"/>
        <v>4.029905920751535E-2</v>
      </c>
      <c r="CK187" s="51">
        <f t="shared" si="407"/>
        <v>4.1600549111573987E-2</v>
      </c>
      <c r="CL187" s="51">
        <f t="shared" si="407"/>
        <v>4.2585433717795204E-2</v>
      </c>
      <c r="CM187" s="51">
        <f t="shared" si="407"/>
        <v>4.324621745963609E-2</v>
      </c>
      <c r="CN187" s="51">
        <f t="shared" si="407"/>
        <v>4.357787137382909E-2</v>
      </c>
      <c r="CO187" s="51">
        <f t="shared" si="407"/>
        <v>4.357787137382909E-2</v>
      </c>
      <c r="CP187" s="51">
        <f t="shared" si="407"/>
        <v>4.324621745963609E-2</v>
      </c>
      <c r="CQ187" s="51">
        <f t="shared" si="407"/>
        <v>4.2585433717795211E-2</v>
      </c>
      <c r="CR187" s="51">
        <f t="shared" si="407"/>
        <v>4.1600549111573987E-2</v>
      </c>
      <c r="CS187" s="51">
        <f t="shared" si="407"/>
        <v>4.029905920751535E-2</v>
      </c>
      <c r="CT187" s="51">
        <f t="shared" si="407"/>
        <v>3.8690869129650279E-2</v>
      </c>
      <c r="CU187" s="51">
        <f t="shared" si="407"/>
        <v>3.6788218175523052E-2</v>
      </c>
      <c r="CV187" s="51">
        <f t="shared" si="407"/>
        <v>3.4605586667746616E-2</v>
      </c>
      <c r="CW187" s="51">
        <f t="shared" si="407"/>
        <v>3.2159585750004098E-2</v>
      </c>
      <c r="CX187" s="51">
        <f t="shared" si="407"/>
        <v>2.9468830966215262E-2</v>
      </c>
      <c r="CY187" s="51">
        <f t="shared" si="407"/>
        <v>2.6553800585006889E-2</v>
      </c>
      <c r="CZ187" s="51">
        <f t="shared" si="407"/>
        <v>2.3436679747723441E-2</v>
      </c>
      <c r="DA187" s="51">
        <f t="shared" ref="DA187:EF187" si="408">IF(AND(DA186&gt;=1,DA186&lt;=$F$31),SIN(PI()*(DA186-0.5)/$F$31)*SIN(PI()/(2*$F$31)),0)</f>
        <v>2.0141191626105656E-2</v>
      </c>
      <c r="DB187" s="51">
        <f t="shared" si="408"/>
        <v>1.6692416874629214E-2</v>
      </c>
      <c r="DC187" s="51">
        <f t="shared" si="408"/>
        <v>1.3116602751579961E-2</v>
      </c>
      <c r="DD187" s="51">
        <f t="shared" si="408"/>
        <v>9.4409633615698992E-3</v>
      </c>
      <c r="DE187" s="51">
        <f t="shared" si="408"/>
        <v>5.6934725397687356E-3</v>
      </c>
      <c r="DF187" s="51">
        <f t="shared" si="408"/>
        <v>1.9026509541272369E-3</v>
      </c>
      <c r="DG187" s="51">
        <f t="shared" si="408"/>
        <v>0</v>
      </c>
      <c r="DH187" s="51">
        <f t="shared" si="408"/>
        <v>0</v>
      </c>
      <c r="DI187" s="51">
        <f t="shared" si="408"/>
        <v>0</v>
      </c>
      <c r="DJ187" s="51">
        <f t="shared" si="408"/>
        <v>0</v>
      </c>
      <c r="DK187" s="51">
        <f t="shared" si="408"/>
        <v>0</v>
      </c>
      <c r="DL187" s="51">
        <f t="shared" si="408"/>
        <v>0</v>
      </c>
      <c r="DM187" s="51">
        <f t="shared" si="408"/>
        <v>0</v>
      </c>
      <c r="DN187" s="51">
        <f t="shared" si="408"/>
        <v>0</v>
      </c>
      <c r="DO187" s="51">
        <f t="shared" si="408"/>
        <v>0</v>
      </c>
      <c r="DP187" s="51">
        <f t="shared" si="408"/>
        <v>0</v>
      </c>
      <c r="DQ187" s="51">
        <f t="shared" si="408"/>
        <v>0</v>
      </c>
      <c r="DR187" s="51">
        <f t="shared" si="408"/>
        <v>0</v>
      </c>
      <c r="DS187" s="51">
        <f t="shared" si="408"/>
        <v>0</v>
      </c>
      <c r="DT187" s="51">
        <f t="shared" si="408"/>
        <v>0</v>
      </c>
      <c r="DU187" s="51">
        <f t="shared" si="408"/>
        <v>0</v>
      </c>
      <c r="DV187" s="51">
        <f t="shared" si="408"/>
        <v>0</v>
      </c>
      <c r="DW187" s="51">
        <f t="shared" si="408"/>
        <v>0</v>
      </c>
      <c r="DX187" s="51">
        <f t="shared" si="408"/>
        <v>0</v>
      </c>
      <c r="DY187" s="51">
        <f t="shared" si="408"/>
        <v>0</v>
      </c>
      <c r="DZ187" s="51">
        <f t="shared" si="408"/>
        <v>0</v>
      </c>
      <c r="EA187" s="51">
        <f t="shared" si="408"/>
        <v>0</v>
      </c>
      <c r="EB187" s="51">
        <f t="shared" si="408"/>
        <v>0</v>
      </c>
      <c r="EC187" s="51">
        <f t="shared" si="408"/>
        <v>0</v>
      </c>
      <c r="ED187" s="51">
        <f t="shared" si="408"/>
        <v>0</v>
      </c>
      <c r="EE187" s="51">
        <f t="shared" si="408"/>
        <v>0</v>
      </c>
      <c r="EF187" s="51">
        <f t="shared" si="408"/>
        <v>0</v>
      </c>
      <c r="EG187" s="51">
        <f t="shared" ref="EG187:FH187" si="409">IF(AND(EG186&gt;=1,EG186&lt;=$F$31),SIN(PI()*(EG186-0.5)/$F$31)*SIN(PI()/(2*$F$31)),0)</f>
        <v>0</v>
      </c>
      <c r="EH187" s="51">
        <f t="shared" si="409"/>
        <v>0</v>
      </c>
      <c r="EI187" s="51">
        <f t="shared" si="409"/>
        <v>0</v>
      </c>
      <c r="EJ187" s="51">
        <f t="shared" si="409"/>
        <v>0</v>
      </c>
      <c r="EK187" s="51">
        <f t="shared" si="409"/>
        <v>0</v>
      </c>
      <c r="EL187" s="51">
        <f t="shared" si="409"/>
        <v>0</v>
      </c>
      <c r="EM187" s="51">
        <f t="shared" si="409"/>
        <v>0</v>
      </c>
      <c r="EN187" s="51">
        <f t="shared" si="409"/>
        <v>0</v>
      </c>
      <c r="EO187" s="51">
        <f t="shared" si="409"/>
        <v>0</v>
      </c>
      <c r="EP187" s="51">
        <f t="shared" si="409"/>
        <v>0</v>
      </c>
      <c r="EQ187" s="51">
        <f t="shared" si="409"/>
        <v>0</v>
      </c>
      <c r="ER187" s="51">
        <f t="shared" si="409"/>
        <v>0</v>
      </c>
      <c r="ES187" s="51">
        <f t="shared" si="409"/>
        <v>0</v>
      </c>
      <c r="ET187" s="51">
        <f t="shared" si="409"/>
        <v>0</v>
      </c>
      <c r="EU187" s="51">
        <f t="shared" si="409"/>
        <v>0</v>
      </c>
      <c r="EV187" s="51">
        <f t="shared" si="409"/>
        <v>0</v>
      </c>
      <c r="EW187" s="51">
        <f t="shared" si="409"/>
        <v>0</v>
      </c>
      <c r="EX187" s="51">
        <f t="shared" si="409"/>
        <v>0</v>
      </c>
      <c r="EY187" s="51">
        <f t="shared" si="409"/>
        <v>0</v>
      </c>
      <c r="EZ187" s="51">
        <f t="shared" si="409"/>
        <v>0</v>
      </c>
      <c r="FA187" s="51">
        <f t="shared" si="409"/>
        <v>0</v>
      </c>
      <c r="FB187" s="51">
        <f t="shared" si="409"/>
        <v>0</v>
      </c>
      <c r="FC187" s="51">
        <f t="shared" si="409"/>
        <v>0</v>
      </c>
      <c r="FD187" s="51">
        <f t="shared" si="409"/>
        <v>0</v>
      </c>
      <c r="FE187" s="51">
        <f t="shared" si="409"/>
        <v>0</v>
      </c>
      <c r="FF187" s="51">
        <f t="shared" si="409"/>
        <v>0</v>
      </c>
      <c r="FG187" s="51">
        <f t="shared" si="409"/>
        <v>0</v>
      </c>
      <c r="FH187" s="51">
        <f t="shared" si="409"/>
        <v>0</v>
      </c>
    </row>
    <row r="188" spans="1:164" x14ac:dyDescent="0.2">
      <c r="A188" s="10"/>
      <c r="B188" s="10"/>
      <c r="C188" s="10" t="s">
        <v>910</v>
      </c>
      <c r="D188" s="10"/>
      <c r="E188" s="10"/>
      <c r="F188" s="10"/>
      <c r="G188" s="10"/>
      <c r="H188" s="12">
        <f t="shared" si="404"/>
        <v>-173078.39999999997</v>
      </c>
      <c r="I188" s="12">
        <f t="shared" ref="I188:AN188" si="410">-I187*($F$29+$F$30)</f>
        <v>0</v>
      </c>
      <c r="J188" s="12">
        <f t="shared" si="410"/>
        <v>0</v>
      </c>
      <c r="K188" s="12">
        <f t="shared" si="410"/>
        <v>0</v>
      </c>
      <c r="L188" s="12">
        <f t="shared" si="410"/>
        <v>0</v>
      </c>
      <c r="M188" s="12">
        <f t="shared" si="410"/>
        <v>0</v>
      </c>
      <c r="N188" s="12">
        <f t="shared" si="410"/>
        <v>0</v>
      </c>
      <c r="O188" s="12">
        <f t="shared" si="410"/>
        <v>0</v>
      </c>
      <c r="P188" s="12">
        <f t="shared" si="410"/>
        <v>0</v>
      </c>
      <c r="Q188" s="12">
        <f t="shared" si="410"/>
        <v>0</v>
      </c>
      <c r="R188" s="12">
        <f t="shared" si="410"/>
        <v>0</v>
      </c>
      <c r="S188" s="12">
        <f t="shared" si="410"/>
        <v>0</v>
      </c>
      <c r="T188" s="12">
        <f t="shared" si="410"/>
        <v>0</v>
      </c>
      <c r="U188" s="12">
        <f t="shared" si="410"/>
        <v>0</v>
      </c>
      <c r="V188" s="12">
        <f t="shared" si="410"/>
        <v>0</v>
      </c>
      <c r="W188" s="12">
        <f t="shared" si="410"/>
        <v>0</v>
      </c>
      <c r="X188" s="12">
        <f t="shared" si="410"/>
        <v>0</v>
      </c>
      <c r="Y188" s="12">
        <f t="shared" si="410"/>
        <v>0</v>
      </c>
      <c r="Z188" s="12">
        <f t="shared" si="410"/>
        <v>0</v>
      </c>
      <c r="AA188" s="12">
        <f t="shared" si="410"/>
        <v>0</v>
      </c>
      <c r="AB188" s="12">
        <f t="shared" si="410"/>
        <v>0</v>
      </c>
      <c r="AC188" s="12">
        <f t="shared" si="410"/>
        <v>0</v>
      </c>
      <c r="AD188" s="12">
        <f t="shared" si="410"/>
        <v>0</v>
      </c>
      <c r="AE188" s="12">
        <f t="shared" si="410"/>
        <v>0</v>
      </c>
      <c r="AF188" s="12">
        <f t="shared" si="410"/>
        <v>0</v>
      </c>
      <c r="AG188" s="12">
        <f t="shared" si="410"/>
        <v>0</v>
      </c>
      <c r="AH188" s="12">
        <f t="shared" si="410"/>
        <v>0</v>
      </c>
      <c r="AI188" s="12">
        <f t="shared" si="410"/>
        <v>0</v>
      </c>
      <c r="AJ188" s="12">
        <f t="shared" si="410"/>
        <v>0</v>
      </c>
      <c r="AK188" s="12">
        <f t="shared" si="410"/>
        <v>0</v>
      </c>
      <c r="AL188" s="12">
        <f t="shared" si="410"/>
        <v>0</v>
      </c>
      <c r="AM188" s="12">
        <f t="shared" si="410"/>
        <v>0</v>
      </c>
      <c r="AN188" s="12">
        <f t="shared" si="410"/>
        <v>0</v>
      </c>
      <c r="AO188" s="12">
        <f t="shared" ref="AO188:BT188" si="411">-AO187*($F$29+$F$30)</f>
        <v>0</v>
      </c>
      <c r="AP188" s="12">
        <f t="shared" si="411"/>
        <v>0</v>
      </c>
      <c r="AQ188" s="12">
        <f t="shared" si="411"/>
        <v>0</v>
      </c>
      <c r="AR188" s="12">
        <f t="shared" si="411"/>
        <v>0</v>
      </c>
      <c r="AS188" s="12">
        <f t="shared" si="411"/>
        <v>0</v>
      </c>
      <c r="AT188" s="12">
        <f t="shared" si="411"/>
        <v>0</v>
      </c>
      <c r="AU188" s="12">
        <f t="shared" si="411"/>
        <v>0</v>
      </c>
      <c r="AV188" s="12">
        <f t="shared" si="411"/>
        <v>0</v>
      </c>
      <c r="AW188" s="12">
        <f t="shared" si="411"/>
        <v>0</v>
      </c>
      <c r="AX188" s="12">
        <f t="shared" si="411"/>
        <v>0</v>
      </c>
      <c r="AY188" s="12">
        <f t="shared" si="411"/>
        <v>0</v>
      </c>
      <c r="AZ188" s="12">
        <f t="shared" si="411"/>
        <v>0</v>
      </c>
      <c r="BA188" s="12">
        <f t="shared" si="411"/>
        <v>0</v>
      </c>
      <c r="BB188" s="12">
        <f t="shared" si="411"/>
        <v>0</v>
      </c>
      <c r="BC188" s="12">
        <f t="shared" si="411"/>
        <v>0</v>
      </c>
      <c r="BD188" s="12">
        <f t="shared" si="411"/>
        <v>0</v>
      </c>
      <c r="BE188" s="12">
        <f t="shared" si="411"/>
        <v>0</v>
      </c>
      <c r="BF188" s="12">
        <f t="shared" si="411"/>
        <v>0</v>
      </c>
      <c r="BG188" s="12">
        <f t="shared" si="411"/>
        <v>0</v>
      </c>
      <c r="BH188" s="12">
        <f t="shared" si="411"/>
        <v>0</v>
      </c>
      <c r="BI188" s="12">
        <f t="shared" si="411"/>
        <v>0</v>
      </c>
      <c r="BJ188" s="12">
        <f t="shared" si="411"/>
        <v>0</v>
      </c>
      <c r="BK188" s="12">
        <f t="shared" si="411"/>
        <v>0</v>
      </c>
      <c r="BL188" s="12">
        <f t="shared" si="411"/>
        <v>0</v>
      </c>
      <c r="BM188" s="12">
        <f t="shared" si="411"/>
        <v>0</v>
      </c>
      <c r="BN188" s="12">
        <f t="shared" si="411"/>
        <v>0</v>
      </c>
      <c r="BO188" s="12">
        <f t="shared" si="411"/>
        <v>0</v>
      </c>
      <c r="BP188" s="12">
        <f t="shared" si="411"/>
        <v>0</v>
      </c>
      <c r="BQ188" s="12">
        <f t="shared" si="411"/>
        <v>0</v>
      </c>
      <c r="BR188" s="12">
        <f t="shared" si="411"/>
        <v>0</v>
      </c>
      <c r="BS188" s="12">
        <f t="shared" si="411"/>
        <v>0</v>
      </c>
      <c r="BT188" s="12">
        <f t="shared" si="411"/>
        <v>0</v>
      </c>
      <c r="BU188" s="12">
        <f t="shared" ref="BU188:CZ188" si="412">-BU187*($F$29+$F$30)</f>
        <v>0</v>
      </c>
      <c r="BV188" s="12">
        <f t="shared" si="412"/>
        <v>0</v>
      </c>
      <c r="BW188" s="12">
        <f t="shared" si="412"/>
        <v>-329.30778289881505</v>
      </c>
      <c r="BX188" s="12">
        <f t="shared" si="412"/>
        <v>-985.41711762710906</v>
      </c>
      <c r="BY188" s="12">
        <f t="shared" si="412"/>
        <v>-1634.0268330791375</v>
      </c>
      <c r="BZ188" s="12">
        <f t="shared" si="412"/>
        <v>-2270.2006176790551</v>
      </c>
      <c r="CA188" s="12">
        <f t="shared" si="412"/>
        <v>-2889.0968047938245</v>
      </c>
      <c r="CB188" s="12">
        <f t="shared" si="412"/>
        <v>-3486.0052207397653</v>
      </c>
      <c r="CC188" s="12">
        <f t="shared" si="412"/>
        <v>-4056.3830320483748</v>
      </c>
      <c r="CD188" s="12">
        <f t="shared" si="412"/>
        <v>-4595.8893191720535</v>
      </c>
      <c r="CE188" s="12">
        <f t="shared" si="412"/>
        <v>-5100.4181135029903</v>
      </c>
      <c r="CF188" s="12">
        <f t="shared" si="412"/>
        <v>-5566.129646273509</v>
      </c>
      <c r="CG188" s="12">
        <f t="shared" si="412"/>
        <v>-5989.4795715149157</v>
      </c>
      <c r="CH188" s="12">
        <f t="shared" si="412"/>
        <v>-6367.2459406704475</v>
      </c>
      <c r="CI188" s="12">
        <f t="shared" si="412"/>
        <v>-6696.5537235692627</v>
      </c>
      <c r="CJ188" s="12">
        <f t="shared" si="412"/>
        <v>-6974.896689142025</v>
      </c>
      <c r="CK188" s="12">
        <f t="shared" si="412"/>
        <v>-7200.1564793526468</v>
      </c>
      <c r="CL188" s="12">
        <f t="shared" si="412"/>
        <v>-7370.6187311820449</v>
      </c>
      <c r="CM188" s="12">
        <f t="shared" si="412"/>
        <v>-7484.9861239658785</v>
      </c>
      <c r="CN188" s="12">
        <f t="shared" si="412"/>
        <v>-7542.3882527881406</v>
      </c>
      <c r="CO188" s="12">
        <f t="shared" si="412"/>
        <v>-7542.3882527881406</v>
      </c>
      <c r="CP188" s="12">
        <f t="shared" si="412"/>
        <v>-7484.9861239658785</v>
      </c>
      <c r="CQ188" s="12">
        <f t="shared" si="412"/>
        <v>-7370.6187311820468</v>
      </c>
      <c r="CR188" s="12">
        <f t="shared" si="412"/>
        <v>-7200.1564793526468</v>
      </c>
      <c r="CS188" s="12">
        <f t="shared" si="412"/>
        <v>-6974.896689142025</v>
      </c>
      <c r="CT188" s="12">
        <f t="shared" si="412"/>
        <v>-6696.5537235692627</v>
      </c>
      <c r="CU188" s="12">
        <f t="shared" si="412"/>
        <v>-6367.2459406704484</v>
      </c>
      <c r="CV188" s="12">
        <f t="shared" si="412"/>
        <v>-5989.4795715149157</v>
      </c>
      <c r="CW188" s="12">
        <f t="shared" si="412"/>
        <v>-5566.129646273509</v>
      </c>
      <c r="CX188" s="12">
        <f t="shared" si="412"/>
        <v>-5100.4181135029912</v>
      </c>
      <c r="CY188" s="12">
        <f t="shared" si="412"/>
        <v>-4595.8893191720563</v>
      </c>
      <c r="CZ188" s="12">
        <f t="shared" si="412"/>
        <v>-4056.3830320483767</v>
      </c>
      <c r="DA188" s="12">
        <f t="shared" ref="DA188:EF188" si="413">-DA187*($F$29+$F$30)</f>
        <v>-3486.0052207397653</v>
      </c>
      <c r="DB188" s="12">
        <f t="shared" si="413"/>
        <v>-2889.096804793825</v>
      </c>
      <c r="DC188" s="12">
        <f t="shared" si="413"/>
        <v>-2270.2006176790569</v>
      </c>
      <c r="DD188" s="12">
        <f t="shared" si="413"/>
        <v>-1634.0268330791396</v>
      </c>
      <c r="DE188" s="12">
        <f t="shared" si="413"/>
        <v>-985.41711762710906</v>
      </c>
      <c r="DF188" s="12">
        <f t="shared" si="413"/>
        <v>-329.30778289881556</v>
      </c>
      <c r="DG188" s="12">
        <f t="shared" si="413"/>
        <v>0</v>
      </c>
      <c r="DH188" s="12">
        <f t="shared" si="413"/>
        <v>0</v>
      </c>
      <c r="DI188" s="12">
        <f t="shared" si="413"/>
        <v>0</v>
      </c>
      <c r="DJ188" s="12">
        <f t="shared" si="413"/>
        <v>0</v>
      </c>
      <c r="DK188" s="12">
        <f t="shared" si="413"/>
        <v>0</v>
      </c>
      <c r="DL188" s="12">
        <f t="shared" si="413"/>
        <v>0</v>
      </c>
      <c r="DM188" s="12">
        <f t="shared" si="413"/>
        <v>0</v>
      </c>
      <c r="DN188" s="12">
        <f t="shared" si="413"/>
        <v>0</v>
      </c>
      <c r="DO188" s="12">
        <f t="shared" si="413"/>
        <v>0</v>
      </c>
      <c r="DP188" s="12">
        <f t="shared" si="413"/>
        <v>0</v>
      </c>
      <c r="DQ188" s="12">
        <f t="shared" si="413"/>
        <v>0</v>
      </c>
      <c r="DR188" s="12">
        <f t="shared" si="413"/>
        <v>0</v>
      </c>
      <c r="DS188" s="12">
        <f t="shared" si="413"/>
        <v>0</v>
      </c>
      <c r="DT188" s="12">
        <f t="shared" si="413"/>
        <v>0</v>
      </c>
      <c r="DU188" s="12">
        <f t="shared" si="413"/>
        <v>0</v>
      </c>
      <c r="DV188" s="12">
        <f t="shared" si="413"/>
        <v>0</v>
      </c>
      <c r="DW188" s="12">
        <f t="shared" si="413"/>
        <v>0</v>
      </c>
      <c r="DX188" s="12">
        <f t="shared" si="413"/>
        <v>0</v>
      </c>
      <c r="DY188" s="12">
        <f t="shared" si="413"/>
        <v>0</v>
      </c>
      <c r="DZ188" s="12">
        <f t="shared" si="413"/>
        <v>0</v>
      </c>
      <c r="EA188" s="12">
        <f t="shared" si="413"/>
        <v>0</v>
      </c>
      <c r="EB188" s="12">
        <f t="shared" si="413"/>
        <v>0</v>
      </c>
      <c r="EC188" s="12">
        <f t="shared" si="413"/>
        <v>0</v>
      </c>
      <c r="ED188" s="12">
        <f t="shared" si="413"/>
        <v>0</v>
      </c>
      <c r="EE188" s="12">
        <f t="shared" si="413"/>
        <v>0</v>
      </c>
      <c r="EF188" s="12">
        <f t="shared" si="413"/>
        <v>0</v>
      </c>
      <c r="EG188" s="12">
        <f t="shared" ref="EG188:FH188" si="414">-EG187*($F$29+$F$30)</f>
        <v>0</v>
      </c>
      <c r="EH188" s="12">
        <f t="shared" si="414"/>
        <v>0</v>
      </c>
      <c r="EI188" s="12">
        <f t="shared" si="414"/>
        <v>0</v>
      </c>
      <c r="EJ188" s="12">
        <f t="shared" si="414"/>
        <v>0</v>
      </c>
      <c r="EK188" s="12">
        <f t="shared" si="414"/>
        <v>0</v>
      </c>
      <c r="EL188" s="12">
        <f t="shared" si="414"/>
        <v>0</v>
      </c>
      <c r="EM188" s="12">
        <f t="shared" si="414"/>
        <v>0</v>
      </c>
      <c r="EN188" s="12">
        <f t="shared" si="414"/>
        <v>0</v>
      </c>
      <c r="EO188" s="12">
        <f t="shared" si="414"/>
        <v>0</v>
      </c>
      <c r="EP188" s="12">
        <f t="shared" si="414"/>
        <v>0</v>
      </c>
      <c r="EQ188" s="12">
        <f t="shared" si="414"/>
        <v>0</v>
      </c>
      <c r="ER188" s="12">
        <f t="shared" si="414"/>
        <v>0</v>
      </c>
      <c r="ES188" s="12">
        <f t="shared" si="414"/>
        <v>0</v>
      </c>
      <c r="ET188" s="12">
        <f t="shared" si="414"/>
        <v>0</v>
      </c>
      <c r="EU188" s="12">
        <f t="shared" si="414"/>
        <v>0</v>
      </c>
      <c r="EV188" s="12">
        <f t="shared" si="414"/>
        <v>0</v>
      </c>
      <c r="EW188" s="12">
        <f t="shared" si="414"/>
        <v>0</v>
      </c>
      <c r="EX188" s="12">
        <f t="shared" si="414"/>
        <v>0</v>
      </c>
      <c r="EY188" s="12">
        <f t="shared" si="414"/>
        <v>0</v>
      </c>
      <c r="EZ188" s="12">
        <f t="shared" si="414"/>
        <v>0</v>
      </c>
      <c r="FA188" s="12">
        <f t="shared" si="414"/>
        <v>0</v>
      </c>
      <c r="FB188" s="12">
        <f t="shared" si="414"/>
        <v>0</v>
      </c>
      <c r="FC188" s="12">
        <f t="shared" si="414"/>
        <v>0</v>
      </c>
      <c r="FD188" s="12">
        <f t="shared" si="414"/>
        <v>0</v>
      </c>
      <c r="FE188" s="12">
        <f t="shared" si="414"/>
        <v>0</v>
      </c>
      <c r="FF188" s="12">
        <f t="shared" si="414"/>
        <v>0</v>
      </c>
      <c r="FG188" s="12">
        <f t="shared" si="414"/>
        <v>0</v>
      </c>
      <c r="FH188" s="12">
        <f t="shared" si="414"/>
        <v>0</v>
      </c>
    </row>
    <row r="189" spans="1:164" x14ac:dyDescent="0.2">
      <c r="A189" s="10"/>
      <c r="B189" s="10"/>
      <c r="C189" s="10" t="s">
        <v>405</v>
      </c>
      <c r="D189" s="10"/>
      <c r="E189" s="10"/>
      <c r="F189" s="10"/>
      <c r="G189" s="10"/>
      <c r="H189" s="12">
        <f t="shared" si="404"/>
        <v>-5010.8519999999999</v>
      </c>
      <c r="I189" s="12">
        <f t="shared" ref="I189:AN189" si="415">-IF(AND(I$6&gt;=EDATE($F$34,-12),I$6&lt;$F$34),$F$56*$F$29/12,0)</f>
        <v>0</v>
      </c>
      <c r="J189" s="12">
        <f t="shared" si="415"/>
        <v>0</v>
      </c>
      <c r="K189" s="12">
        <f t="shared" si="415"/>
        <v>0</v>
      </c>
      <c r="L189" s="12">
        <f t="shared" si="415"/>
        <v>0</v>
      </c>
      <c r="M189" s="12">
        <f t="shared" si="415"/>
        <v>0</v>
      </c>
      <c r="N189" s="12">
        <f t="shared" si="415"/>
        <v>0</v>
      </c>
      <c r="O189" s="12">
        <f t="shared" si="415"/>
        <v>0</v>
      </c>
      <c r="P189" s="12">
        <f t="shared" si="415"/>
        <v>0</v>
      </c>
      <c r="Q189" s="12">
        <f t="shared" si="415"/>
        <v>0</v>
      </c>
      <c r="R189" s="12">
        <f t="shared" si="415"/>
        <v>0</v>
      </c>
      <c r="S189" s="12">
        <f t="shared" si="415"/>
        <v>0</v>
      </c>
      <c r="T189" s="12">
        <f t="shared" si="415"/>
        <v>0</v>
      </c>
      <c r="U189" s="12">
        <f t="shared" si="415"/>
        <v>0</v>
      </c>
      <c r="V189" s="12">
        <f t="shared" si="415"/>
        <v>0</v>
      </c>
      <c r="W189" s="12">
        <f t="shared" si="415"/>
        <v>0</v>
      </c>
      <c r="X189" s="12">
        <f t="shared" si="415"/>
        <v>0</v>
      </c>
      <c r="Y189" s="12">
        <f t="shared" si="415"/>
        <v>0</v>
      </c>
      <c r="Z189" s="12">
        <f t="shared" si="415"/>
        <v>0</v>
      </c>
      <c r="AA189" s="12">
        <f t="shared" si="415"/>
        <v>0</v>
      </c>
      <c r="AB189" s="12">
        <f t="shared" si="415"/>
        <v>0</v>
      </c>
      <c r="AC189" s="12">
        <f t="shared" si="415"/>
        <v>0</v>
      </c>
      <c r="AD189" s="12">
        <f t="shared" si="415"/>
        <v>0</v>
      </c>
      <c r="AE189" s="12">
        <f t="shared" si="415"/>
        <v>0</v>
      </c>
      <c r="AF189" s="12">
        <f t="shared" si="415"/>
        <v>0</v>
      </c>
      <c r="AG189" s="12">
        <f t="shared" si="415"/>
        <v>0</v>
      </c>
      <c r="AH189" s="12">
        <f t="shared" si="415"/>
        <v>0</v>
      </c>
      <c r="AI189" s="12">
        <f t="shared" si="415"/>
        <v>0</v>
      </c>
      <c r="AJ189" s="12">
        <f t="shared" si="415"/>
        <v>0</v>
      </c>
      <c r="AK189" s="12">
        <f t="shared" si="415"/>
        <v>0</v>
      </c>
      <c r="AL189" s="12">
        <f t="shared" si="415"/>
        <v>0</v>
      </c>
      <c r="AM189" s="12">
        <f t="shared" si="415"/>
        <v>0</v>
      </c>
      <c r="AN189" s="12">
        <f t="shared" si="415"/>
        <v>0</v>
      </c>
      <c r="AO189" s="12">
        <f t="shared" ref="AO189:BT189" si="416">-IF(AND(AO$6&gt;=EDATE($F$34,-12),AO$6&lt;$F$34),$F$56*$F$29/12,0)</f>
        <v>0</v>
      </c>
      <c r="AP189" s="12">
        <f t="shared" si="416"/>
        <v>0</v>
      </c>
      <c r="AQ189" s="12">
        <f t="shared" si="416"/>
        <v>0</v>
      </c>
      <c r="AR189" s="12">
        <f t="shared" si="416"/>
        <v>0</v>
      </c>
      <c r="AS189" s="12">
        <f t="shared" si="416"/>
        <v>0</v>
      </c>
      <c r="AT189" s="12">
        <f t="shared" si="416"/>
        <v>0</v>
      </c>
      <c r="AU189" s="12">
        <f t="shared" si="416"/>
        <v>0</v>
      </c>
      <c r="AV189" s="12">
        <f t="shared" si="416"/>
        <v>0</v>
      </c>
      <c r="AW189" s="12">
        <f t="shared" si="416"/>
        <v>0</v>
      </c>
      <c r="AX189" s="12">
        <f t="shared" si="416"/>
        <v>0</v>
      </c>
      <c r="AY189" s="12">
        <f t="shared" si="416"/>
        <v>0</v>
      </c>
      <c r="AZ189" s="12">
        <f t="shared" si="416"/>
        <v>0</v>
      </c>
      <c r="BA189" s="12">
        <f t="shared" si="416"/>
        <v>0</v>
      </c>
      <c r="BB189" s="12">
        <f t="shared" si="416"/>
        <v>0</v>
      </c>
      <c r="BC189" s="12">
        <f t="shared" si="416"/>
        <v>0</v>
      </c>
      <c r="BD189" s="12">
        <f t="shared" si="416"/>
        <v>0</v>
      </c>
      <c r="BE189" s="12">
        <f t="shared" si="416"/>
        <v>0</v>
      </c>
      <c r="BF189" s="12">
        <f t="shared" si="416"/>
        <v>0</v>
      </c>
      <c r="BG189" s="12">
        <f t="shared" si="416"/>
        <v>0</v>
      </c>
      <c r="BH189" s="12">
        <f t="shared" si="416"/>
        <v>0</v>
      </c>
      <c r="BI189" s="12">
        <f t="shared" si="416"/>
        <v>0</v>
      </c>
      <c r="BJ189" s="12">
        <f t="shared" si="416"/>
        <v>0</v>
      </c>
      <c r="BK189" s="12">
        <f t="shared" si="416"/>
        <v>-417.57099999999997</v>
      </c>
      <c r="BL189" s="12">
        <f t="shared" si="416"/>
        <v>-417.57099999999997</v>
      </c>
      <c r="BM189" s="12">
        <f t="shared" si="416"/>
        <v>-417.57099999999997</v>
      </c>
      <c r="BN189" s="12">
        <f t="shared" si="416"/>
        <v>-417.57099999999997</v>
      </c>
      <c r="BO189" s="12">
        <f t="shared" si="416"/>
        <v>-417.57099999999997</v>
      </c>
      <c r="BP189" s="12">
        <f t="shared" si="416"/>
        <v>-417.57099999999997</v>
      </c>
      <c r="BQ189" s="12">
        <f t="shared" si="416"/>
        <v>-417.57099999999997</v>
      </c>
      <c r="BR189" s="12">
        <f t="shared" si="416"/>
        <v>-417.57099999999997</v>
      </c>
      <c r="BS189" s="12">
        <f t="shared" si="416"/>
        <v>-417.57099999999997</v>
      </c>
      <c r="BT189" s="12">
        <f t="shared" si="416"/>
        <v>-417.57099999999997</v>
      </c>
      <c r="BU189" s="12">
        <f t="shared" ref="BU189:CZ189" si="417">-IF(AND(BU$6&gt;=EDATE($F$34,-12),BU$6&lt;$F$34),$F$56*$F$29/12,0)</f>
        <v>-417.57099999999997</v>
      </c>
      <c r="BV189" s="12">
        <f t="shared" si="417"/>
        <v>-417.57099999999997</v>
      </c>
      <c r="BW189" s="12">
        <f t="shared" si="417"/>
        <v>0</v>
      </c>
      <c r="BX189" s="12">
        <f t="shared" si="417"/>
        <v>0</v>
      </c>
      <c r="BY189" s="12">
        <f t="shared" si="417"/>
        <v>0</v>
      </c>
      <c r="BZ189" s="12">
        <f t="shared" si="417"/>
        <v>0</v>
      </c>
      <c r="CA189" s="12">
        <f t="shared" si="417"/>
        <v>0</v>
      </c>
      <c r="CB189" s="12">
        <f t="shared" si="417"/>
        <v>0</v>
      </c>
      <c r="CC189" s="12">
        <f t="shared" si="417"/>
        <v>0</v>
      </c>
      <c r="CD189" s="12">
        <f t="shared" si="417"/>
        <v>0</v>
      </c>
      <c r="CE189" s="12">
        <f t="shared" si="417"/>
        <v>0</v>
      </c>
      <c r="CF189" s="12">
        <f t="shared" si="417"/>
        <v>0</v>
      </c>
      <c r="CG189" s="12">
        <f t="shared" si="417"/>
        <v>0</v>
      </c>
      <c r="CH189" s="12">
        <f t="shared" si="417"/>
        <v>0</v>
      </c>
      <c r="CI189" s="12">
        <f t="shared" si="417"/>
        <v>0</v>
      </c>
      <c r="CJ189" s="12">
        <f t="shared" si="417"/>
        <v>0</v>
      </c>
      <c r="CK189" s="12">
        <f t="shared" si="417"/>
        <v>0</v>
      </c>
      <c r="CL189" s="12">
        <f t="shared" si="417"/>
        <v>0</v>
      </c>
      <c r="CM189" s="12">
        <f t="shared" si="417"/>
        <v>0</v>
      </c>
      <c r="CN189" s="12">
        <f t="shared" si="417"/>
        <v>0</v>
      </c>
      <c r="CO189" s="12">
        <f t="shared" si="417"/>
        <v>0</v>
      </c>
      <c r="CP189" s="12">
        <f t="shared" si="417"/>
        <v>0</v>
      </c>
      <c r="CQ189" s="12">
        <f t="shared" si="417"/>
        <v>0</v>
      </c>
      <c r="CR189" s="12">
        <f t="shared" si="417"/>
        <v>0</v>
      </c>
      <c r="CS189" s="12">
        <f t="shared" si="417"/>
        <v>0</v>
      </c>
      <c r="CT189" s="12">
        <f t="shared" si="417"/>
        <v>0</v>
      </c>
      <c r="CU189" s="12">
        <f t="shared" si="417"/>
        <v>0</v>
      </c>
      <c r="CV189" s="12">
        <f t="shared" si="417"/>
        <v>0</v>
      </c>
      <c r="CW189" s="12">
        <f t="shared" si="417"/>
        <v>0</v>
      </c>
      <c r="CX189" s="12">
        <f t="shared" si="417"/>
        <v>0</v>
      </c>
      <c r="CY189" s="12">
        <f t="shared" si="417"/>
        <v>0</v>
      </c>
      <c r="CZ189" s="12">
        <f t="shared" si="417"/>
        <v>0</v>
      </c>
      <c r="DA189" s="12">
        <f t="shared" ref="DA189:EF189" si="418">-IF(AND(DA$6&gt;=EDATE($F$34,-12),DA$6&lt;$F$34),$F$56*$F$29/12,0)</f>
        <v>0</v>
      </c>
      <c r="DB189" s="12">
        <f t="shared" si="418"/>
        <v>0</v>
      </c>
      <c r="DC189" s="12">
        <f t="shared" si="418"/>
        <v>0</v>
      </c>
      <c r="DD189" s="12">
        <f t="shared" si="418"/>
        <v>0</v>
      </c>
      <c r="DE189" s="12">
        <f t="shared" si="418"/>
        <v>0</v>
      </c>
      <c r="DF189" s="12">
        <f t="shared" si="418"/>
        <v>0</v>
      </c>
      <c r="DG189" s="12">
        <f t="shared" si="418"/>
        <v>0</v>
      </c>
      <c r="DH189" s="12">
        <f t="shared" si="418"/>
        <v>0</v>
      </c>
      <c r="DI189" s="12">
        <f t="shared" si="418"/>
        <v>0</v>
      </c>
      <c r="DJ189" s="12">
        <f t="shared" si="418"/>
        <v>0</v>
      </c>
      <c r="DK189" s="12">
        <f t="shared" si="418"/>
        <v>0</v>
      </c>
      <c r="DL189" s="12">
        <f t="shared" si="418"/>
        <v>0</v>
      </c>
      <c r="DM189" s="12">
        <f t="shared" si="418"/>
        <v>0</v>
      </c>
      <c r="DN189" s="12">
        <f t="shared" si="418"/>
        <v>0</v>
      </c>
      <c r="DO189" s="12">
        <f t="shared" si="418"/>
        <v>0</v>
      </c>
      <c r="DP189" s="12">
        <f t="shared" si="418"/>
        <v>0</v>
      </c>
      <c r="DQ189" s="12">
        <f t="shared" si="418"/>
        <v>0</v>
      </c>
      <c r="DR189" s="12">
        <f t="shared" si="418"/>
        <v>0</v>
      </c>
      <c r="DS189" s="12">
        <f t="shared" si="418"/>
        <v>0</v>
      </c>
      <c r="DT189" s="12">
        <f t="shared" si="418"/>
        <v>0</v>
      </c>
      <c r="DU189" s="12">
        <f t="shared" si="418"/>
        <v>0</v>
      </c>
      <c r="DV189" s="12">
        <f t="shared" si="418"/>
        <v>0</v>
      </c>
      <c r="DW189" s="12">
        <f t="shared" si="418"/>
        <v>0</v>
      </c>
      <c r="DX189" s="12">
        <f t="shared" si="418"/>
        <v>0</v>
      </c>
      <c r="DY189" s="12">
        <f t="shared" si="418"/>
        <v>0</v>
      </c>
      <c r="DZ189" s="12">
        <f t="shared" si="418"/>
        <v>0</v>
      </c>
      <c r="EA189" s="12">
        <f t="shared" si="418"/>
        <v>0</v>
      </c>
      <c r="EB189" s="12">
        <f t="shared" si="418"/>
        <v>0</v>
      </c>
      <c r="EC189" s="12">
        <f t="shared" si="418"/>
        <v>0</v>
      </c>
      <c r="ED189" s="12">
        <f t="shared" si="418"/>
        <v>0</v>
      </c>
      <c r="EE189" s="12">
        <f t="shared" si="418"/>
        <v>0</v>
      </c>
      <c r="EF189" s="12">
        <f t="shared" si="418"/>
        <v>0</v>
      </c>
      <c r="EG189" s="12">
        <f t="shared" ref="EG189:FH189" si="419">-IF(AND(EG$6&gt;=EDATE($F$34,-12),EG$6&lt;$F$34),$F$56*$F$29/12,0)</f>
        <v>0</v>
      </c>
      <c r="EH189" s="12">
        <f t="shared" si="419"/>
        <v>0</v>
      </c>
      <c r="EI189" s="12">
        <f t="shared" si="419"/>
        <v>0</v>
      </c>
      <c r="EJ189" s="12">
        <f t="shared" si="419"/>
        <v>0</v>
      </c>
      <c r="EK189" s="12">
        <f t="shared" si="419"/>
        <v>0</v>
      </c>
      <c r="EL189" s="12">
        <f t="shared" si="419"/>
        <v>0</v>
      </c>
      <c r="EM189" s="12">
        <f t="shared" si="419"/>
        <v>0</v>
      </c>
      <c r="EN189" s="12">
        <f t="shared" si="419"/>
        <v>0</v>
      </c>
      <c r="EO189" s="12">
        <f t="shared" si="419"/>
        <v>0</v>
      </c>
      <c r="EP189" s="12">
        <f t="shared" si="419"/>
        <v>0</v>
      </c>
      <c r="EQ189" s="12">
        <f t="shared" si="419"/>
        <v>0</v>
      </c>
      <c r="ER189" s="12">
        <f t="shared" si="419"/>
        <v>0</v>
      </c>
      <c r="ES189" s="12">
        <f t="shared" si="419"/>
        <v>0</v>
      </c>
      <c r="ET189" s="12">
        <f t="shared" si="419"/>
        <v>0</v>
      </c>
      <c r="EU189" s="12">
        <f t="shared" si="419"/>
        <v>0</v>
      </c>
      <c r="EV189" s="12">
        <f t="shared" si="419"/>
        <v>0</v>
      </c>
      <c r="EW189" s="12">
        <f t="shared" si="419"/>
        <v>0</v>
      </c>
      <c r="EX189" s="12">
        <f t="shared" si="419"/>
        <v>0</v>
      </c>
      <c r="EY189" s="12">
        <f t="shared" si="419"/>
        <v>0</v>
      </c>
      <c r="EZ189" s="12">
        <f t="shared" si="419"/>
        <v>0</v>
      </c>
      <c r="FA189" s="12">
        <f t="shared" si="419"/>
        <v>0</v>
      </c>
      <c r="FB189" s="12">
        <f t="shared" si="419"/>
        <v>0</v>
      </c>
      <c r="FC189" s="12">
        <f t="shared" si="419"/>
        <v>0</v>
      </c>
      <c r="FD189" s="12">
        <f t="shared" si="419"/>
        <v>0</v>
      </c>
      <c r="FE189" s="12">
        <f t="shared" si="419"/>
        <v>0</v>
      </c>
      <c r="FF189" s="12">
        <f t="shared" si="419"/>
        <v>0</v>
      </c>
      <c r="FG189" s="12">
        <f t="shared" si="419"/>
        <v>0</v>
      </c>
      <c r="FH189" s="12">
        <f t="shared" si="419"/>
        <v>0</v>
      </c>
    </row>
    <row r="190" spans="1:164" x14ac:dyDescent="0.2">
      <c r="A190" s="10"/>
      <c r="B190" s="10"/>
      <c r="C190" s="10" t="s">
        <v>911</v>
      </c>
      <c r="D190" s="10"/>
      <c r="E190" s="10"/>
      <c r="F190" s="10"/>
      <c r="G190" s="10"/>
      <c r="H190" s="12">
        <f t="shared" si="404"/>
        <v>-1670.283999999999</v>
      </c>
      <c r="I190" s="12">
        <f t="shared" ref="I190:AN190" si="420">-IF(AND(I186&gt;=1,I186&lt;=$F$31),$F$57*$F$29/$F$31,0)</f>
        <v>0</v>
      </c>
      <c r="J190" s="12">
        <f t="shared" si="420"/>
        <v>0</v>
      </c>
      <c r="K190" s="12">
        <f t="shared" si="420"/>
        <v>0</v>
      </c>
      <c r="L190" s="12">
        <f t="shared" si="420"/>
        <v>0</v>
      </c>
      <c r="M190" s="12">
        <f t="shared" si="420"/>
        <v>0</v>
      </c>
      <c r="N190" s="12">
        <f t="shared" si="420"/>
        <v>0</v>
      </c>
      <c r="O190" s="12">
        <f t="shared" si="420"/>
        <v>0</v>
      </c>
      <c r="P190" s="12">
        <f t="shared" si="420"/>
        <v>0</v>
      </c>
      <c r="Q190" s="12">
        <f t="shared" si="420"/>
        <v>0</v>
      </c>
      <c r="R190" s="12">
        <f t="shared" si="420"/>
        <v>0</v>
      </c>
      <c r="S190" s="12">
        <f t="shared" si="420"/>
        <v>0</v>
      </c>
      <c r="T190" s="12">
        <f t="shared" si="420"/>
        <v>0</v>
      </c>
      <c r="U190" s="12">
        <f t="shared" si="420"/>
        <v>0</v>
      </c>
      <c r="V190" s="12">
        <f t="shared" si="420"/>
        <v>0</v>
      </c>
      <c r="W190" s="12">
        <f t="shared" si="420"/>
        <v>0</v>
      </c>
      <c r="X190" s="12">
        <f t="shared" si="420"/>
        <v>0</v>
      </c>
      <c r="Y190" s="12">
        <f t="shared" si="420"/>
        <v>0</v>
      </c>
      <c r="Z190" s="12">
        <f t="shared" si="420"/>
        <v>0</v>
      </c>
      <c r="AA190" s="12">
        <f t="shared" si="420"/>
        <v>0</v>
      </c>
      <c r="AB190" s="12">
        <f t="shared" si="420"/>
        <v>0</v>
      </c>
      <c r="AC190" s="12">
        <f t="shared" si="420"/>
        <v>0</v>
      </c>
      <c r="AD190" s="12">
        <f t="shared" si="420"/>
        <v>0</v>
      </c>
      <c r="AE190" s="12">
        <f t="shared" si="420"/>
        <v>0</v>
      </c>
      <c r="AF190" s="12">
        <f t="shared" si="420"/>
        <v>0</v>
      </c>
      <c r="AG190" s="12">
        <f t="shared" si="420"/>
        <v>0</v>
      </c>
      <c r="AH190" s="12">
        <f t="shared" si="420"/>
        <v>0</v>
      </c>
      <c r="AI190" s="12">
        <f t="shared" si="420"/>
        <v>0</v>
      </c>
      <c r="AJ190" s="12">
        <f t="shared" si="420"/>
        <v>0</v>
      </c>
      <c r="AK190" s="12">
        <f t="shared" si="420"/>
        <v>0</v>
      </c>
      <c r="AL190" s="12">
        <f t="shared" si="420"/>
        <v>0</v>
      </c>
      <c r="AM190" s="12">
        <f t="shared" si="420"/>
        <v>0</v>
      </c>
      <c r="AN190" s="12">
        <f t="shared" si="420"/>
        <v>0</v>
      </c>
      <c r="AO190" s="12">
        <f t="shared" ref="AO190:BT190" si="421">-IF(AND(AO186&gt;=1,AO186&lt;=$F$31),$F$57*$F$29/$F$31,0)</f>
        <v>0</v>
      </c>
      <c r="AP190" s="12">
        <f t="shared" si="421"/>
        <v>0</v>
      </c>
      <c r="AQ190" s="12">
        <f t="shared" si="421"/>
        <v>0</v>
      </c>
      <c r="AR190" s="12">
        <f t="shared" si="421"/>
        <v>0</v>
      </c>
      <c r="AS190" s="12">
        <f t="shared" si="421"/>
        <v>0</v>
      </c>
      <c r="AT190" s="12">
        <f t="shared" si="421"/>
        <v>0</v>
      </c>
      <c r="AU190" s="12">
        <f t="shared" si="421"/>
        <v>0</v>
      </c>
      <c r="AV190" s="12">
        <f t="shared" si="421"/>
        <v>0</v>
      </c>
      <c r="AW190" s="12">
        <f t="shared" si="421"/>
        <v>0</v>
      </c>
      <c r="AX190" s="12">
        <f t="shared" si="421"/>
        <v>0</v>
      </c>
      <c r="AY190" s="12">
        <f t="shared" si="421"/>
        <v>0</v>
      </c>
      <c r="AZ190" s="12">
        <f t="shared" si="421"/>
        <v>0</v>
      </c>
      <c r="BA190" s="12">
        <f t="shared" si="421"/>
        <v>0</v>
      </c>
      <c r="BB190" s="12">
        <f t="shared" si="421"/>
        <v>0</v>
      </c>
      <c r="BC190" s="12">
        <f t="shared" si="421"/>
        <v>0</v>
      </c>
      <c r="BD190" s="12">
        <f t="shared" si="421"/>
        <v>0</v>
      </c>
      <c r="BE190" s="12">
        <f t="shared" si="421"/>
        <v>0</v>
      </c>
      <c r="BF190" s="12">
        <f t="shared" si="421"/>
        <v>0</v>
      </c>
      <c r="BG190" s="12">
        <f t="shared" si="421"/>
        <v>0</v>
      </c>
      <c r="BH190" s="12">
        <f t="shared" si="421"/>
        <v>0</v>
      </c>
      <c r="BI190" s="12">
        <f t="shared" si="421"/>
        <v>0</v>
      </c>
      <c r="BJ190" s="12">
        <f t="shared" si="421"/>
        <v>0</v>
      </c>
      <c r="BK190" s="12">
        <f t="shared" si="421"/>
        <v>0</v>
      </c>
      <c r="BL190" s="12">
        <f t="shared" si="421"/>
        <v>0</v>
      </c>
      <c r="BM190" s="12">
        <f t="shared" si="421"/>
        <v>0</v>
      </c>
      <c r="BN190" s="12">
        <f t="shared" si="421"/>
        <v>0</v>
      </c>
      <c r="BO190" s="12">
        <f t="shared" si="421"/>
        <v>0</v>
      </c>
      <c r="BP190" s="12">
        <f t="shared" si="421"/>
        <v>0</v>
      </c>
      <c r="BQ190" s="12">
        <f t="shared" si="421"/>
        <v>0</v>
      </c>
      <c r="BR190" s="12">
        <f t="shared" si="421"/>
        <v>0</v>
      </c>
      <c r="BS190" s="12">
        <f t="shared" si="421"/>
        <v>0</v>
      </c>
      <c r="BT190" s="12">
        <f t="shared" si="421"/>
        <v>0</v>
      </c>
      <c r="BU190" s="12">
        <f t="shared" ref="BU190:CZ190" si="422">-IF(AND(BU186&gt;=1,BU186&lt;=$F$31),$F$57*$F$29/$F$31,0)</f>
        <v>0</v>
      </c>
      <c r="BV190" s="12">
        <f t="shared" si="422"/>
        <v>0</v>
      </c>
      <c r="BW190" s="12">
        <f t="shared" si="422"/>
        <v>-46.396777777777771</v>
      </c>
      <c r="BX190" s="12">
        <f t="shared" si="422"/>
        <v>-46.396777777777771</v>
      </c>
      <c r="BY190" s="12">
        <f t="shared" si="422"/>
        <v>-46.396777777777771</v>
      </c>
      <c r="BZ190" s="12">
        <f t="shared" si="422"/>
        <v>-46.396777777777771</v>
      </c>
      <c r="CA190" s="12">
        <f t="shared" si="422"/>
        <v>-46.396777777777771</v>
      </c>
      <c r="CB190" s="12">
        <f t="shared" si="422"/>
        <v>-46.396777777777771</v>
      </c>
      <c r="CC190" s="12">
        <f t="shared" si="422"/>
        <v>-46.396777777777771</v>
      </c>
      <c r="CD190" s="12">
        <f t="shared" si="422"/>
        <v>-46.396777777777771</v>
      </c>
      <c r="CE190" s="12">
        <f t="shared" si="422"/>
        <v>-46.396777777777771</v>
      </c>
      <c r="CF190" s="12">
        <f t="shared" si="422"/>
        <v>-46.396777777777771</v>
      </c>
      <c r="CG190" s="12">
        <f t="shared" si="422"/>
        <v>-46.396777777777771</v>
      </c>
      <c r="CH190" s="12">
        <f t="shared" si="422"/>
        <v>-46.396777777777771</v>
      </c>
      <c r="CI190" s="12">
        <f t="shared" si="422"/>
        <v>-46.396777777777771</v>
      </c>
      <c r="CJ190" s="12">
        <f t="shared" si="422"/>
        <v>-46.396777777777771</v>
      </c>
      <c r="CK190" s="12">
        <f t="shared" si="422"/>
        <v>-46.396777777777771</v>
      </c>
      <c r="CL190" s="12">
        <f t="shared" si="422"/>
        <v>-46.396777777777771</v>
      </c>
      <c r="CM190" s="12">
        <f t="shared" si="422"/>
        <v>-46.396777777777771</v>
      </c>
      <c r="CN190" s="12">
        <f t="shared" si="422"/>
        <v>-46.396777777777771</v>
      </c>
      <c r="CO190" s="12">
        <f t="shared" si="422"/>
        <v>-46.396777777777771</v>
      </c>
      <c r="CP190" s="12">
        <f t="shared" si="422"/>
        <v>-46.396777777777771</v>
      </c>
      <c r="CQ190" s="12">
        <f t="shared" si="422"/>
        <v>-46.396777777777771</v>
      </c>
      <c r="CR190" s="12">
        <f t="shared" si="422"/>
        <v>-46.396777777777771</v>
      </c>
      <c r="CS190" s="12">
        <f t="shared" si="422"/>
        <v>-46.396777777777771</v>
      </c>
      <c r="CT190" s="12">
        <f t="shared" si="422"/>
        <v>-46.396777777777771</v>
      </c>
      <c r="CU190" s="12">
        <f t="shared" si="422"/>
        <v>-46.396777777777771</v>
      </c>
      <c r="CV190" s="12">
        <f t="shared" si="422"/>
        <v>-46.396777777777771</v>
      </c>
      <c r="CW190" s="12">
        <f t="shared" si="422"/>
        <v>-46.396777777777771</v>
      </c>
      <c r="CX190" s="12">
        <f t="shared" si="422"/>
        <v>-46.396777777777771</v>
      </c>
      <c r="CY190" s="12">
        <f t="shared" si="422"/>
        <v>-46.396777777777771</v>
      </c>
      <c r="CZ190" s="12">
        <f t="shared" si="422"/>
        <v>-46.396777777777771</v>
      </c>
      <c r="DA190" s="12">
        <f t="shared" ref="DA190:EF190" si="423">-IF(AND(DA186&gt;=1,DA186&lt;=$F$31),$F$57*$F$29/$F$31,0)</f>
        <v>-46.396777777777771</v>
      </c>
      <c r="DB190" s="12">
        <f t="shared" si="423"/>
        <v>-46.396777777777771</v>
      </c>
      <c r="DC190" s="12">
        <f t="shared" si="423"/>
        <v>-46.396777777777771</v>
      </c>
      <c r="DD190" s="12">
        <f t="shared" si="423"/>
        <v>-46.396777777777771</v>
      </c>
      <c r="DE190" s="12">
        <f t="shared" si="423"/>
        <v>-46.396777777777771</v>
      </c>
      <c r="DF190" s="12">
        <f t="shared" si="423"/>
        <v>-46.396777777777771</v>
      </c>
      <c r="DG190" s="12">
        <f t="shared" si="423"/>
        <v>0</v>
      </c>
      <c r="DH190" s="12">
        <f t="shared" si="423"/>
        <v>0</v>
      </c>
      <c r="DI190" s="12">
        <f t="shared" si="423"/>
        <v>0</v>
      </c>
      <c r="DJ190" s="12">
        <f t="shared" si="423"/>
        <v>0</v>
      </c>
      <c r="DK190" s="12">
        <f t="shared" si="423"/>
        <v>0</v>
      </c>
      <c r="DL190" s="12">
        <f t="shared" si="423"/>
        <v>0</v>
      </c>
      <c r="DM190" s="12">
        <f t="shared" si="423"/>
        <v>0</v>
      </c>
      <c r="DN190" s="12">
        <f t="shared" si="423"/>
        <v>0</v>
      </c>
      <c r="DO190" s="12">
        <f t="shared" si="423"/>
        <v>0</v>
      </c>
      <c r="DP190" s="12">
        <f t="shared" si="423"/>
        <v>0</v>
      </c>
      <c r="DQ190" s="12">
        <f t="shared" si="423"/>
        <v>0</v>
      </c>
      <c r="DR190" s="12">
        <f t="shared" si="423"/>
        <v>0</v>
      </c>
      <c r="DS190" s="12">
        <f t="shared" si="423"/>
        <v>0</v>
      </c>
      <c r="DT190" s="12">
        <f t="shared" si="423"/>
        <v>0</v>
      </c>
      <c r="DU190" s="12">
        <f t="shared" si="423"/>
        <v>0</v>
      </c>
      <c r="DV190" s="12">
        <f t="shared" si="423"/>
        <v>0</v>
      </c>
      <c r="DW190" s="12">
        <f t="shared" si="423"/>
        <v>0</v>
      </c>
      <c r="DX190" s="12">
        <f t="shared" si="423"/>
        <v>0</v>
      </c>
      <c r="DY190" s="12">
        <f t="shared" si="423"/>
        <v>0</v>
      </c>
      <c r="DZ190" s="12">
        <f t="shared" si="423"/>
        <v>0</v>
      </c>
      <c r="EA190" s="12">
        <f t="shared" si="423"/>
        <v>0</v>
      </c>
      <c r="EB190" s="12">
        <f t="shared" si="423"/>
        <v>0</v>
      </c>
      <c r="EC190" s="12">
        <f t="shared" si="423"/>
        <v>0</v>
      </c>
      <c r="ED190" s="12">
        <f t="shared" si="423"/>
        <v>0</v>
      </c>
      <c r="EE190" s="12">
        <f t="shared" si="423"/>
        <v>0</v>
      </c>
      <c r="EF190" s="12">
        <f t="shared" si="423"/>
        <v>0</v>
      </c>
      <c r="EG190" s="12">
        <f t="shared" ref="EG190:FH190" si="424">-IF(AND(EG186&gt;=1,EG186&lt;=$F$31),$F$57*$F$29/$F$31,0)</f>
        <v>0</v>
      </c>
      <c r="EH190" s="12">
        <f t="shared" si="424"/>
        <v>0</v>
      </c>
      <c r="EI190" s="12">
        <f t="shared" si="424"/>
        <v>0</v>
      </c>
      <c r="EJ190" s="12">
        <f t="shared" si="424"/>
        <v>0</v>
      </c>
      <c r="EK190" s="12">
        <f t="shared" si="424"/>
        <v>0</v>
      </c>
      <c r="EL190" s="12">
        <f t="shared" si="424"/>
        <v>0</v>
      </c>
      <c r="EM190" s="12">
        <f t="shared" si="424"/>
        <v>0</v>
      </c>
      <c r="EN190" s="12">
        <f t="shared" si="424"/>
        <v>0</v>
      </c>
      <c r="EO190" s="12">
        <f t="shared" si="424"/>
        <v>0</v>
      </c>
      <c r="EP190" s="12">
        <f t="shared" si="424"/>
        <v>0</v>
      </c>
      <c r="EQ190" s="12">
        <f t="shared" si="424"/>
        <v>0</v>
      </c>
      <c r="ER190" s="12">
        <f t="shared" si="424"/>
        <v>0</v>
      </c>
      <c r="ES190" s="12">
        <f t="shared" si="424"/>
        <v>0</v>
      </c>
      <c r="ET190" s="12">
        <f t="shared" si="424"/>
        <v>0</v>
      </c>
      <c r="EU190" s="12">
        <f t="shared" si="424"/>
        <v>0</v>
      </c>
      <c r="EV190" s="12">
        <f t="shared" si="424"/>
        <v>0</v>
      </c>
      <c r="EW190" s="12">
        <f t="shared" si="424"/>
        <v>0</v>
      </c>
      <c r="EX190" s="12">
        <f t="shared" si="424"/>
        <v>0</v>
      </c>
      <c r="EY190" s="12">
        <f t="shared" si="424"/>
        <v>0</v>
      </c>
      <c r="EZ190" s="12">
        <f t="shared" si="424"/>
        <v>0</v>
      </c>
      <c r="FA190" s="12">
        <f t="shared" si="424"/>
        <v>0</v>
      </c>
      <c r="FB190" s="12">
        <f t="shared" si="424"/>
        <v>0</v>
      </c>
      <c r="FC190" s="12">
        <f t="shared" si="424"/>
        <v>0</v>
      </c>
      <c r="FD190" s="12">
        <f t="shared" si="424"/>
        <v>0</v>
      </c>
      <c r="FE190" s="12">
        <f t="shared" si="424"/>
        <v>0</v>
      </c>
      <c r="FF190" s="12">
        <f t="shared" si="424"/>
        <v>0</v>
      </c>
      <c r="FG190" s="12">
        <f t="shared" si="424"/>
        <v>0</v>
      </c>
      <c r="FH190" s="12">
        <f t="shared" si="424"/>
        <v>0</v>
      </c>
    </row>
    <row r="191" spans="1:164" x14ac:dyDescent="0.2">
      <c r="A191" s="10"/>
      <c r="B191" s="10"/>
      <c r="C191" s="10" t="s">
        <v>912</v>
      </c>
      <c r="D191" s="10"/>
      <c r="E191" s="10"/>
      <c r="F191" s="10"/>
      <c r="G191" s="10"/>
      <c r="H191" s="12">
        <f t="shared" si="404"/>
        <v>-5010.8519999999999</v>
      </c>
      <c r="I191" s="12">
        <f t="shared" ref="I191:AN191" si="425">-I187*$F$58*$F$29</f>
        <v>0</v>
      </c>
      <c r="J191" s="12">
        <f t="shared" si="425"/>
        <v>0</v>
      </c>
      <c r="K191" s="12">
        <f t="shared" si="425"/>
        <v>0</v>
      </c>
      <c r="L191" s="12">
        <f t="shared" si="425"/>
        <v>0</v>
      </c>
      <c r="M191" s="12">
        <f t="shared" si="425"/>
        <v>0</v>
      </c>
      <c r="N191" s="12">
        <f t="shared" si="425"/>
        <v>0</v>
      </c>
      <c r="O191" s="12">
        <f t="shared" si="425"/>
        <v>0</v>
      </c>
      <c r="P191" s="12">
        <f t="shared" si="425"/>
        <v>0</v>
      </c>
      <c r="Q191" s="12">
        <f t="shared" si="425"/>
        <v>0</v>
      </c>
      <c r="R191" s="12">
        <f t="shared" si="425"/>
        <v>0</v>
      </c>
      <c r="S191" s="12">
        <f t="shared" si="425"/>
        <v>0</v>
      </c>
      <c r="T191" s="12">
        <f t="shared" si="425"/>
        <v>0</v>
      </c>
      <c r="U191" s="12">
        <f t="shared" si="425"/>
        <v>0</v>
      </c>
      <c r="V191" s="12">
        <f t="shared" si="425"/>
        <v>0</v>
      </c>
      <c r="W191" s="12">
        <f t="shared" si="425"/>
        <v>0</v>
      </c>
      <c r="X191" s="12">
        <f t="shared" si="425"/>
        <v>0</v>
      </c>
      <c r="Y191" s="12">
        <f t="shared" si="425"/>
        <v>0</v>
      </c>
      <c r="Z191" s="12">
        <f t="shared" si="425"/>
        <v>0</v>
      </c>
      <c r="AA191" s="12">
        <f t="shared" si="425"/>
        <v>0</v>
      </c>
      <c r="AB191" s="12">
        <f t="shared" si="425"/>
        <v>0</v>
      </c>
      <c r="AC191" s="12">
        <f t="shared" si="425"/>
        <v>0</v>
      </c>
      <c r="AD191" s="12">
        <f t="shared" si="425"/>
        <v>0</v>
      </c>
      <c r="AE191" s="12">
        <f t="shared" si="425"/>
        <v>0</v>
      </c>
      <c r="AF191" s="12">
        <f t="shared" si="425"/>
        <v>0</v>
      </c>
      <c r="AG191" s="12">
        <f t="shared" si="425"/>
        <v>0</v>
      </c>
      <c r="AH191" s="12">
        <f t="shared" si="425"/>
        <v>0</v>
      </c>
      <c r="AI191" s="12">
        <f t="shared" si="425"/>
        <v>0</v>
      </c>
      <c r="AJ191" s="12">
        <f t="shared" si="425"/>
        <v>0</v>
      </c>
      <c r="AK191" s="12">
        <f t="shared" si="425"/>
        <v>0</v>
      </c>
      <c r="AL191" s="12">
        <f t="shared" si="425"/>
        <v>0</v>
      </c>
      <c r="AM191" s="12">
        <f t="shared" si="425"/>
        <v>0</v>
      </c>
      <c r="AN191" s="12">
        <f t="shared" si="425"/>
        <v>0</v>
      </c>
      <c r="AO191" s="12">
        <f t="shared" ref="AO191:BT191" si="426">-AO187*$F$58*$F$29</f>
        <v>0</v>
      </c>
      <c r="AP191" s="12">
        <f t="shared" si="426"/>
        <v>0</v>
      </c>
      <c r="AQ191" s="12">
        <f t="shared" si="426"/>
        <v>0</v>
      </c>
      <c r="AR191" s="12">
        <f t="shared" si="426"/>
        <v>0</v>
      </c>
      <c r="AS191" s="12">
        <f t="shared" si="426"/>
        <v>0</v>
      </c>
      <c r="AT191" s="12">
        <f t="shared" si="426"/>
        <v>0</v>
      </c>
      <c r="AU191" s="12">
        <f t="shared" si="426"/>
        <v>0</v>
      </c>
      <c r="AV191" s="12">
        <f t="shared" si="426"/>
        <v>0</v>
      </c>
      <c r="AW191" s="12">
        <f t="shared" si="426"/>
        <v>0</v>
      </c>
      <c r="AX191" s="12">
        <f t="shared" si="426"/>
        <v>0</v>
      </c>
      <c r="AY191" s="12">
        <f t="shared" si="426"/>
        <v>0</v>
      </c>
      <c r="AZ191" s="12">
        <f t="shared" si="426"/>
        <v>0</v>
      </c>
      <c r="BA191" s="12">
        <f t="shared" si="426"/>
        <v>0</v>
      </c>
      <c r="BB191" s="12">
        <f t="shared" si="426"/>
        <v>0</v>
      </c>
      <c r="BC191" s="12">
        <f t="shared" si="426"/>
        <v>0</v>
      </c>
      <c r="BD191" s="12">
        <f t="shared" si="426"/>
        <v>0</v>
      </c>
      <c r="BE191" s="12">
        <f t="shared" si="426"/>
        <v>0</v>
      </c>
      <c r="BF191" s="12">
        <f t="shared" si="426"/>
        <v>0</v>
      </c>
      <c r="BG191" s="12">
        <f t="shared" si="426"/>
        <v>0</v>
      </c>
      <c r="BH191" s="12">
        <f t="shared" si="426"/>
        <v>0</v>
      </c>
      <c r="BI191" s="12">
        <f t="shared" si="426"/>
        <v>0</v>
      </c>
      <c r="BJ191" s="12">
        <f t="shared" si="426"/>
        <v>0</v>
      </c>
      <c r="BK191" s="12">
        <f t="shared" si="426"/>
        <v>0</v>
      </c>
      <c r="BL191" s="12">
        <f t="shared" si="426"/>
        <v>0</v>
      </c>
      <c r="BM191" s="12">
        <f t="shared" si="426"/>
        <v>0</v>
      </c>
      <c r="BN191" s="12">
        <f t="shared" si="426"/>
        <v>0</v>
      </c>
      <c r="BO191" s="12">
        <f t="shared" si="426"/>
        <v>0</v>
      </c>
      <c r="BP191" s="12">
        <f t="shared" si="426"/>
        <v>0</v>
      </c>
      <c r="BQ191" s="12">
        <f t="shared" si="426"/>
        <v>0</v>
      </c>
      <c r="BR191" s="12">
        <f t="shared" si="426"/>
        <v>0</v>
      </c>
      <c r="BS191" s="12">
        <f t="shared" si="426"/>
        <v>0</v>
      </c>
      <c r="BT191" s="12">
        <f t="shared" si="426"/>
        <v>0</v>
      </c>
      <c r="BU191" s="12">
        <f t="shared" ref="BU191:CZ191" si="427">-BU187*$F$58*$F$29</f>
        <v>0</v>
      </c>
      <c r="BV191" s="12">
        <f t="shared" si="427"/>
        <v>0</v>
      </c>
      <c r="BW191" s="12">
        <f t="shared" si="427"/>
        <v>-9.533902338790357</v>
      </c>
      <c r="BX191" s="12">
        <f t="shared" si="427"/>
        <v>-28.529148262845244</v>
      </c>
      <c r="BY191" s="12">
        <f t="shared" si="427"/>
        <v>-47.307270142249187</v>
      </c>
      <c r="BZ191" s="12">
        <f t="shared" si="427"/>
        <v>-65.725355130959898</v>
      </c>
      <c r="CA191" s="12">
        <f t="shared" si="427"/>
        <v>-83.643230481069537</v>
      </c>
      <c r="CB191" s="12">
        <f t="shared" si="427"/>
        <v>-100.92453034205477</v>
      </c>
      <c r="CC191" s="12">
        <f t="shared" si="427"/>
        <v>-117.43773358723945</v>
      </c>
      <c r="CD191" s="12">
        <f t="shared" si="427"/>
        <v>-133.05716476898286</v>
      </c>
      <c r="CE191" s="12">
        <f t="shared" si="427"/>
        <v>-147.66395058472162</v>
      </c>
      <c r="CF191" s="12">
        <f t="shared" si="427"/>
        <v>-161.14692457457951</v>
      </c>
      <c r="CG191" s="12">
        <f t="shared" si="427"/>
        <v>-173.40347316525143</v>
      </c>
      <c r="CH191" s="12">
        <f t="shared" si="427"/>
        <v>-184.34031662125599</v>
      </c>
      <c r="CI191" s="12">
        <f t="shared" si="427"/>
        <v>-193.87421896004636</v>
      </c>
      <c r="CJ191" s="12">
        <f t="shared" si="427"/>
        <v>-201.9326214280967</v>
      </c>
      <c r="CK191" s="12">
        <f t="shared" si="427"/>
        <v>-208.45419471682871</v>
      </c>
      <c r="CL191" s="12">
        <f t="shared" si="427"/>
        <v>-213.38930571568153</v>
      </c>
      <c r="CM191" s="12">
        <f t="shared" si="427"/>
        <v>-216.7003952500524</v>
      </c>
      <c r="CN191" s="12">
        <f t="shared" si="427"/>
        <v>-218.36226392929422</v>
      </c>
      <c r="CO191" s="12">
        <f t="shared" si="427"/>
        <v>-218.36226392929422</v>
      </c>
      <c r="CP191" s="12">
        <f t="shared" si="427"/>
        <v>-216.7003952500524</v>
      </c>
      <c r="CQ191" s="12">
        <f t="shared" si="427"/>
        <v>-213.38930571568156</v>
      </c>
      <c r="CR191" s="12">
        <f t="shared" si="427"/>
        <v>-208.45419471682871</v>
      </c>
      <c r="CS191" s="12">
        <f t="shared" si="427"/>
        <v>-201.9326214280967</v>
      </c>
      <c r="CT191" s="12">
        <f t="shared" si="427"/>
        <v>-193.87421896004636</v>
      </c>
      <c r="CU191" s="12">
        <f t="shared" si="427"/>
        <v>-184.34031662125602</v>
      </c>
      <c r="CV191" s="12">
        <f t="shared" si="427"/>
        <v>-173.40347316525143</v>
      </c>
      <c r="CW191" s="12">
        <f t="shared" si="427"/>
        <v>-161.14692457457951</v>
      </c>
      <c r="CX191" s="12">
        <f t="shared" si="427"/>
        <v>-147.66395058472168</v>
      </c>
      <c r="CY191" s="12">
        <f t="shared" si="427"/>
        <v>-133.05716476898294</v>
      </c>
      <c r="CZ191" s="12">
        <f t="shared" si="427"/>
        <v>-117.43773358723948</v>
      </c>
      <c r="DA191" s="12">
        <f t="shared" ref="DA191:EF191" si="428">-DA187*$F$58*$F$29</f>
        <v>-100.92453034205477</v>
      </c>
      <c r="DB191" s="12">
        <f t="shared" si="428"/>
        <v>-83.643230481069537</v>
      </c>
      <c r="DC191" s="12">
        <f t="shared" si="428"/>
        <v>-65.72535513095994</v>
      </c>
      <c r="DD191" s="12">
        <f t="shared" si="428"/>
        <v>-47.307270142249244</v>
      </c>
      <c r="DE191" s="12">
        <f t="shared" si="428"/>
        <v>-28.529148262845244</v>
      </c>
      <c r="DF191" s="12">
        <f t="shared" si="428"/>
        <v>-9.533902338790373</v>
      </c>
      <c r="DG191" s="12">
        <f t="shared" si="428"/>
        <v>0</v>
      </c>
      <c r="DH191" s="12">
        <f t="shared" si="428"/>
        <v>0</v>
      </c>
      <c r="DI191" s="12">
        <f t="shared" si="428"/>
        <v>0</v>
      </c>
      <c r="DJ191" s="12">
        <f t="shared" si="428"/>
        <v>0</v>
      </c>
      <c r="DK191" s="12">
        <f t="shared" si="428"/>
        <v>0</v>
      </c>
      <c r="DL191" s="12">
        <f t="shared" si="428"/>
        <v>0</v>
      </c>
      <c r="DM191" s="12">
        <f t="shared" si="428"/>
        <v>0</v>
      </c>
      <c r="DN191" s="12">
        <f t="shared" si="428"/>
        <v>0</v>
      </c>
      <c r="DO191" s="12">
        <f t="shared" si="428"/>
        <v>0</v>
      </c>
      <c r="DP191" s="12">
        <f t="shared" si="428"/>
        <v>0</v>
      </c>
      <c r="DQ191" s="12">
        <f t="shared" si="428"/>
        <v>0</v>
      </c>
      <c r="DR191" s="12">
        <f t="shared" si="428"/>
        <v>0</v>
      </c>
      <c r="DS191" s="12">
        <f t="shared" si="428"/>
        <v>0</v>
      </c>
      <c r="DT191" s="12">
        <f t="shared" si="428"/>
        <v>0</v>
      </c>
      <c r="DU191" s="12">
        <f t="shared" si="428"/>
        <v>0</v>
      </c>
      <c r="DV191" s="12">
        <f t="shared" si="428"/>
        <v>0</v>
      </c>
      <c r="DW191" s="12">
        <f t="shared" si="428"/>
        <v>0</v>
      </c>
      <c r="DX191" s="12">
        <f t="shared" si="428"/>
        <v>0</v>
      </c>
      <c r="DY191" s="12">
        <f t="shared" si="428"/>
        <v>0</v>
      </c>
      <c r="DZ191" s="12">
        <f t="shared" si="428"/>
        <v>0</v>
      </c>
      <c r="EA191" s="12">
        <f t="shared" si="428"/>
        <v>0</v>
      </c>
      <c r="EB191" s="12">
        <f t="shared" si="428"/>
        <v>0</v>
      </c>
      <c r="EC191" s="12">
        <f t="shared" si="428"/>
        <v>0</v>
      </c>
      <c r="ED191" s="12">
        <f t="shared" si="428"/>
        <v>0</v>
      </c>
      <c r="EE191" s="12">
        <f t="shared" si="428"/>
        <v>0</v>
      </c>
      <c r="EF191" s="12">
        <f t="shared" si="428"/>
        <v>0</v>
      </c>
      <c r="EG191" s="12">
        <f t="shared" ref="EG191:FH191" si="429">-EG187*$F$58*$F$29</f>
        <v>0</v>
      </c>
      <c r="EH191" s="12">
        <f t="shared" si="429"/>
        <v>0</v>
      </c>
      <c r="EI191" s="12">
        <f t="shared" si="429"/>
        <v>0</v>
      </c>
      <c r="EJ191" s="12">
        <f t="shared" si="429"/>
        <v>0</v>
      </c>
      <c r="EK191" s="12">
        <f t="shared" si="429"/>
        <v>0</v>
      </c>
      <c r="EL191" s="12">
        <f t="shared" si="429"/>
        <v>0</v>
      </c>
      <c r="EM191" s="12">
        <f t="shared" si="429"/>
        <v>0</v>
      </c>
      <c r="EN191" s="12">
        <f t="shared" si="429"/>
        <v>0</v>
      </c>
      <c r="EO191" s="12">
        <f t="shared" si="429"/>
        <v>0</v>
      </c>
      <c r="EP191" s="12">
        <f t="shared" si="429"/>
        <v>0</v>
      </c>
      <c r="EQ191" s="12">
        <f t="shared" si="429"/>
        <v>0</v>
      </c>
      <c r="ER191" s="12">
        <f t="shared" si="429"/>
        <v>0</v>
      </c>
      <c r="ES191" s="12">
        <f t="shared" si="429"/>
        <v>0</v>
      </c>
      <c r="ET191" s="12">
        <f t="shared" si="429"/>
        <v>0</v>
      </c>
      <c r="EU191" s="12">
        <f t="shared" si="429"/>
        <v>0</v>
      </c>
      <c r="EV191" s="12">
        <f t="shared" si="429"/>
        <v>0</v>
      </c>
      <c r="EW191" s="12">
        <f t="shared" si="429"/>
        <v>0</v>
      </c>
      <c r="EX191" s="12">
        <f t="shared" si="429"/>
        <v>0</v>
      </c>
      <c r="EY191" s="12">
        <f t="shared" si="429"/>
        <v>0</v>
      </c>
      <c r="EZ191" s="12">
        <f t="shared" si="429"/>
        <v>0</v>
      </c>
      <c r="FA191" s="12">
        <f t="shared" si="429"/>
        <v>0</v>
      </c>
      <c r="FB191" s="12">
        <f t="shared" si="429"/>
        <v>0</v>
      </c>
      <c r="FC191" s="12">
        <f t="shared" si="429"/>
        <v>0</v>
      </c>
      <c r="FD191" s="12">
        <f t="shared" si="429"/>
        <v>0</v>
      </c>
      <c r="FE191" s="12">
        <f t="shared" si="429"/>
        <v>0</v>
      </c>
      <c r="FF191" s="12">
        <f t="shared" si="429"/>
        <v>0</v>
      </c>
      <c r="FG191" s="12">
        <f t="shared" si="429"/>
        <v>0</v>
      </c>
      <c r="FH191" s="12">
        <f t="shared" si="429"/>
        <v>0</v>
      </c>
    </row>
    <row r="192" spans="1:164" x14ac:dyDescent="0.2">
      <c r="A192" s="10"/>
      <c r="B192" s="10"/>
      <c r="C192" s="10" t="s">
        <v>913</v>
      </c>
      <c r="D192" s="10"/>
      <c r="E192" s="10"/>
      <c r="F192" s="10"/>
      <c r="G192" s="10"/>
      <c r="H192" s="12">
        <f t="shared" si="404"/>
        <v>0</v>
      </c>
      <c r="I192" s="12">
        <f t="shared" ref="I192:AN192" si="430">-IF(AND(I186&gt;=1,I186&lt;=$F$31),$F$59*$F$23/$F$31,0)</f>
        <v>0</v>
      </c>
      <c r="J192" s="12">
        <f t="shared" si="430"/>
        <v>0</v>
      </c>
      <c r="K192" s="12">
        <f t="shared" si="430"/>
        <v>0</v>
      </c>
      <c r="L192" s="12">
        <f t="shared" si="430"/>
        <v>0</v>
      </c>
      <c r="M192" s="12">
        <f t="shared" si="430"/>
        <v>0</v>
      </c>
      <c r="N192" s="12">
        <f t="shared" si="430"/>
        <v>0</v>
      </c>
      <c r="O192" s="12">
        <f t="shared" si="430"/>
        <v>0</v>
      </c>
      <c r="P192" s="12">
        <f t="shared" si="430"/>
        <v>0</v>
      </c>
      <c r="Q192" s="12">
        <f t="shared" si="430"/>
        <v>0</v>
      </c>
      <c r="R192" s="12">
        <f t="shared" si="430"/>
        <v>0</v>
      </c>
      <c r="S192" s="12">
        <f t="shared" si="430"/>
        <v>0</v>
      </c>
      <c r="T192" s="12">
        <f t="shared" si="430"/>
        <v>0</v>
      </c>
      <c r="U192" s="12">
        <f t="shared" si="430"/>
        <v>0</v>
      </c>
      <c r="V192" s="12">
        <f t="shared" si="430"/>
        <v>0</v>
      </c>
      <c r="W192" s="12">
        <f t="shared" si="430"/>
        <v>0</v>
      </c>
      <c r="X192" s="12">
        <f t="shared" si="430"/>
        <v>0</v>
      </c>
      <c r="Y192" s="12">
        <f t="shared" si="430"/>
        <v>0</v>
      </c>
      <c r="Z192" s="12">
        <f t="shared" si="430"/>
        <v>0</v>
      </c>
      <c r="AA192" s="12">
        <f t="shared" si="430"/>
        <v>0</v>
      </c>
      <c r="AB192" s="12">
        <f t="shared" si="430"/>
        <v>0</v>
      </c>
      <c r="AC192" s="12">
        <f t="shared" si="430"/>
        <v>0</v>
      </c>
      <c r="AD192" s="12">
        <f t="shared" si="430"/>
        <v>0</v>
      </c>
      <c r="AE192" s="12">
        <f t="shared" si="430"/>
        <v>0</v>
      </c>
      <c r="AF192" s="12">
        <f t="shared" si="430"/>
        <v>0</v>
      </c>
      <c r="AG192" s="12">
        <f t="shared" si="430"/>
        <v>0</v>
      </c>
      <c r="AH192" s="12">
        <f t="shared" si="430"/>
        <v>0</v>
      </c>
      <c r="AI192" s="12">
        <f t="shared" si="430"/>
        <v>0</v>
      </c>
      <c r="AJ192" s="12">
        <f t="shared" si="430"/>
        <v>0</v>
      </c>
      <c r="AK192" s="12">
        <f t="shared" si="430"/>
        <v>0</v>
      </c>
      <c r="AL192" s="12">
        <f t="shared" si="430"/>
        <v>0</v>
      </c>
      <c r="AM192" s="12">
        <f t="shared" si="430"/>
        <v>0</v>
      </c>
      <c r="AN192" s="12">
        <f t="shared" si="430"/>
        <v>0</v>
      </c>
      <c r="AO192" s="12">
        <f t="shared" ref="AO192:BT192" si="431">-IF(AND(AO186&gt;=1,AO186&lt;=$F$31),$F$59*$F$23/$F$31,0)</f>
        <v>0</v>
      </c>
      <c r="AP192" s="12">
        <f t="shared" si="431"/>
        <v>0</v>
      </c>
      <c r="AQ192" s="12">
        <f t="shared" si="431"/>
        <v>0</v>
      </c>
      <c r="AR192" s="12">
        <f t="shared" si="431"/>
        <v>0</v>
      </c>
      <c r="AS192" s="12">
        <f t="shared" si="431"/>
        <v>0</v>
      </c>
      <c r="AT192" s="12">
        <f t="shared" si="431"/>
        <v>0</v>
      </c>
      <c r="AU192" s="12">
        <f t="shared" si="431"/>
        <v>0</v>
      </c>
      <c r="AV192" s="12">
        <f t="shared" si="431"/>
        <v>0</v>
      </c>
      <c r="AW192" s="12">
        <f t="shared" si="431"/>
        <v>0</v>
      </c>
      <c r="AX192" s="12">
        <f t="shared" si="431"/>
        <v>0</v>
      </c>
      <c r="AY192" s="12">
        <f t="shared" si="431"/>
        <v>0</v>
      </c>
      <c r="AZ192" s="12">
        <f t="shared" si="431"/>
        <v>0</v>
      </c>
      <c r="BA192" s="12">
        <f t="shared" si="431"/>
        <v>0</v>
      </c>
      <c r="BB192" s="12">
        <f t="shared" si="431"/>
        <v>0</v>
      </c>
      <c r="BC192" s="12">
        <f t="shared" si="431"/>
        <v>0</v>
      </c>
      <c r="BD192" s="12">
        <f t="shared" si="431"/>
        <v>0</v>
      </c>
      <c r="BE192" s="12">
        <f t="shared" si="431"/>
        <v>0</v>
      </c>
      <c r="BF192" s="12">
        <f t="shared" si="431"/>
        <v>0</v>
      </c>
      <c r="BG192" s="12">
        <f t="shared" si="431"/>
        <v>0</v>
      </c>
      <c r="BH192" s="12">
        <f t="shared" si="431"/>
        <v>0</v>
      </c>
      <c r="BI192" s="12">
        <f t="shared" si="431"/>
        <v>0</v>
      </c>
      <c r="BJ192" s="12">
        <f t="shared" si="431"/>
        <v>0</v>
      </c>
      <c r="BK192" s="12">
        <f t="shared" si="431"/>
        <v>0</v>
      </c>
      <c r="BL192" s="12">
        <f t="shared" si="431"/>
        <v>0</v>
      </c>
      <c r="BM192" s="12">
        <f t="shared" si="431"/>
        <v>0</v>
      </c>
      <c r="BN192" s="12">
        <f t="shared" si="431"/>
        <v>0</v>
      </c>
      <c r="BO192" s="12">
        <f t="shared" si="431"/>
        <v>0</v>
      </c>
      <c r="BP192" s="12">
        <f t="shared" si="431"/>
        <v>0</v>
      </c>
      <c r="BQ192" s="12">
        <f t="shared" si="431"/>
        <v>0</v>
      </c>
      <c r="BR192" s="12">
        <f t="shared" si="431"/>
        <v>0</v>
      </c>
      <c r="BS192" s="12">
        <f t="shared" si="431"/>
        <v>0</v>
      </c>
      <c r="BT192" s="12">
        <f t="shared" si="431"/>
        <v>0</v>
      </c>
      <c r="BU192" s="12">
        <f t="shared" ref="BU192:CZ192" si="432">-IF(AND(BU186&gt;=1,BU186&lt;=$F$31),$F$59*$F$23/$F$31,0)</f>
        <v>0</v>
      </c>
      <c r="BV192" s="12">
        <f t="shared" si="432"/>
        <v>0</v>
      </c>
      <c r="BW192" s="12">
        <f t="shared" si="432"/>
        <v>0</v>
      </c>
      <c r="BX192" s="12">
        <f t="shared" si="432"/>
        <v>0</v>
      </c>
      <c r="BY192" s="12">
        <f t="shared" si="432"/>
        <v>0</v>
      </c>
      <c r="BZ192" s="12">
        <f t="shared" si="432"/>
        <v>0</v>
      </c>
      <c r="CA192" s="12">
        <f t="shared" si="432"/>
        <v>0</v>
      </c>
      <c r="CB192" s="12">
        <f t="shared" si="432"/>
        <v>0</v>
      </c>
      <c r="CC192" s="12">
        <f t="shared" si="432"/>
        <v>0</v>
      </c>
      <c r="CD192" s="12">
        <f t="shared" si="432"/>
        <v>0</v>
      </c>
      <c r="CE192" s="12">
        <f t="shared" si="432"/>
        <v>0</v>
      </c>
      <c r="CF192" s="12">
        <f t="shared" si="432"/>
        <v>0</v>
      </c>
      <c r="CG192" s="12">
        <f t="shared" si="432"/>
        <v>0</v>
      </c>
      <c r="CH192" s="12">
        <f t="shared" si="432"/>
        <v>0</v>
      </c>
      <c r="CI192" s="12">
        <f t="shared" si="432"/>
        <v>0</v>
      </c>
      <c r="CJ192" s="12">
        <f t="shared" si="432"/>
        <v>0</v>
      </c>
      <c r="CK192" s="12">
        <f t="shared" si="432"/>
        <v>0</v>
      </c>
      <c r="CL192" s="12">
        <f t="shared" si="432"/>
        <v>0</v>
      </c>
      <c r="CM192" s="12">
        <f t="shared" si="432"/>
        <v>0</v>
      </c>
      <c r="CN192" s="12">
        <f t="shared" si="432"/>
        <v>0</v>
      </c>
      <c r="CO192" s="12">
        <f t="shared" si="432"/>
        <v>0</v>
      </c>
      <c r="CP192" s="12">
        <f t="shared" si="432"/>
        <v>0</v>
      </c>
      <c r="CQ192" s="12">
        <f t="shared" si="432"/>
        <v>0</v>
      </c>
      <c r="CR192" s="12">
        <f t="shared" si="432"/>
        <v>0</v>
      </c>
      <c r="CS192" s="12">
        <f t="shared" si="432"/>
        <v>0</v>
      </c>
      <c r="CT192" s="12">
        <f t="shared" si="432"/>
        <v>0</v>
      </c>
      <c r="CU192" s="12">
        <f t="shared" si="432"/>
        <v>0</v>
      </c>
      <c r="CV192" s="12">
        <f t="shared" si="432"/>
        <v>0</v>
      </c>
      <c r="CW192" s="12">
        <f t="shared" si="432"/>
        <v>0</v>
      </c>
      <c r="CX192" s="12">
        <f t="shared" si="432"/>
        <v>0</v>
      </c>
      <c r="CY192" s="12">
        <f t="shared" si="432"/>
        <v>0</v>
      </c>
      <c r="CZ192" s="12">
        <f t="shared" si="432"/>
        <v>0</v>
      </c>
      <c r="DA192" s="12">
        <f t="shared" ref="DA192:EF192" si="433">-IF(AND(DA186&gt;=1,DA186&lt;=$F$31),$F$59*$F$23/$F$31,0)</f>
        <v>0</v>
      </c>
      <c r="DB192" s="12">
        <f t="shared" si="433"/>
        <v>0</v>
      </c>
      <c r="DC192" s="12">
        <f t="shared" si="433"/>
        <v>0</v>
      </c>
      <c r="DD192" s="12">
        <f t="shared" si="433"/>
        <v>0</v>
      </c>
      <c r="DE192" s="12">
        <f t="shared" si="433"/>
        <v>0</v>
      </c>
      <c r="DF192" s="12">
        <f t="shared" si="433"/>
        <v>0</v>
      </c>
      <c r="DG192" s="12">
        <f t="shared" si="433"/>
        <v>0</v>
      </c>
      <c r="DH192" s="12">
        <f t="shared" si="433"/>
        <v>0</v>
      </c>
      <c r="DI192" s="12">
        <f t="shared" si="433"/>
        <v>0</v>
      </c>
      <c r="DJ192" s="12">
        <f t="shared" si="433"/>
        <v>0</v>
      </c>
      <c r="DK192" s="12">
        <f t="shared" si="433"/>
        <v>0</v>
      </c>
      <c r="DL192" s="12">
        <f t="shared" si="433"/>
        <v>0</v>
      </c>
      <c r="DM192" s="12">
        <f t="shared" si="433"/>
        <v>0</v>
      </c>
      <c r="DN192" s="12">
        <f t="shared" si="433"/>
        <v>0</v>
      </c>
      <c r="DO192" s="12">
        <f t="shared" si="433"/>
        <v>0</v>
      </c>
      <c r="DP192" s="12">
        <f t="shared" si="433"/>
        <v>0</v>
      </c>
      <c r="DQ192" s="12">
        <f t="shared" si="433"/>
        <v>0</v>
      </c>
      <c r="DR192" s="12">
        <f t="shared" si="433"/>
        <v>0</v>
      </c>
      <c r="DS192" s="12">
        <f t="shared" si="433"/>
        <v>0</v>
      </c>
      <c r="DT192" s="12">
        <f t="shared" si="433"/>
        <v>0</v>
      </c>
      <c r="DU192" s="12">
        <f t="shared" si="433"/>
        <v>0</v>
      </c>
      <c r="DV192" s="12">
        <f t="shared" si="433"/>
        <v>0</v>
      </c>
      <c r="DW192" s="12">
        <f t="shared" si="433"/>
        <v>0</v>
      </c>
      <c r="DX192" s="12">
        <f t="shared" si="433"/>
        <v>0</v>
      </c>
      <c r="DY192" s="12">
        <f t="shared" si="433"/>
        <v>0</v>
      </c>
      <c r="DZ192" s="12">
        <f t="shared" si="433"/>
        <v>0</v>
      </c>
      <c r="EA192" s="12">
        <f t="shared" si="433"/>
        <v>0</v>
      </c>
      <c r="EB192" s="12">
        <f t="shared" si="433"/>
        <v>0</v>
      </c>
      <c r="EC192" s="12">
        <f t="shared" si="433"/>
        <v>0</v>
      </c>
      <c r="ED192" s="12">
        <f t="shared" si="433"/>
        <v>0</v>
      </c>
      <c r="EE192" s="12">
        <f t="shared" si="433"/>
        <v>0</v>
      </c>
      <c r="EF192" s="12">
        <f t="shared" si="433"/>
        <v>0</v>
      </c>
      <c r="EG192" s="12">
        <f t="shared" ref="EG192:FH192" si="434">-IF(AND(EG186&gt;=1,EG186&lt;=$F$31),$F$59*$F$23/$F$31,0)</f>
        <v>0</v>
      </c>
      <c r="EH192" s="12">
        <f t="shared" si="434"/>
        <v>0</v>
      </c>
      <c r="EI192" s="12">
        <f t="shared" si="434"/>
        <v>0</v>
      </c>
      <c r="EJ192" s="12">
        <f t="shared" si="434"/>
        <v>0</v>
      </c>
      <c r="EK192" s="12">
        <f t="shared" si="434"/>
        <v>0</v>
      </c>
      <c r="EL192" s="12">
        <f t="shared" si="434"/>
        <v>0</v>
      </c>
      <c r="EM192" s="12">
        <f t="shared" si="434"/>
        <v>0</v>
      </c>
      <c r="EN192" s="12">
        <f t="shared" si="434"/>
        <v>0</v>
      </c>
      <c r="EO192" s="12">
        <f t="shared" si="434"/>
        <v>0</v>
      </c>
      <c r="EP192" s="12">
        <f t="shared" si="434"/>
        <v>0</v>
      </c>
      <c r="EQ192" s="12">
        <f t="shared" si="434"/>
        <v>0</v>
      </c>
      <c r="ER192" s="12">
        <f t="shared" si="434"/>
        <v>0</v>
      </c>
      <c r="ES192" s="12">
        <f t="shared" si="434"/>
        <v>0</v>
      </c>
      <c r="ET192" s="12">
        <f t="shared" si="434"/>
        <v>0</v>
      </c>
      <c r="EU192" s="12">
        <f t="shared" si="434"/>
        <v>0</v>
      </c>
      <c r="EV192" s="12">
        <f t="shared" si="434"/>
        <v>0</v>
      </c>
      <c r="EW192" s="12">
        <f t="shared" si="434"/>
        <v>0</v>
      </c>
      <c r="EX192" s="12">
        <f t="shared" si="434"/>
        <v>0</v>
      </c>
      <c r="EY192" s="12">
        <f t="shared" si="434"/>
        <v>0</v>
      </c>
      <c r="EZ192" s="12">
        <f t="shared" si="434"/>
        <v>0</v>
      </c>
      <c r="FA192" s="12">
        <f t="shared" si="434"/>
        <v>0</v>
      </c>
      <c r="FB192" s="12">
        <f t="shared" si="434"/>
        <v>0</v>
      </c>
      <c r="FC192" s="12">
        <f t="shared" si="434"/>
        <v>0</v>
      </c>
      <c r="FD192" s="12">
        <f t="shared" si="434"/>
        <v>0</v>
      </c>
      <c r="FE192" s="12">
        <f t="shared" si="434"/>
        <v>0</v>
      </c>
      <c r="FF192" s="12">
        <f t="shared" si="434"/>
        <v>0</v>
      </c>
      <c r="FG192" s="12">
        <f t="shared" si="434"/>
        <v>0</v>
      </c>
      <c r="FH192" s="12">
        <f t="shared" si="434"/>
        <v>0</v>
      </c>
    </row>
    <row r="193" spans="1:164" x14ac:dyDescent="0.2">
      <c r="A193" s="10"/>
      <c r="B193" s="10"/>
      <c r="C193" s="10" t="s">
        <v>914</v>
      </c>
      <c r="D193" s="10"/>
      <c r="E193" s="10"/>
      <c r="F193" s="10"/>
      <c r="G193" s="10"/>
      <c r="H193" s="12">
        <f t="shared" si="404"/>
        <v>-7239.3650000000016</v>
      </c>
      <c r="I193" s="12">
        <f t="shared" ref="I193:AN193" si="435">-IF(AND(I$6&gt;=EDATE($F$32,-3),I$6&lt;EDATE($F$32,15)),$F$60*$F$23/18,0)</f>
        <v>0</v>
      </c>
      <c r="J193" s="12">
        <f t="shared" si="435"/>
        <v>0</v>
      </c>
      <c r="K193" s="12">
        <f t="shared" si="435"/>
        <v>0</v>
      </c>
      <c r="L193" s="12">
        <f t="shared" si="435"/>
        <v>0</v>
      </c>
      <c r="M193" s="12">
        <f t="shared" si="435"/>
        <v>0</v>
      </c>
      <c r="N193" s="12">
        <f t="shared" si="435"/>
        <v>0</v>
      </c>
      <c r="O193" s="12">
        <f t="shared" si="435"/>
        <v>0</v>
      </c>
      <c r="P193" s="12">
        <f t="shared" si="435"/>
        <v>0</v>
      </c>
      <c r="Q193" s="12">
        <f t="shared" si="435"/>
        <v>0</v>
      </c>
      <c r="R193" s="12">
        <f t="shared" si="435"/>
        <v>0</v>
      </c>
      <c r="S193" s="12">
        <f t="shared" si="435"/>
        <v>0</v>
      </c>
      <c r="T193" s="12">
        <f t="shared" si="435"/>
        <v>0</v>
      </c>
      <c r="U193" s="12">
        <f t="shared" si="435"/>
        <v>0</v>
      </c>
      <c r="V193" s="12">
        <f t="shared" si="435"/>
        <v>0</v>
      </c>
      <c r="W193" s="12">
        <f t="shared" si="435"/>
        <v>0</v>
      </c>
      <c r="X193" s="12">
        <f t="shared" si="435"/>
        <v>0</v>
      </c>
      <c r="Y193" s="12">
        <f t="shared" si="435"/>
        <v>0</v>
      </c>
      <c r="Z193" s="12">
        <f t="shared" si="435"/>
        <v>0</v>
      </c>
      <c r="AA193" s="12">
        <f t="shared" si="435"/>
        <v>0</v>
      </c>
      <c r="AB193" s="12">
        <f t="shared" si="435"/>
        <v>0</v>
      </c>
      <c r="AC193" s="12">
        <f t="shared" si="435"/>
        <v>0</v>
      </c>
      <c r="AD193" s="12">
        <f t="shared" si="435"/>
        <v>0</v>
      </c>
      <c r="AE193" s="12">
        <f t="shared" si="435"/>
        <v>0</v>
      </c>
      <c r="AF193" s="12">
        <f t="shared" si="435"/>
        <v>0</v>
      </c>
      <c r="AG193" s="12">
        <f t="shared" si="435"/>
        <v>0</v>
      </c>
      <c r="AH193" s="12">
        <f t="shared" si="435"/>
        <v>0</v>
      </c>
      <c r="AI193" s="12">
        <f t="shared" si="435"/>
        <v>0</v>
      </c>
      <c r="AJ193" s="12">
        <f t="shared" si="435"/>
        <v>0</v>
      </c>
      <c r="AK193" s="12">
        <f t="shared" si="435"/>
        <v>0</v>
      </c>
      <c r="AL193" s="12">
        <f t="shared" si="435"/>
        <v>0</v>
      </c>
      <c r="AM193" s="12">
        <f t="shared" si="435"/>
        <v>0</v>
      </c>
      <c r="AN193" s="12">
        <f t="shared" si="435"/>
        <v>0</v>
      </c>
      <c r="AO193" s="12">
        <f t="shared" ref="AO193:BT193" si="436">-IF(AND(AO$6&gt;=EDATE($F$32,-3),AO$6&lt;EDATE($F$32,15)),$F$60*$F$23/18,0)</f>
        <v>0</v>
      </c>
      <c r="AP193" s="12">
        <f t="shared" si="436"/>
        <v>0</v>
      </c>
      <c r="AQ193" s="12">
        <f t="shared" si="436"/>
        <v>0</v>
      </c>
      <c r="AR193" s="12">
        <f t="shared" si="436"/>
        <v>0</v>
      </c>
      <c r="AS193" s="12">
        <f t="shared" si="436"/>
        <v>0</v>
      </c>
      <c r="AT193" s="12">
        <f t="shared" si="436"/>
        <v>0</v>
      </c>
      <c r="AU193" s="12">
        <f t="shared" si="436"/>
        <v>0</v>
      </c>
      <c r="AV193" s="12">
        <f t="shared" si="436"/>
        <v>0</v>
      </c>
      <c r="AW193" s="12">
        <f t="shared" si="436"/>
        <v>0</v>
      </c>
      <c r="AX193" s="12">
        <f t="shared" si="436"/>
        <v>0</v>
      </c>
      <c r="AY193" s="12">
        <f t="shared" si="436"/>
        <v>0</v>
      </c>
      <c r="AZ193" s="12">
        <f t="shared" si="436"/>
        <v>0</v>
      </c>
      <c r="BA193" s="12">
        <f t="shared" si="436"/>
        <v>0</v>
      </c>
      <c r="BB193" s="12">
        <f t="shared" si="436"/>
        <v>0</v>
      </c>
      <c r="BC193" s="12">
        <f t="shared" si="436"/>
        <v>0</v>
      </c>
      <c r="BD193" s="12">
        <f t="shared" si="436"/>
        <v>0</v>
      </c>
      <c r="BE193" s="12">
        <f t="shared" si="436"/>
        <v>0</v>
      </c>
      <c r="BF193" s="12">
        <f t="shared" si="436"/>
        <v>0</v>
      </c>
      <c r="BG193" s="12">
        <f t="shared" si="436"/>
        <v>0</v>
      </c>
      <c r="BH193" s="12">
        <f t="shared" si="436"/>
        <v>0</v>
      </c>
      <c r="BI193" s="12">
        <f t="shared" si="436"/>
        <v>0</v>
      </c>
      <c r="BJ193" s="12">
        <f t="shared" si="436"/>
        <v>0</v>
      </c>
      <c r="BK193" s="12">
        <f t="shared" si="436"/>
        <v>0</v>
      </c>
      <c r="BL193" s="12">
        <f t="shared" si="436"/>
        <v>0</v>
      </c>
      <c r="BM193" s="12">
        <f t="shared" si="436"/>
        <v>0</v>
      </c>
      <c r="BN193" s="12">
        <f t="shared" si="436"/>
        <v>-402.18694444444441</v>
      </c>
      <c r="BO193" s="12">
        <f t="shared" si="436"/>
        <v>-402.18694444444441</v>
      </c>
      <c r="BP193" s="12">
        <f t="shared" si="436"/>
        <v>-402.18694444444441</v>
      </c>
      <c r="BQ193" s="12">
        <f t="shared" si="436"/>
        <v>-402.18694444444441</v>
      </c>
      <c r="BR193" s="12">
        <f t="shared" si="436"/>
        <v>-402.18694444444441</v>
      </c>
      <c r="BS193" s="12">
        <f t="shared" si="436"/>
        <v>-402.18694444444441</v>
      </c>
      <c r="BT193" s="12">
        <f t="shared" si="436"/>
        <v>-402.18694444444441</v>
      </c>
      <c r="BU193" s="12">
        <f t="shared" ref="BU193:CZ193" si="437">-IF(AND(BU$6&gt;=EDATE($F$32,-3),BU$6&lt;EDATE($F$32,15)),$F$60*$F$23/18,0)</f>
        <v>-402.18694444444441</v>
      </c>
      <c r="BV193" s="12">
        <f t="shared" si="437"/>
        <v>-402.18694444444441</v>
      </c>
      <c r="BW193" s="12">
        <f t="shared" si="437"/>
        <v>-402.18694444444441</v>
      </c>
      <c r="BX193" s="12">
        <f t="shared" si="437"/>
        <v>-402.18694444444441</v>
      </c>
      <c r="BY193" s="12">
        <f t="shared" si="437"/>
        <v>-402.18694444444441</v>
      </c>
      <c r="BZ193" s="12">
        <f t="shared" si="437"/>
        <v>-402.18694444444441</v>
      </c>
      <c r="CA193" s="12">
        <f t="shared" si="437"/>
        <v>-402.18694444444441</v>
      </c>
      <c r="CB193" s="12">
        <f t="shared" si="437"/>
        <v>-402.18694444444441</v>
      </c>
      <c r="CC193" s="12">
        <f t="shared" si="437"/>
        <v>-402.18694444444441</v>
      </c>
      <c r="CD193" s="12">
        <f t="shared" si="437"/>
        <v>-402.18694444444441</v>
      </c>
      <c r="CE193" s="12">
        <f t="shared" si="437"/>
        <v>-402.18694444444441</v>
      </c>
      <c r="CF193" s="12">
        <f t="shared" si="437"/>
        <v>0</v>
      </c>
      <c r="CG193" s="12">
        <f t="shared" si="437"/>
        <v>0</v>
      </c>
      <c r="CH193" s="12">
        <f t="shared" si="437"/>
        <v>0</v>
      </c>
      <c r="CI193" s="12">
        <f t="shared" si="437"/>
        <v>0</v>
      </c>
      <c r="CJ193" s="12">
        <f t="shared" si="437"/>
        <v>0</v>
      </c>
      <c r="CK193" s="12">
        <f t="shared" si="437"/>
        <v>0</v>
      </c>
      <c r="CL193" s="12">
        <f t="shared" si="437"/>
        <v>0</v>
      </c>
      <c r="CM193" s="12">
        <f t="shared" si="437"/>
        <v>0</v>
      </c>
      <c r="CN193" s="12">
        <f t="shared" si="437"/>
        <v>0</v>
      </c>
      <c r="CO193" s="12">
        <f t="shared" si="437"/>
        <v>0</v>
      </c>
      <c r="CP193" s="12">
        <f t="shared" si="437"/>
        <v>0</v>
      </c>
      <c r="CQ193" s="12">
        <f t="shared" si="437"/>
        <v>0</v>
      </c>
      <c r="CR193" s="12">
        <f t="shared" si="437"/>
        <v>0</v>
      </c>
      <c r="CS193" s="12">
        <f t="shared" si="437"/>
        <v>0</v>
      </c>
      <c r="CT193" s="12">
        <f t="shared" si="437"/>
        <v>0</v>
      </c>
      <c r="CU193" s="12">
        <f t="shared" si="437"/>
        <v>0</v>
      </c>
      <c r="CV193" s="12">
        <f t="shared" si="437"/>
        <v>0</v>
      </c>
      <c r="CW193" s="12">
        <f t="shared" si="437"/>
        <v>0</v>
      </c>
      <c r="CX193" s="12">
        <f t="shared" si="437"/>
        <v>0</v>
      </c>
      <c r="CY193" s="12">
        <f t="shared" si="437"/>
        <v>0</v>
      </c>
      <c r="CZ193" s="12">
        <f t="shared" si="437"/>
        <v>0</v>
      </c>
      <c r="DA193" s="12">
        <f t="shared" ref="DA193:EF193" si="438">-IF(AND(DA$6&gt;=EDATE($F$32,-3),DA$6&lt;EDATE($F$32,15)),$F$60*$F$23/18,0)</f>
        <v>0</v>
      </c>
      <c r="DB193" s="12">
        <f t="shared" si="438"/>
        <v>0</v>
      </c>
      <c r="DC193" s="12">
        <f t="shared" si="438"/>
        <v>0</v>
      </c>
      <c r="DD193" s="12">
        <f t="shared" si="438"/>
        <v>0</v>
      </c>
      <c r="DE193" s="12">
        <f t="shared" si="438"/>
        <v>0</v>
      </c>
      <c r="DF193" s="12">
        <f t="shared" si="438"/>
        <v>0</v>
      </c>
      <c r="DG193" s="12">
        <f t="shared" si="438"/>
        <v>0</v>
      </c>
      <c r="DH193" s="12">
        <f t="shared" si="438"/>
        <v>0</v>
      </c>
      <c r="DI193" s="12">
        <f t="shared" si="438"/>
        <v>0</v>
      </c>
      <c r="DJ193" s="12">
        <f t="shared" si="438"/>
        <v>0</v>
      </c>
      <c r="DK193" s="12">
        <f t="shared" si="438"/>
        <v>0</v>
      </c>
      <c r="DL193" s="12">
        <f t="shared" si="438"/>
        <v>0</v>
      </c>
      <c r="DM193" s="12">
        <f t="shared" si="438"/>
        <v>0</v>
      </c>
      <c r="DN193" s="12">
        <f t="shared" si="438"/>
        <v>0</v>
      </c>
      <c r="DO193" s="12">
        <f t="shared" si="438"/>
        <v>0</v>
      </c>
      <c r="DP193" s="12">
        <f t="shared" si="438"/>
        <v>0</v>
      </c>
      <c r="DQ193" s="12">
        <f t="shared" si="438"/>
        <v>0</v>
      </c>
      <c r="DR193" s="12">
        <f t="shared" si="438"/>
        <v>0</v>
      </c>
      <c r="DS193" s="12">
        <f t="shared" si="438"/>
        <v>0</v>
      </c>
      <c r="DT193" s="12">
        <f t="shared" si="438"/>
        <v>0</v>
      </c>
      <c r="DU193" s="12">
        <f t="shared" si="438"/>
        <v>0</v>
      </c>
      <c r="DV193" s="12">
        <f t="shared" si="438"/>
        <v>0</v>
      </c>
      <c r="DW193" s="12">
        <f t="shared" si="438"/>
        <v>0</v>
      </c>
      <c r="DX193" s="12">
        <f t="shared" si="438"/>
        <v>0</v>
      </c>
      <c r="DY193" s="12">
        <f t="shared" si="438"/>
        <v>0</v>
      </c>
      <c r="DZ193" s="12">
        <f t="shared" si="438"/>
        <v>0</v>
      </c>
      <c r="EA193" s="12">
        <f t="shared" si="438"/>
        <v>0</v>
      </c>
      <c r="EB193" s="12">
        <f t="shared" si="438"/>
        <v>0</v>
      </c>
      <c r="EC193" s="12">
        <f t="shared" si="438"/>
        <v>0</v>
      </c>
      <c r="ED193" s="12">
        <f t="shared" si="438"/>
        <v>0</v>
      </c>
      <c r="EE193" s="12">
        <f t="shared" si="438"/>
        <v>0</v>
      </c>
      <c r="EF193" s="12">
        <f t="shared" si="438"/>
        <v>0</v>
      </c>
      <c r="EG193" s="12">
        <f t="shared" ref="EG193:FH193" si="439">-IF(AND(EG$6&gt;=EDATE($F$32,-3),EG$6&lt;EDATE($F$32,15)),$F$60*$F$23/18,0)</f>
        <v>0</v>
      </c>
      <c r="EH193" s="12">
        <f t="shared" si="439"/>
        <v>0</v>
      </c>
      <c r="EI193" s="12">
        <f t="shared" si="439"/>
        <v>0</v>
      </c>
      <c r="EJ193" s="12">
        <f t="shared" si="439"/>
        <v>0</v>
      </c>
      <c r="EK193" s="12">
        <f t="shared" si="439"/>
        <v>0</v>
      </c>
      <c r="EL193" s="12">
        <f t="shared" si="439"/>
        <v>0</v>
      </c>
      <c r="EM193" s="12">
        <f t="shared" si="439"/>
        <v>0</v>
      </c>
      <c r="EN193" s="12">
        <f t="shared" si="439"/>
        <v>0</v>
      </c>
      <c r="EO193" s="12">
        <f t="shared" si="439"/>
        <v>0</v>
      </c>
      <c r="EP193" s="12">
        <f t="shared" si="439"/>
        <v>0</v>
      </c>
      <c r="EQ193" s="12">
        <f t="shared" si="439"/>
        <v>0</v>
      </c>
      <c r="ER193" s="12">
        <f t="shared" si="439"/>
        <v>0</v>
      </c>
      <c r="ES193" s="12">
        <f t="shared" si="439"/>
        <v>0</v>
      </c>
      <c r="ET193" s="12">
        <f t="shared" si="439"/>
        <v>0</v>
      </c>
      <c r="EU193" s="12">
        <f t="shared" si="439"/>
        <v>0</v>
      </c>
      <c r="EV193" s="12">
        <f t="shared" si="439"/>
        <v>0</v>
      </c>
      <c r="EW193" s="12">
        <f t="shared" si="439"/>
        <v>0</v>
      </c>
      <c r="EX193" s="12">
        <f t="shared" si="439"/>
        <v>0</v>
      </c>
      <c r="EY193" s="12">
        <f t="shared" si="439"/>
        <v>0</v>
      </c>
      <c r="EZ193" s="12">
        <f t="shared" si="439"/>
        <v>0</v>
      </c>
      <c r="FA193" s="12">
        <f t="shared" si="439"/>
        <v>0</v>
      </c>
      <c r="FB193" s="12">
        <f t="shared" si="439"/>
        <v>0</v>
      </c>
      <c r="FC193" s="12">
        <f t="shared" si="439"/>
        <v>0</v>
      </c>
      <c r="FD193" s="12">
        <f t="shared" si="439"/>
        <v>0</v>
      </c>
      <c r="FE193" s="12">
        <f t="shared" si="439"/>
        <v>0</v>
      </c>
      <c r="FF193" s="12">
        <f t="shared" si="439"/>
        <v>0</v>
      </c>
      <c r="FG193" s="12">
        <f t="shared" si="439"/>
        <v>0</v>
      </c>
      <c r="FH193" s="12">
        <f t="shared" si="439"/>
        <v>0</v>
      </c>
    </row>
    <row r="194" spans="1:164" x14ac:dyDescent="0.2">
      <c r="A194" s="10"/>
      <c r="B194" s="10"/>
      <c r="C194" s="10" t="s">
        <v>955</v>
      </c>
      <c r="D194" s="10"/>
      <c r="E194" s="10"/>
      <c r="F194" s="10"/>
      <c r="G194" s="10"/>
      <c r="H194" s="12">
        <f t="shared" si="404"/>
        <v>0</v>
      </c>
      <c r="I194" s="12">
        <f t="shared" ref="I194:AN194" si="440">-IF(AND(I$6&gt;=$F$32,I$6&lt;EDATE($F$32,$F$70)),$F$71/$F$70,0)</f>
        <v>0</v>
      </c>
      <c r="J194" s="12">
        <f t="shared" si="440"/>
        <v>0</v>
      </c>
      <c r="K194" s="12">
        <f t="shared" si="440"/>
        <v>0</v>
      </c>
      <c r="L194" s="12">
        <f t="shared" si="440"/>
        <v>0</v>
      </c>
      <c r="M194" s="12">
        <f t="shared" si="440"/>
        <v>0</v>
      </c>
      <c r="N194" s="12">
        <f t="shared" si="440"/>
        <v>0</v>
      </c>
      <c r="O194" s="12">
        <f t="shared" si="440"/>
        <v>0</v>
      </c>
      <c r="P194" s="12">
        <f t="shared" si="440"/>
        <v>0</v>
      </c>
      <c r="Q194" s="12">
        <f t="shared" si="440"/>
        <v>0</v>
      </c>
      <c r="R194" s="12">
        <f t="shared" si="440"/>
        <v>0</v>
      </c>
      <c r="S194" s="12">
        <f t="shared" si="440"/>
        <v>0</v>
      </c>
      <c r="T194" s="12">
        <f t="shared" si="440"/>
        <v>0</v>
      </c>
      <c r="U194" s="12">
        <f t="shared" si="440"/>
        <v>0</v>
      </c>
      <c r="V194" s="12">
        <f t="shared" si="440"/>
        <v>0</v>
      </c>
      <c r="W194" s="12">
        <f t="shared" si="440"/>
        <v>0</v>
      </c>
      <c r="X194" s="12">
        <f t="shared" si="440"/>
        <v>0</v>
      </c>
      <c r="Y194" s="12">
        <f t="shared" si="440"/>
        <v>0</v>
      </c>
      <c r="Z194" s="12">
        <f t="shared" si="440"/>
        <v>0</v>
      </c>
      <c r="AA194" s="12">
        <f t="shared" si="440"/>
        <v>0</v>
      </c>
      <c r="AB194" s="12">
        <f t="shared" si="440"/>
        <v>0</v>
      </c>
      <c r="AC194" s="12">
        <f t="shared" si="440"/>
        <v>0</v>
      </c>
      <c r="AD194" s="12">
        <f t="shared" si="440"/>
        <v>0</v>
      </c>
      <c r="AE194" s="12">
        <f t="shared" si="440"/>
        <v>0</v>
      </c>
      <c r="AF194" s="12">
        <f t="shared" si="440"/>
        <v>0</v>
      </c>
      <c r="AG194" s="12">
        <f t="shared" si="440"/>
        <v>0</v>
      </c>
      <c r="AH194" s="12">
        <f t="shared" si="440"/>
        <v>0</v>
      </c>
      <c r="AI194" s="12">
        <f t="shared" si="440"/>
        <v>0</v>
      </c>
      <c r="AJ194" s="12">
        <f t="shared" si="440"/>
        <v>0</v>
      </c>
      <c r="AK194" s="12">
        <f t="shared" si="440"/>
        <v>0</v>
      </c>
      <c r="AL194" s="12">
        <f t="shared" si="440"/>
        <v>0</v>
      </c>
      <c r="AM194" s="12">
        <f t="shared" si="440"/>
        <v>0</v>
      </c>
      <c r="AN194" s="12">
        <f t="shared" si="440"/>
        <v>0</v>
      </c>
      <c r="AO194" s="12">
        <f t="shared" ref="AO194:BT194" si="441">-IF(AND(AO$6&gt;=$F$32,AO$6&lt;EDATE($F$32,$F$70)),$F$71/$F$70,0)</f>
        <v>0</v>
      </c>
      <c r="AP194" s="12">
        <f t="shared" si="441"/>
        <v>0</v>
      </c>
      <c r="AQ194" s="12">
        <f t="shared" si="441"/>
        <v>0</v>
      </c>
      <c r="AR194" s="12">
        <f t="shared" si="441"/>
        <v>0</v>
      </c>
      <c r="AS194" s="12">
        <f t="shared" si="441"/>
        <v>0</v>
      </c>
      <c r="AT194" s="12">
        <f t="shared" si="441"/>
        <v>0</v>
      </c>
      <c r="AU194" s="12">
        <f t="shared" si="441"/>
        <v>0</v>
      </c>
      <c r="AV194" s="12">
        <f t="shared" si="441"/>
        <v>0</v>
      </c>
      <c r="AW194" s="12">
        <f t="shared" si="441"/>
        <v>0</v>
      </c>
      <c r="AX194" s="12">
        <f t="shared" si="441"/>
        <v>0</v>
      </c>
      <c r="AY194" s="12">
        <f t="shared" si="441"/>
        <v>0</v>
      </c>
      <c r="AZ194" s="12">
        <f t="shared" si="441"/>
        <v>0</v>
      </c>
      <c r="BA194" s="12">
        <f t="shared" si="441"/>
        <v>0</v>
      </c>
      <c r="BB194" s="12">
        <f t="shared" si="441"/>
        <v>0</v>
      </c>
      <c r="BC194" s="12">
        <f t="shared" si="441"/>
        <v>0</v>
      </c>
      <c r="BD194" s="12">
        <f t="shared" si="441"/>
        <v>0</v>
      </c>
      <c r="BE194" s="12">
        <f t="shared" si="441"/>
        <v>0</v>
      </c>
      <c r="BF194" s="12">
        <f t="shared" si="441"/>
        <v>0</v>
      </c>
      <c r="BG194" s="12">
        <f t="shared" si="441"/>
        <v>0</v>
      </c>
      <c r="BH194" s="12">
        <f t="shared" si="441"/>
        <v>0</v>
      </c>
      <c r="BI194" s="12">
        <f t="shared" si="441"/>
        <v>0</v>
      </c>
      <c r="BJ194" s="12">
        <f t="shared" si="441"/>
        <v>0</v>
      </c>
      <c r="BK194" s="12">
        <f t="shared" si="441"/>
        <v>0</v>
      </c>
      <c r="BL194" s="12">
        <f t="shared" si="441"/>
        <v>0</v>
      </c>
      <c r="BM194" s="12">
        <f t="shared" si="441"/>
        <v>0</v>
      </c>
      <c r="BN194" s="12">
        <f t="shared" si="441"/>
        <v>0</v>
      </c>
      <c r="BO194" s="12">
        <f t="shared" si="441"/>
        <v>0</v>
      </c>
      <c r="BP194" s="12">
        <f t="shared" si="441"/>
        <v>0</v>
      </c>
      <c r="BQ194" s="12">
        <f t="shared" si="441"/>
        <v>0</v>
      </c>
      <c r="BR194" s="12">
        <f t="shared" si="441"/>
        <v>0</v>
      </c>
      <c r="BS194" s="12">
        <f t="shared" si="441"/>
        <v>0</v>
      </c>
      <c r="BT194" s="12">
        <f t="shared" si="441"/>
        <v>0</v>
      </c>
      <c r="BU194" s="12">
        <f t="shared" ref="BU194:CZ194" si="442">-IF(AND(BU$6&gt;=$F$32,BU$6&lt;EDATE($F$32,$F$70)),$F$71/$F$70,0)</f>
        <v>0</v>
      </c>
      <c r="BV194" s="12">
        <f t="shared" si="442"/>
        <v>0</v>
      </c>
      <c r="BW194" s="12">
        <f t="shared" si="442"/>
        <v>0</v>
      </c>
      <c r="BX194" s="12">
        <f t="shared" si="442"/>
        <v>0</v>
      </c>
      <c r="BY194" s="12">
        <f t="shared" si="442"/>
        <v>0</v>
      </c>
      <c r="BZ194" s="12">
        <f t="shared" si="442"/>
        <v>0</v>
      </c>
      <c r="CA194" s="12">
        <f t="shared" si="442"/>
        <v>0</v>
      </c>
      <c r="CB194" s="12">
        <f t="shared" si="442"/>
        <v>0</v>
      </c>
      <c r="CC194" s="12">
        <f t="shared" si="442"/>
        <v>0</v>
      </c>
      <c r="CD194" s="12">
        <f t="shared" si="442"/>
        <v>0</v>
      </c>
      <c r="CE194" s="12">
        <f t="shared" si="442"/>
        <v>0</v>
      </c>
      <c r="CF194" s="12">
        <f t="shared" si="442"/>
        <v>0</v>
      </c>
      <c r="CG194" s="12">
        <f t="shared" si="442"/>
        <v>0</v>
      </c>
      <c r="CH194" s="12">
        <f t="shared" si="442"/>
        <v>0</v>
      </c>
      <c r="CI194" s="12">
        <f t="shared" si="442"/>
        <v>0</v>
      </c>
      <c r="CJ194" s="12">
        <f t="shared" si="442"/>
        <v>0</v>
      </c>
      <c r="CK194" s="12">
        <f t="shared" si="442"/>
        <v>0</v>
      </c>
      <c r="CL194" s="12">
        <f t="shared" si="442"/>
        <v>0</v>
      </c>
      <c r="CM194" s="12">
        <f t="shared" si="442"/>
        <v>0</v>
      </c>
      <c r="CN194" s="12">
        <f t="shared" si="442"/>
        <v>0</v>
      </c>
      <c r="CO194" s="12">
        <f t="shared" si="442"/>
        <v>0</v>
      </c>
      <c r="CP194" s="12">
        <f t="shared" si="442"/>
        <v>0</v>
      </c>
      <c r="CQ194" s="12">
        <f t="shared" si="442"/>
        <v>0</v>
      </c>
      <c r="CR194" s="12">
        <f t="shared" si="442"/>
        <v>0</v>
      </c>
      <c r="CS194" s="12">
        <f t="shared" si="442"/>
        <v>0</v>
      </c>
      <c r="CT194" s="12">
        <f t="shared" si="442"/>
        <v>0</v>
      </c>
      <c r="CU194" s="12">
        <f t="shared" si="442"/>
        <v>0</v>
      </c>
      <c r="CV194" s="12">
        <f t="shared" si="442"/>
        <v>0</v>
      </c>
      <c r="CW194" s="12">
        <f t="shared" si="442"/>
        <v>0</v>
      </c>
      <c r="CX194" s="12">
        <f t="shared" si="442"/>
        <v>0</v>
      </c>
      <c r="CY194" s="12">
        <f t="shared" si="442"/>
        <v>0</v>
      </c>
      <c r="CZ194" s="12">
        <f t="shared" si="442"/>
        <v>0</v>
      </c>
      <c r="DA194" s="12">
        <f t="shared" ref="DA194:EF194" si="443">-IF(AND(DA$6&gt;=$F$32,DA$6&lt;EDATE($F$32,$F$70)),$F$71/$F$70,0)</f>
        <v>0</v>
      </c>
      <c r="DB194" s="12">
        <f t="shared" si="443"/>
        <v>0</v>
      </c>
      <c r="DC194" s="12">
        <f t="shared" si="443"/>
        <v>0</v>
      </c>
      <c r="DD194" s="12">
        <f t="shared" si="443"/>
        <v>0</v>
      </c>
      <c r="DE194" s="12">
        <f t="shared" si="443"/>
        <v>0</v>
      </c>
      <c r="DF194" s="12">
        <f t="shared" si="443"/>
        <v>0</v>
      </c>
      <c r="DG194" s="12">
        <f t="shared" si="443"/>
        <v>0</v>
      </c>
      <c r="DH194" s="12">
        <f t="shared" si="443"/>
        <v>0</v>
      </c>
      <c r="DI194" s="12">
        <f t="shared" si="443"/>
        <v>0</v>
      </c>
      <c r="DJ194" s="12">
        <f t="shared" si="443"/>
        <v>0</v>
      </c>
      <c r="DK194" s="12">
        <f t="shared" si="443"/>
        <v>0</v>
      </c>
      <c r="DL194" s="12">
        <f t="shared" si="443"/>
        <v>0</v>
      </c>
      <c r="DM194" s="12">
        <f t="shared" si="443"/>
        <v>0</v>
      </c>
      <c r="DN194" s="12">
        <f t="shared" si="443"/>
        <v>0</v>
      </c>
      <c r="DO194" s="12">
        <f t="shared" si="443"/>
        <v>0</v>
      </c>
      <c r="DP194" s="12">
        <f t="shared" si="443"/>
        <v>0</v>
      </c>
      <c r="DQ194" s="12">
        <f t="shared" si="443"/>
        <v>0</v>
      </c>
      <c r="DR194" s="12">
        <f t="shared" si="443"/>
        <v>0</v>
      </c>
      <c r="DS194" s="12">
        <f t="shared" si="443"/>
        <v>0</v>
      </c>
      <c r="DT194" s="12">
        <f t="shared" si="443"/>
        <v>0</v>
      </c>
      <c r="DU194" s="12">
        <f t="shared" si="443"/>
        <v>0</v>
      </c>
      <c r="DV194" s="12">
        <f t="shared" si="443"/>
        <v>0</v>
      </c>
      <c r="DW194" s="12">
        <f t="shared" si="443"/>
        <v>0</v>
      </c>
      <c r="DX194" s="12">
        <f t="shared" si="443"/>
        <v>0</v>
      </c>
      <c r="DY194" s="12">
        <f t="shared" si="443"/>
        <v>0</v>
      </c>
      <c r="DZ194" s="12">
        <f t="shared" si="443"/>
        <v>0</v>
      </c>
      <c r="EA194" s="12">
        <f t="shared" si="443"/>
        <v>0</v>
      </c>
      <c r="EB194" s="12">
        <f t="shared" si="443"/>
        <v>0</v>
      </c>
      <c r="EC194" s="12">
        <f t="shared" si="443"/>
        <v>0</v>
      </c>
      <c r="ED194" s="12">
        <f t="shared" si="443"/>
        <v>0</v>
      </c>
      <c r="EE194" s="12">
        <f t="shared" si="443"/>
        <v>0</v>
      </c>
      <c r="EF194" s="12">
        <f t="shared" si="443"/>
        <v>0</v>
      </c>
      <c r="EG194" s="12">
        <f t="shared" ref="EG194:FH194" si="444">-IF(AND(EG$6&gt;=$F$32,EG$6&lt;EDATE($F$32,$F$70)),$F$71/$F$70,0)</f>
        <v>0</v>
      </c>
      <c r="EH194" s="12">
        <f t="shared" si="444"/>
        <v>0</v>
      </c>
      <c r="EI194" s="12">
        <f t="shared" si="444"/>
        <v>0</v>
      </c>
      <c r="EJ194" s="12">
        <f t="shared" si="444"/>
        <v>0</v>
      </c>
      <c r="EK194" s="12">
        <f t="shared" si="444"/>
        <v>0</v>
      </c>
      <c r="EL194" s="12">
        <f t="shared" si="444"/>
        <v>0</v>
      </c>
      <c r="EM194" s="12">
        <f t="shared" si="444"/>
        <v>0</v>
      </c>
      <c r="EN194" s="12">
        <f t="shared" si="444"/>
        <v>0</v>
      </c>
      <c r="EO194" s="12">
        <f t="shared" si="444"/>
        <v>0</v>
      </c>
      <c r="EP194" s="12">
        <f t="shared" si="444"/>
        <v>0</v>
      </c>
      <c r="EQ194" s="12">
        <f t="shared" si="444"/>
        <v>0</v>
      </c>
      <c r="ER194" s="12">
        <f t="shared" si="444"/>
        <v>0</v>
      </c>
      <c r="ES194" s="12">
        <f t="shared" si="444"/>
        <v>0</v>
      </c>
      <c r="ET194" s="12">
        <f t="shared" si="444"/>
        <v>0</v>
      </c>
      <c r="EU194" s="12">
        <f t="shared" si="444"/>
        <v>0</v>
      </c>
      <c r="EV194" s="12">
        <f t="shared" si="444"/>
        <v>0</v>
      </c>
      <c r="EW194" s="12">
        <f t="shared" si="444"/>
        <v>0</v>
      </c>
      <c r="EX194" s="12">
        <f t="shared" si="444"/>
        <v>0</v>
      </c>
      <c r="EY194" s="12">
        <f t="shared" si="444"/>
        <v>0</v>
      </c>
      <c r="EZ194" s="12">
        <f t="shared" si="444"/>
        <v>0</v>
      </c>
      <c r="FA194" s="12">
        <f t="shared" si="444"/>
        <v>0</v>
      </c>
      <c r="FB194" s="12">
        <f t="shared" si="444"/>
        <v>0</v>
      </c>
      <c r="FC194" s="12">
        <f t="shared" si="444"/>
        <v>0</v>
      </c>
      <c r="FD194" s="12">
        <f t="shared" si="444"/>
        <v>0</v>
      </c>
      <c r="FE194" s="12">
        <f t="shared" si="444"/>
        <v>0</v>
      </c>
      <c r="FF194" s="12">
        <f t="shared" si="444"/>
        <v>0</v>
      </c>
      <c r="FG194" s="12">
        <f t="shared" si="444"/>
        <v>0</v>
      </c>
      <c r="FH194" s="12">
        <f t="shared" si="444"/>
        <v>0</v>
      </c>
    </row>
    <row r="195" spans="1:164" x14ac:dyDescent="0.2">
      <c r="A195" s="10"/>
      <c r="B195" s="10"/>
      <c r="C195" s="238" t="s">
        <v>2</v>
      </c>
      <c r="D195" s="238"/>
      <c r="E195" s="238"/>
      <c r="F195" s="238"/>
      <c r="G195" s="238"/>
      <c r="H195" s="239">
        <f t="shared" si="404"/>
        <v>-192009.753</v>
      </c>
      <c r="I195" s="239">
        <f t="shared" ref="I195:AN195" si="445">SUM(I188:I194)</f>
        <v>0</v>
      </c>
      <c r="J195" s="239">
        <f t="shared" si="445"/>
        <v>0</v>
      </c>
      <c r="K195" s="239">
        <f t="shared" si="445"/>
        <v>0</v>
      </c>
      <c r="L195" s="239">
        <f t="shared" si="445"/>
        <v>0</v>
      </c>
      <c r="M195" s="239">
        <f t="shared" si="445"/>
        <v>0</v>
      </c>
      <c r="N195" s="239">
        <f t="shared" si="445"/>
        <v>0</v>
      </c>
      <c r="O195" s="239">
        <f t="shared" si="445"/>
        <v>0</v>
      </c>
      <c r="P195" s="239">
        <f t="shared" si="445"/>
        <v>0</v>
      </c>
      <c r="Q195" s="239">
        <f t="shared" si="445"/>
        <v>0</v>
      </c>
      <c r="R195" s="239">
        <f t="shared" si="445"/>
        <v>0</v>
      </c>
      <c r="S195" s="239">
        <f t="shared" si="445"/>
        <v>0</v>
      </c>
      <c r="T195" s="239">
        <f t="shared" si="445"/>
        <v>0</v>
      </c>
      <c r="U195" s="239">
        <f t="shared" si="445"/>
        <v>0</v>
      </c>
      <c r="V195" s="239">
        <f t="shared" si="445"/>
        <v>0</v>
      </c>
      <c r="W195" s="239">
        <f t="shared" si="445"/>
        <v>0</v>
      </c>
      <c r="X195" s="239">
        <f t="shared" si="445"/>
        <v>0</v>
      </c>
      <c r="Y195" s="239">
        <f t="shared" si="445"/>
        <v>0</v>
      </c>
      <c r="Z195" s="239">
        <f t="shared" si="445"/>
        <v>0</v>
      </c>
      <c r="AA195" s="239">
        <f t="shared" si="445"/>
        <v>0</v>
      </c>
      <c r="AB195" s="239">
        <f t="shared" si="445"/>
        <v>0</v>
      </c>
      <c r="AC195" s="239">
        <f t="shared" si="445"/>
        <v>0</v>
      </c>
      <c r="AD195" s="239">
        <f t="shared" si="445"/>
        <v>0</v>
      </c>
      <c r="AE195" s="239">
        <f t="shared" si="445"/>
        <v>0</v>
      </c>
      <c r="AF195" s="239">
        <f t="shared" si="445"/>
        <v>0</v>
      </c>
      <c r="AG195" s="239">
        <f t="shared" si="445"/>
        <v>0</v>
      </c>
      <c r="AH195" s="239">
        <f t="shared" si="445"/>
        <v>0</v>
      </c>
      <c r="AI195" s="239">
        <f t="shared" si="445"/>
        <v>0</v>
      </c>
      <c r="AJ195" s="239">
        <f t="shared" si="445"/>
        <v>0</v>
      </c>
      <c r="AK195" s="239">
        <f t="shared" si="445"/>
        <v>0</v>
      </c>
      <c r="AL195" s="239">
        <f t="shared" si="445"/>
        <v>0</v>
      </c>
      <c r="AM195" s="239">
        <f t="shared" si="445"/>
        <v>0</v>
      </c>
      <c r="AN195" s="239">
        <f t="shared" si="445"/>
        <v>0</v>
      </c>
      <c r="AO195" s="239">
        <f t="shared" ref="AO195:BT195" si="446">SUM(AO188:AO194)</f>
        <v>0</v>
      </c>
      <c r="AP195" s="239">
        <f t="shared" si="446"/>
        <v>0</v>
      </c>
      <c r="AQ195" s="239">
        <f t="shared" si="446"/>
        <v>0</v>
      </c>
      <c r="AR195" s="239">
        <f t="shared" si="446"/>
        <v>0</v>
      </c>
      <c r="AS195" s="239">
        <f t="shared" si="446"/>
        <v>0</v>
      </c>
      <c r="AT195" s="239">
        <f t="shared" si="446"/>
        <v>0</v>
      </c>
      <c r="AU195" s="239">
        <f t="shared" si="446"/>
        <v>0</v>
      </c>
      <c r="AV195" s="239">
        <f t="shared" si="446"/>
        <v>0</v>
      </c>
      <c r="AW195" s="239">
        <f t="shared" si="446"/>
        <v>0</v>
      </c>
      <c r="AX195" s="239">
        <f t="shared" si="446"/>
        <v>0</v>
      </c>
      <c r="AY195" s="239">
        <f t="shared" si="446"/>
        <v>0</v>
      </c>
      <c r="AZ195" s="239">
        <f t="shared" si="446"/>
        <v>0</v>
      </c>
      <c r="BA195" s="239">
        <f t="shared" si="446"/>
        <v>0</v>
      </c>
      <c r="BB195" s="239">
        <f t="shared" si="446"/>
        <v>0</v>
      </c>
      <c r="BC195" s="239">
        <f t="shared" si="446"/>
        <v>0</v>
      </c>
      <c r="BD195" s="239">
        <f t="shared" si="446"/>
        <v>0</v>
      </c>
      <c r="BE195" s="239">
        <f t="shared" si="446"/>
        <v>0</v>
      </c>
      <c r="BF195" s="239">
        <f t="shared" si="446"/>
        <v>0</v>
      </c>
      <c r="BG195" s="239">
        <f t="shared" si="446"/>
        <v>0</v>
      </c>
      <c r="BH195" s="239">
        <f t="shared" si="446"/>
        <v>0</v>
      </c>
      <c r="BI195" s="239">
        <f t="shared" si="446"/>
        <v>0</v>
      </c>
      <c r="BJ195" s="239">
        <f t="shared" si="446"/>
        <v>0</v>
      </c>
      <c r="BK195" s="239">
        <f t="shared" si="446"/>
        <v>-417.57099999999997</v>
      </c>
      <c r="BL195" s="239">
        <f t="shared" si="446"/>
        <v>-417.57099999999997</v>
      </c>
      <c r="BM195" s="239">
        <f t="shared" si="446"/>
        <v>-417.57099999999997</v>
      </c>
      <c r="BN195" s="239">
        <f t="shared" si="446"/>
        <v>-819.75794444444432</v>
      </c>
      <c r="BO195" s="239">
        <f t="shared" si="446"/>
        <v>-819.75794444444432</v>
      </c>
      <c r="BP195" s="239">
        <f t="shared" si="446"/>
        <v>-819.75794444444432</v>
      </c>
      <c r="BQ195" s="239">
        <f t="shared" si="446"/>
        <v>-819.75794444444432</v>
      </c>
      <c r="BR195" s="239">
        <f t="shared" si="446"/>
        <v>-819.75794444444432</v>
      </c>
      <c r="BS195" s="239">
        <f t="shared" si="446"/>
        <v>-819.75794444444432</v>
      </c>
      <c r="BT195" s="239">
        <f t="shared" si="446"/>
        <v>-819.75794444444432</v>
      </c>
      <c r="BU195" s="239">
        <f t="shared" ref="BU195:CZ195" si="447">SUM(BU188:BU194)</f>
        <v>-819.75794444444432</v>
      </c>
      <c r="BV195" s="239">
        <f t="shared" si="447"/>
        <v>-819.75794444444432</v>
      </c>
      <c r="BW195" s="239">
        <f t="shared" si="447"/>
        <v>-787.42540745982751</v>
      </c>
      <c r="BX195" s="239">
        <f t="shared" si="447"/>
        <v>-1462.5299881121764</v>
      </c>
      <c r="BY195" s="239">
        <f t="shared" si="447"/>
        <v>-2129.9178254436088</v>
      </c>
      <c r="BZ195" s="239">
        <f t="shared" si="447"/>
        <v>-2784.5096950322377</v>
      </c>
      <c r="CA195" s="239">
        <f t="shared" si="447"/>
        <v>-3421.3237574971163</v>
      </c>
      <c r="CB195" s="239">
        <f t="shared" si="447"/>
        <v>-4035.5134733040422</v>
      </c>
      <c r="CC195" s="239">
        <f t="shared" si="447"/>
        <v>-4622.404487857837</v>
      </c>
      <c r="CD195" s="239">
        <f t="shared" si="447"/>
        <v>-5177.5302061632592</v>
      </c>
      <c r="CE195" s="239">
        <f t="shared" si="447"/>
        <v>-5696.6657863099344</v>
      </c>
      <c r="CF195" s="239">
        <f t="shared" si="447"/>
        <v>-5773.6733486258663</v>
      </c>
      <c r="CG195" s="239">
        <f t="shared" si="447"/>
        <v>-6209.2798224579456</v>
      </c>
      <c r="CH195" s="239">
        <f t="shared" si="447"/>
        <v>-6597.983035069481</v>
      </c>
      <c r="CI195" s="239">
        <f t="shared" si="447"/>
        <v>-6936.8247203070869</v>
      </c>
      <c r="CJ195" s="239">
        <f t="shared" si="447"/>
        <v>-7223.2260883478993</v>
      </c>
      <c r="CK195" s="239">
        <f t="shared" si="447"/>
        <v>-7455.0074518472538</v>
      </c>
      <c r="CL195" s="239">
        <f t="shared" si="447"/>
        <v>-7630.4048146755049</v>
      </c>
      <c r="CM195" s="239">
        <f t="shared" si="447"/>
        <v>-7748.0832969937092</v>
      </c>
      <c r="CN195" s="239">
        <f t="shared" si="447"/>
        <v>-7807.1472944952129</v>
      </c>
      <c r="CO195" s="239">
        <f t="shared" si="447"/>
        <v>-7807.1472944952129</v>
      </c>
      <c r="CP195" s="239">
        <f t="shared" si="447"/>
        <v>-7748.0832969937092</v>
      </c>
      <c r="CQ195" s="239">
        <f t="shared" si="447"/>
        <v>-7630.4048146755067</v>
      </c>
      <c r="CR195" s="239">
        <f t="shared" si="447"/>
        <v>-7455.0074518472538</v>
      </c>
      <c r="CS195" s="239">
        <f t="shared" si="447"/>
        <v>-7223.2260883478993</v>
      </c>
      <c r="CT195" s="239">
        <f t="shared" si="447"/>
        <v>-6936.8247203070869</v>
      </c>
      <c r="CU195" s="239">
        <f t="shared" si="447"/>
        <v>-6597.983035069482</v>
      </c>
      <c r="CV195" s="239">
        <f t="shared" si="447"/>
        <v>-6209.2798224579456</v>
      </c>
      <c r="CW195" s="239">
        <f t="shared" si="447"/>
        <v>-5773.6733486258663</v>
      </c>
      <c r="CX195" s="239">
        <f t="shared" si="447"/>
        <v>-5294.4788418654907</v>
      </c>
      <c r="CY195" s="239">
        <f t="shared" si="447"/>
        <v>-4775.3432617188173</v>
      </c>
      <c r="CZ195" s="239">
        <f t="shared" si="447"/>
        <v>-4220.2175434133942</v>
      </c>
      <c r="DA195" s="239">
        <f t="shared" ref="DA195:EF195" si="448">SUM(DA188:DA194)</f>
        <v>-3633.3265288595981</v>
      </c>
      <c r="DB195" s="239">
        <f t="shared" si="448"/>
        <v>-3019.1368130526726</v>
      </c>
      <c r="DC195" s="239">
        <f t="shared" si="448"/>
        <v>-2382.3227505877949</v>
      </c>
      <c r="DD195" s="239">
        <f t="shared" si="448"/>
        <v>-1727.7308809991666</v>
      </c>
      <c r="DE195" s="239">
        <f t="shared" si="448"/>
        <v>-1060.343043667732</v>
      </c>
      <c r="DF195" s="239">
        <f t="shared" si="448"/>
        <v>-385.23846301538373</v>
      </c>
      <c r="DG195" s="239">
        <f t="shared" si="448"/>
        <v>0</v>
      </c>
      <c r="DH195" s="239">
        <f t="shared" si="448"/>
        <v>0</v>
      </c>
      <c r="DI195" s="239">
        <f t="shared" si="448"/>
        <v>0</v>
      </c>
      <c r="DJ195" s="239">
        <f t="shared" si="448"/>
        <v>0</v>
      </c>
      <c r="DK195" s="239">
        <f t="shared" si="448"/>
        <v>0</v>
      </c>
      <c r="DL195" s="239">
        <f t="shared" si="448"/>
        <v>0</v>
      </c>
      <c r="DM195" s="239">
        <f t="shared" si="448"/>
        <v>0</v>
      </c>
      <c r="DN195" s="239">
        <f t="shared" si="448"/>
        <v>0</v>
      </c>
      <c r="DO195" s="239">
        <f t="shared" si="448"/>
        <v>0</v>
      </c>
      <c r="DP195" s="239">
        <f t="shared" si="448"/>
        <v>0</v>
      </c>
      <c r="DQ195" s="239">
        <f t="shared" si="448"/>
        <v>0</v>
      </c>
      <c r="DR195" s="239">
        <f t="shared" si="448"/>
        <v>0</v>
      </c>
      <c r="DS195" s="239">
        <f t="shared" si="448"/>
        <v>0</v>
      </c>
      <c r="DT195" s="239">
        <f t="shared" si="448"/>
        <v>0</v>
      </c>
      <c r="DU195" s="239">
        <f t="shared" si="448"/>
        <v>0</v>
      </c>
      <c r="DV195" s="239">
        <f t="shared" si="448"/>
        <v>0</v>
      </c>
      <c r="DW195" s="239">
        <f t="shared" si="448"/>
        <v>0</v>
      </c>
      <c r="DX195" s="239">
        <f t="shared" si="448"/>
        <v>0</v>
      </c>
      <c r="DY195" s="239">
        <f t="shared" si="448"/>
        <v>0</v>
      </c>
      <c r="DZ195" s="239">
        <f t="shared" si="448"/>
        <v>0</v>
      </c>
      <c r="EA195" s="239">
        <f t="shared" si="448"/>
        <v>0</v>
      </c>
      <c r="EB195" s="239">
        <f t="shared" si="448"/>
        <v>0</v>
      </c>
      <c r="EC195" s="239">
        <f t="shared" si="448"/>
        <v>0</v>
      </c>
      <c r="ED195" s="239">
        <f t="shared" si="448"/>
        <v>0</v>
      </c>
      <c r="EE195" s="239">
        <f t="shared" si="448"/>
        <v>0</v>
      </c>
      <c r="EF195" s="239">
        <f t="shared" si="448"/>
        <v>0</v>
      </c>
      <c r="EG195" s="239">
        <f t="shared" ref="EG195:FH195" si="449">SUM(EG188:EG194)</f>
        <v>0</v>
      </c>
      <c r="EH195" s="239">
        <f t="shared" si="449"/>
        <v>0</v>
      </c>
      <c r="EI195" s="239">
        <f t="shared" si="449"/>
        <v>0</v>
      </c>
      <c r="EJ195" s="239">
        <f t="shared" si="449"/>
        <v>0</v>
      </c>
      <c r="EK195" s="239">
        <f t="shared" si="449"/>
        <v>0</v>
      </c>
      <c r="EL195" s="239">
        <f t="shared" si="449"/>
        <v>0</v>
      </c>
      <c r="EM195" s="239">
        <f t="shared" si="449"/>
        <v>0</v>
      </c>
      <c r="EN195" s="239">
        <f t="shared" si="449"/>
        <v>0</v>
      </c>
      <c r="EO195" s="239">
        <f t="shared" si="449"/>
        <v>0</v>
      </c>
      <c r="EP195" s="239">
        <f t="shared" si="449"/>
        <v>0</v>
      </c>
      <c r="EQ195" s="239">
        <f t="shared" si="449"/>
        <v>0</v>
      </c>
      <c r="ER195" s="239">
        <f t="shared" si="449"/>
        <v>0</v>
      </c>
      <c r="ES195" s="239">
        <f t="shared" si="449"/>
        <v>0</v>
      </c>
      <c r="ET195" s="239">
        <f t="shared" si="449"/>
        <v>0</v>
      </c>
      <c r="EU195" s="239">
        <f t="shared" si="449"/>
        <v>0</v>
      </c>
      <c r="EV195" s="239">
        <f t="shared" si="449"/>
        <v>0</v>
      </c>
      <c r="EW195" s="239">
        <f t="shared" si="449"/>
        <v>0</v>
      </c>
      <c r="EX195" s="239">
        <f t="shared" si="449"/>
        <v>0</v>
      </c>
      <c r="EY195" s="239">
        <f t="shared" si="449"/>
        <v>0</v>
      </c>
      <c r="EZ195" s="239">
        <f t="shared" si="449"/>
        <v>0</v>
      </c>
      <c r="FA195" s="239">
        <f t="shared" si="449"/>
        <v>0</v>
      </c>
      <c r="FB195" s="239">
        <f t="shared" si="449"/>
        <v>0</v>
      </c>
      <c r="FC195" s="239">
        <f t="shared" si="449"/>
        <v>0</v>
      </c>
      <c r="FD195" s="239">
        <f t="shared" si="449"/>
        <v>0</v>
      </c>
      <c r="FE195" s="239">
        <f t="shared" si="449"/>
        <v>0</v>
      </c>
      <c r="FF195" s="239">
        <f t="shared" si="449"/>
        <v>0</v>
      </c>
      <c r="FG195" s="239">
        <f t="shared" si="449"/>
        <v>0</v>
      </c>
      <c r="FH195" s="239">
        <f t="shared" si="449"/>
        <v>0</v>
      </c>
    </row>
    <row r="196" spans="1:164" x14ac:dyDescent="0.2">
      <c r="A196" s="10"/>
      <c r="B196" s="31" t="s">
        <v>915</v>
      </c>
      <c r="C196" s="31"/>
      <c r="D196" s="31"/>
      <c r="E196" s="31"/>
      <c r="F196" s="31"/>
      <c r="G196" s="31"/>
      <c r="H196" s="32">
        <f t="shared" si="404"/>
        <v>123626.56099999996</v>
      </c>
      <c r="I196" s="32">
        <f t="shared" ref="I196:AN196" si="450">I185+I195</f>
        <v>0</v>
      </c>
      <c r="J196" s="32">
        <f t="shared" si="450"/>
        <v>0</v>
      </c>
      <c r="K196" s="32">
        <f t="shared" si="450"/>
        <v>0</v>
      </c>
      <c r="L196" s="32">
        <f t="shared" si="450"/>
        <v>0</v>
      </c>
      <c r="M196" s="32">
        <f t="shared" si="450"/>
        <v>0</v>
      </c>
      <c r="N196" s="32">
        <f t="shared" si="450"/>
        <v>0</v>
      </c>
      <c r="O196" s="32">
        <f t="shared" si="450"/>
        <v>0</v>
      </c>
      <c r="P196" s="32">
        <f t="shared" si="450"/>
        <v>0</v>
      </c>
      <c r="Q196" s="32">
        <f t="shared" si="450"/>
        <v>0</v>
      </c>
      <c r="R196" s="32">
        <f t="shared" si="450"/>
        <v>0</v>
      </c>
      <c r="S196" s="32">
        <f t="shared" si="450"/>
        <v>0</v>
      </c>
      <c r="T196" s="32">
        <f t="shared" si="450"/>
        <v>0</v>
      </c>
      <c r="U196" s="32">
        <f t="shared" si="450"/>
        <v>0</v>
      </c>
      <c r="V196" s="32">
        <f t="shared" si="450"/>
        <v>0</v>
      </c>
      <c r="W196" s="32">
        <f t="shared" si="450"/>
        <v>0</v>
      </c>
      <c r="X196" s="32">
        <f t="shared" si="450"/>
        <v>0</v>
      </c>
      <c r="Y196" s="32">
        <f t="shared" si="450"/>
        <v>0</v>
      </c>
      <c r="Z196" s="32">
        <f t="shared" si="450"/>
        <v>0</v>
      </c>
      <c r="AA196" s="32">
        <f t="shared" si="450"/>
        <v>0</v>
      </c>
      <c r="AB196" s="32">
        <f t="shared" si="450"/>
        <v>0</v>
      </c>
      <c r="AC196" s="32">
        <f t="shared" si="450"/>
        <v>0</v>
      </c>
      <c r="AD196" s="32">
        <f t="shared" si="450"/>
        <v>0</v>
      </c>
      <c r="AE196" s="32">
        <f t="shared" si="450"/>
        <v>0</v>
      </c>
      <c r="AF196" s="32">
        <f t="shared" si="450"/>
        <v>0</v>
      </c>
      <c r="AG196" s="32">
        <f t="shared" si="450"/>
        <v>0</v>
      </c>
      <c r="AH196" s="32">
        <f t="shared" si="450"/>
        <v>0</v>
      </c>
      <c r="AI196" s="32">
        <f t="shared" si="450"/>
        <v>0</v>
      </c>
      <c r="AJ196" s="32">
        <f t="shared" si="450"/>
        <v>0</v>
      </c>
      <c r="AK196" s="32">
        <f t="shared" si="450"/>
        <v>0</v>
      </c>
      <c r="AL196" s="32">
        <f t="shared" si="450"/>
        <v>0</v>
      </c>
      <c r="AM196" s="32">
        <f t="shared" si="450"/>
        <v>0</v>
      </c>
      <c r="AN196" s="32">
        <f t="shared" si="450"/>
        <v>0</v>
      </c>
      <c r="AO196" s="32">
        <f t="shared" ref="AO196:BT196" si="451">AO185+AO195</f>
        <v>0</v>
      </c>
      <c r="AP196" s="32">
        <f t="shared" si="451"/>
        <v>0</v>
      </c>
      <c r="AQ196" s="32">
        <f t="shared" si="451"/>
        <v>0</v>
      </c>
      <c r="AR196" s="32">
        <f t="shared" si="451"/>
        <v>0</v>
      </c>
      <c r="AS196" s="32">
        <f t="shared" si="451"/>
        <v>0</v>
      </c>
      <c r="AT196" s="32">
        <f t="shared" si="451"/>
        <v>0</v>
      </c>
      <c r="AU196" s="32">
        <f t="shared" si="451"/>
        <v>0</v>
      </c>
      <c r="AV196" s="32">
        <f t="shared" si="451"/>
        <v>0</v>
      </c>
      <c r="AW196" s="32">
        <f t="shared" si="451"/>
        <v>0</v>
      </c>
      <c r="AX196" s="32">
        <f t="shared" si="451"/>
        <v>0</v>
      </c>
      <c r="AY196" s="32">
        <f t="shared" si="451"/>
        <v>0</v>
      </c>
      <c r="AZ196" s="32">
        <f t="shared" si="451"/>
        <v>0</v>
      </c>
      <c r="BA196" s="32">
        <f t="shared" si="451"/>
        <v>0</v>
      </c>
      <c r="BB196" s="32">
        <f t="shared" si="451"/>
        <v>0</v>
      </c>
      <c r="BC196" s="32">
        <f t="shared" si="451"/>
        <v>0</v>
      </c>
      <c r="BD196" s="32">
        <f t="shared" si="451"/>
        <v>0</v>
      </c>
      <c r="BE196" s="32">
        <f t="shared" si="451"/>
        <v>0</v>
      </c>
      <c r="BF196" s="32">
        <f t="shared" si="451"/>
        <v>0</v>
      </c>
      <c r="BG196" s="32">
        <f t="shared" si="451"/>
        <v>0</v>
      </c>
      <c r="BH196" s="32">
        <f t="shared" si="451"/>
        <v>0</v>
      </c>
      <c r="BI196" s="32">
        <f t="shared" si="451"/>
        <v>0</v>
      </c>
      <c r="BJ196" s="32">
        <f t="shared" si="451"/>
        <v>0</v>
      </c>
      <c r="BK196" s="32">
        <f t="shared" si="451"/>
        <v>-417.57099999999997</v>
      </c>
      <c r="BL196" s="32">
        <f t="shared" si="451"/>
        <v>-417.57099999999997</v>
      </c>
      <c r="BM196" s="32">
        <f t="shared" si="451"/>
        <v>-417.57099999999997</v>
      </c>
      <c r="BN196" s="32">
        <f t="shared" si="451"/>
        <v>-819.75794444444432</v>
      </c>
      <c r="BO196" s="32">
        <f t="shared" si="451"/>
        <v>-819.75794444444432</v>
      </c>
      <c r="BP196" s="32">
        <f t="shared" si="451"/>
        <v>-819.75794444444432</v>
      </c>
      <c r="BQ196" s="32">
        <f t="shared" si="451"/>
        <v>95.504630555555423</v>
      </c>
      <c r="BR196" s="32">
        <f t="shared" si="451"/>
        <v>217.33784640921363</v>
      </c>
      <c r="BS196" s="32">
        <f t="shared" si="451"/>
        <v>342.21689265921373</v>
      </c>
      <c r="BT196" s="32">
        <f t="shared" si="451"/>
        <v>470.2979657361368</v>
      </c>
      <c r="BU196" s="32">
        <f t="shared" ref="BU196:CZ196" si="452">BU185+BU195</f>
        <v>601.74959336771576</v>
      </c>
      <c r="BV196" s="32">
        <f t="shared" si="452"/>
        <v>736.75396769203985</v>
      </c>
      <c r="BW196" s="32">
        <f t="shared" si="452"/>
        <v>284.45123662110154</v>
      </c>
      <c r="BX196" s="32">
        <f t="shared" si="452"/>
        <v>-343.0803740312474</v>
      </c>
      <c r="BY196" s="32">
        <f t="shared" si="452"/>
        <v>-961.49603636267966</v>
      </c>
      <c r="BZ196" s="32">
        <f t="shared" si="452"/>
        <v>-1565.6317256482785</v>
      </c>
      <c r="CA196" s="32">
        <f t="shared" si="452"/>
        <v>-2150.412852175657</v>
      </c>
      <c r="CB196" s="32">
        <f t="shared" si="452"/>
        <v>-2710.8911502406472</v>
      </c>
      <c r="CC196" s="32">
        <f t="shared" si="452"/>
        <v>-3242.2803664611088</v>
      </c>
      <c r="CD196" s="32">
        <f t="shared" si="452"/>
        <v>-3739.9904313182551</v>
      </c>
      <c r="CE196" s="32">
        <f t="shared" si="452"/>
        <v>-4199.6597989649308</v>
      </c>
      <c r="CF196" s="32">
        <f t="shared" si="452"/>
        <v>-4214.9986964660475</v>
      </c>
      <c r="CG196" s="32">
        <f t="shared" si="452"/>
        <v>-4586.5646337596645</v>
      </c>
      <c r="CH196" s="32">
        <f t="shared" si="452"/>
        <v>-4908.6656883712003</v>
      </c>
      <c r="CI196" s="32">
        <f t="shared" si="452"/>
        <v>-5178.1301256921397</v>
      </c>
      <c r="CJ196" s="32">
        <f t="shared" si="452"/>
        <v>-5392.1378437329522</v>
      </c>
      <c r="CK196" s="32">
        <f t="shared" si="452"/>
        <v>-5548.2349367777615</v>
      </c>
      <c r="CL196" s="32">
        <f t="shared" si="452"/>
        <v>-5644.3440162726793</v>
      </c>
      <c r="CM196" s="32">
        <f t="shared" si="452"/>
        <v>-5678.7698010908834</v>
      </c>
      <c r="CN196" s="32">
        <f t="shared" si="452"/>
        <v>-5650.1993801713352</v>
      </c>
      <c r="CO196" s="32">
        <f t="shared" si="452"/>
        <v>-5557.6963829491124</v>
      </c>
      <c r="CP196" s="32">
        <f t="shared" si="452"/>
        <v>-5400.6880354476089</v>
      </c>
      <c r="CQ196" s="32">
        <f t="shared" si="452"/>
        <v>-5178.9436812544072</v>
      </c>
      <c r="CR196" s="32">
        <f t="shared" si="452"/>
        <v>-4892.542721759487</v>
      </c>
      <c r="CS196" s="32">
        <f t="shared" si="452"/>
        <v>-4541.8289332601325</v>
      </c>
      <c r="CT196" s="32">
        <f t="shared" si="452"/>
        <v>-4127.3464921423974</v>
      </c>
      <c r="CU196" s="32">
        <f t="shared" si="452"/>
        <v>-3649.7503110714592</v>
      </c>
      <c r="CV196" s="32">
        <f t="shared" si="452"/>
        <v>-3109.678557550832</v>
      </c>
      <c r="CW196" s="32">
        <f t="shared" si="452"/>
        <v>-2507.5666887187526</v>
      </c>
      <c r="CX196" s="32">
        <f t="shared" si="452"/>
        <v>-1843.3661875139328</v>
      </c>
      <c r="CY196" s="32">
        <f t="shared" si="452"/>
        <v>-1116.0988636172588</v>
      </c>
      <c r="CZ196" s="32">
        <f t="shared" si="452"/>
        <v>-323.10829531183572</v>
      </c>
      <c r="DA196" s="32">
        <f t="shared" ref="DA196:EF196" si="453">DA185+DA195</f>
        <v>541.29171090862701</v>
      </c>
      <c r="DB196" s="32">
        <f t="shared" si="453"/>
        <v>1488.4922167155528</v>
      </c>
      <c r="DC196" s="32">
        <f t="shared" si="453"/>
        <v>2541.5697666804299</v>
      </c>
      <c r="DD196" s="32">
        <f t="shared" si="453"/>
        <v>3751.1796196023915</v>
      </c>
      <c r="DE196" s="32">
        <f t="shared" si="453"/>
        <v>5251.0944319338259</v>
      </c>
      <c r="DF196" s="32">
        <f t="shared" si="453"/>
        <v>7591.2529625861744</v>
      </c>
      <c r="DG196" s="32">
        <f t="shared" si="453"/>
        <v>29970.971099999973</v>
      </c>
      <c r="DH196" s="32">
        <f t="shared" si="453"/>
        <v>1242.7576583333332</v>
      </c>
      <c r="DI196" s="32">
        <f t="shared" si="453"/>
        <v>1242.7576583333332</v>
      </c>
      <c r="DJ196" s="32">
        <f t="shared" si="453"/>
        <v>1242.7576583333332</v>
      </c>
      <c r="DK196" s="32">
        <f t="shared" si="453"/>
        <v>1242.7576583333332</v>
      </c>
      <c r="DL196" s="32">
        <f t="shared" si="453"/>
        <v>1242.7576583333332</v>
      </c>
      <c r="DM196" s="32">
        <f t="shared" si="453"/>
        <v>1242.7576583333332</v>
      </c>
      <c r="DN196" s="32">
        <f t="shared" si="453"/>
        <v>1242.7576583333332</v>
      </c>
      <c r="DO196" s="32">
        <f t="shared" si="453"/>
        <v>1242.7576583333332</v>
      </c>
      <c r="DP196" s="32">
        <f t="shared" si="453"/>
        <v>1242.7576583333332</v>
      </c>
      <c r="DQ196" s="32">
        <f t="shared" si="453"/>
        <v>1242.7576583333332</v>
      </c>
      <c r="DR196" s="32">
        <f t="shared" si="453"/>
        <v>1242.7576583333332</v>
      </c>
      <c r="DS196" s="32">
        <f t="shared" si="453"/>
        <v>1242.7576583333332</v>
      </c>
      <c r="DT196" s="32">
        <f t="shared" si="453"/>
        <v>166505.39499999996</v>
      </c>
      <c r="DU196" s="32">
        <f t="shared" si="453"/>
        <v>0</v>
      </c>
      <c r="DV196" s="32">
        <f t="shared" si="453"/>
        <v>0</v>
      </c>
      <c r="DW196" s="32">
        <f t="shared" si="453"/>
        <v>0</v>
      </c>
      <c r="DX196" s="32">
        <f t="shared" si="453"/>
        <v>0</v>
      </c>
      <c r="DY196" s="32">
        <f t="shared" si="453"/>
        <v>0</v>
      </c>
      <c r="DZ196" s="32">
        <f t="shared" si="453"/>
        <v>0</v>
      </c>
      <c r="EA196" s="32">
        <f t="shared" si="453"/>
        <v>0</v>
      </c>
      <c r="EB196" s="32">
        <f t="shared" si="453"/>
        <v>0</v>
      </c>
      <c r="EC196" s="32">
        <f t="shared" si="453"/>
        <v>0</v>
      </c>
      <c r="ED196" s="32">
        <f t="shared" si="453"/>
        <v>0</v>
      </c>
      <c r="EE196" s="32">
        <f t="shared" si="453"/>
        <v>0</v>
      </c>
      <c r="EF196" s="32">
        <f t="shared" si="453"/>
        <v>0</v>
      </c>
      <c r="EG196" s="32">
        <f t="shared" ref="EG196:FH196" si="454">EG185+EG195</f>
        <v>0</v>
      </c>
      <c r="EH196" s="32">
        <f t="shared" si="454"/>
        <v>0</v>
      </c>
      <c r="EI196" s="32">
        <f t="shared" si="454"/>
        <v>0</v>
      </c>
      <c r="EJ196" s="32">
        <f t="shared" si="454"/>
        <v>0</v>
      </c>
      <c r="EK196" s="32">
        <f t="shared" si="454"/>
        <v>0</v>
      </c>
      <c r="EL196" s="32">
        <f t="shared" si="454"/>
        <v>0</v>
      </c>
      <c r="EM196" s="32">
        <f t="shared" si="454"/>
        <v>0</v>
      </c>
      <c r="EN196" s="32">
        <f t="shared" si="454"/>
        <v>0</v>
      </c>
      <c r="EO196" s="32">
        <f t="shared" si="454"/>
        <v>0</v>
      </c>
      <c r="EP196" s="32">
        <f t="shared" si="454"/>
        <v>0</v>
      </c>
      <c r="EQ196" s="32">
        <f t="shared" si="454"/>
        <v>0</v>
      </c>
      <c r="ER196" s="32">
        <f t="shared" si="454"/>
        <v>0</v>
      </c>
      <c r="ES196" s="32">
        <f t="shared" si="454"/>
        <v>0</v>
      </c>
      <c r="ET196" s="32">
        <f t="shared" si="454"/>
        <v>0</v>
      </c>
      <c r="EU196" s="32">
        <f t="shared" si="454"/>
        <v>0</v>
      </c>
      <c r="EV196" s="32">
        <f t="shared" si="454"/>
        <v>0</v>
      </c>
      <c r="EW196" s="32">
        <f t="shared" si="454"/>
        <v>0</v>
      </c>
      <c r="EX196" s="32">
        <f t="shared" si="454"/>
        <v>0</v>
      </c>
      <c r="EY196" s="32">
        <f t="shared" si="454"/>
        <v>0</v>
      </c>
      <c r="EZ196" s="32">
        <f t="shared" si="454"/>
        <v>0</v>
      </c>
      <c r="FA196" s="32">
        <f t="shared" si="454"/>
        <v>0</v>
      </c>
      <c r="FB196" s="32">
        <f t="shared" si="454"/>
        <v>0</v>
      </c>
      <c r="FC196" s="32">
        <f t="shared" si="454"/>
        <v>0</v>
      </c>
      <c r="FD196" s="32">
        <f t="shared" si="454"/>
        <v>0</v>
      </c>
      <c r="FE196" s="32">
        <f t="shared" si="454"/>
        <v>0</v>
      </c>
      <c r="FF196" s="32">
        <f t="shared" si="454"/>
        <v>0</v>
      </c>
      <c r="FG196" s="32">
        <f t="shared" si="454"/>
        <v>0</v>
      </c>
      <c r="FH196" s="32">
        <f t="shared" si="454"/>
        <v>0</v>
      </c>
    </row>
    <row r="197" spans="1:164" x14ac:dyDescent="0.2">
      <c r="A197" s="10"/>
      <c r="B197" s="10"/>
      <c r="C197" s="10" t="s">
        <v>916</v>
      </c>
      <c r="D197" s="10"/>
      <c r="E197" s="10"/>
      <c r="F197" s="10"/>
      <c r="G197" s="10"/>
      <c r="H197" s="12"/>
      <c r="I197" s="12">
        <f>I196</f>
        <v>0</v>
      </c>
      <c r="J197" s="12">
        <f t="shared" ref="J197:AO197" si="455">I197+J196</f>
        <v>0</v>
      </c>
      <c r="K197" s="12">
        <f t="shared" si="455"/>
        <v>0</v>
      </c>
      <c r="L197" s="12">
        <f t="shared" si="455"/>
        <v>0</v>
      </c>
      <c r="M197" s="12">
        <f t="shared" si="455"/>
        <v>0</v>
      </c>
      <c r="N197" s="12">
        <f t="shared" si="455"/>
        <v>0</v>
      </c>
      <c r="O197" s="12">
        <f t="shared" si="455"/>
        <v>0</v>
      </c>
      <c r="P197" s="12">
        <f t="shared" si="455"/>
        <v>0</v>
      </c>
      <c r="Q197" s="12">
        <f t="shared" si="455"/>
        <v>0</v>
      </c>
      <c r="R197" s="12">
        <f t="shared" si="455"/>
        <v>0</v>
      </c>
      <c r="S197" s="12">
        <f t="shared" si="455"/>
        <v>0</v>
      </c>
      <c r="T197" s="12">
        <f t="shared" si="455"/>
        <v>0</v>
      </c>
      <c r="U197" s="12">
        <f t="shared" si="455"/>
        <v>0</v>
      </c>
      <c r="V197" s="12">
        <f t="shared" si="455"/>
        <v>0</v>
      </c>
      <c r="W197" s="12">
        <f t="shared" si="455"/>
        <v>0</v>
      </c>
      <c r="X197" s="12">
        <f t="shared" si="455"/>
        <v>0</v>
      </c>
      <c r="Y197" s="12">
        <f t="shared" si="455"/>
        <v>0</v>
      </c>
      <c r="Z197" s="12">
        <f t="shared" si="455"/>
        <v>0</v>
      </c>
      <c r="AA197" s="12">
        <f t="shared" si="455"/>
        <v>0</v>
      </c>
      <c r="AB197" s="12">
        <f t="shared" si="455"/>
        <v>0</v>
      </c>
      <c r="AC197" s="12">
        <f t="shared" si="455"/>
        <v>0</v>
      </c>
      <c r="AD197" s="12">
        <f t="shared" si="455"/>
        <v>0</v>
      </c>
      <c r="AE197" s="12">
        <f t="shared" si="455"/>
        <v>0</v>
      </c>
      <c r="AF197" s="12">
        <f t="shared" si="455"/>
        <v>0</v>
      </c>
      <c r="AG197" s="12">
        <f t="shared" si="455"/>
        <v>0</v>
      </c>
      <c r="AH197" s="12">
        <f t="shared" si="455"/>
        <v>0</v>
      </c>
      <c r="AI197" s="12">
        <f t="shared" si="455"/>
        <v>0</v>
      </c>
      <c r="AJ197" s="12">
        <f t="shared" si="455"/>
        <v>0</v>
      </c>
      <c r="AK197" s="12">
        <f t="shared" si="455"/>
        <v>0</v>
      </c>
      <c r="AL197" s="12">
        <f t="shared" si="455"/>
        <v>0</v>
      </c>
      <c r="AM197" s="12">
        <f t="shared" si="455"/>
        <v>0</v>
      </c>
      <c r="AN197" s="12">
        <f t="shared" si="455"/>
        <v>0</v>
      </c>
      <c r="AO197" s="12">
        <f t="shared" si="455"/>
        <v>0</v>
      </c>
      <c r="AP197" s="12">
        <f t="shared" ref="AP197:BU197" si="456">AO197+AP196</f>
        <v>0</v>
      </c>
      <c r="AQ197" s="12">
        <f t="shared" si="456"/>
        <v>0</v>
      </c>
      <c r="AR197" s="12">
        <f t="shared" si="456"/>
        <v>0</v>
      </c>
      <c r="AS197" s="12">
        <f t="shared" si="456"/>
        <v>0</v>
      </c>
      <c r="AT197" s="12">
        <f t="shared" si="456"/>
        <v>0</v>
      </c>
      <c r="AU197" s="12">
        <f t="shared" si="456"/>
        <v>0</v>
      </c>
      <c r="AV197" s="12">
        <f t="shared" si="456"/>
        <v>0</v>
      </c>
      <c r="AW197" s="12">
        <f t="shared" si="456"/>
        <v>0</v>
      </c>
      <c r="AX197" s="12">
        <f t="shared" si="456"/>
        <v>0</v>
      </c>
      <c r="AY197" s="12">
        <f t="shared" si="456"/>
        <v>0</v>
      </c>
      <c r="AZ197" s="12">
        <f t="shared" si="456"/>
        <v>0</v>
      </c>
      <c r="BA197" s="12">
        <f t="shared" si="456"/>
        <v>0</v>
      </c>
      <c r="BB197" s="12">
        <f t="shared" si="456"/>
        <v>0</v>
      </c>
      <c r="BC197" s="12">
        <f t="shared" si="456"/>
        <v>0</v>
      </c>
      <c r="BD197" s="12">
        <f t="shared" si="456"/>
        <v>0</v>
      </c>
      <c r="BE197" s="12">
        <f t="shared" si="456"/>
        <v>0</v>
      </c>
      <c r="BF197" s="12">
        <f t="shared" si="456"/>
        <v>0</v>
      </c>
      <c r="BG197" s="12">
        <f t="shared" si="456"/>
        <v>0</v>
      </c>
      <c r="BH197" s="12">
        <f t="shared" si="456"/>
        <v>0</v>
      </c>
      <c r="BI197" s="12">
        <f t="shared" si="456"/>
        <v>0</v>
      </c>
      <c r="BJ197" s="12">
        <f t="shared" si="456"/>
        <v>0</v>
      </c>
      <c r="BK197" s="12">
        <f t="shared" si="456"/>
        <v>-417.57099999999997</v>
      </c>
      <c r="BL197" s="12">
        <f t="shared" si="456"/>
        <v>-835.14199999999994</v>
      </c>
      <c r="BM197" s="12">
        <f t="shared" si="456"/>
        <v>-1252.713</v>
      </c>
      <c r="BN197" s="12">
        <f t="shared" si="456"/>
        <v>-2072.4709444444443</v>
      </c>
      <c r="BO197" s="12">
        <f t="shared" si="456"/>
        <v>-2892.2288888888888</v>
      </c>
      <c r="BP197" s="12">
        <f t="shared" si="456"/>
        <v>-3711.9868333333334</v>
      </c>
      <c r="BQ197" s="12">
        <f t="shared" si="456"/>
        <v>-3616.4822027777782</v>
      </c>
      <c r="BR197" s="12">
        <f t="shared" si="456"/>
        <v>-3399.1443563685643</v>
      </c>
      <c r="BS197" s="12">
        <f t="shared" si="456"/>
        <v>-3056.9274637093504</v>
      </c>
      <c r="BT197" s="12">
        <f t="shared" si="456"/>
        <v>-2586.6294979732138</v>
      </c>
      <c r="BU197" s="12">
        <f t="shared" si="456"/>
        <v>-1984.879904605498</v>
      </c>
      <c r="BV197" s="12">
        <f t="shared" ref="BV197:DA197" si="457">BU197+BV196</f>
        <v>-1248.1259369134582</v>
      </c>
      <c r="BW197" s="12">
        <f t="shared" si="457"/>
        <v>-963.67470029235665</v>
      </c>
      <c r="BX197" s="12">
        <f t="shared" si="457"/>
        <v>-1306.755074323604</v>
      </c>
      <c r="BY197" s="12">
        <f t="shared" si="457"/>
        <v>-2268.2511106862839</v>
      </c>
      <c r="BZ197" s="12">
        <f t="shared" si="457"/>
        <v>-3833.8828363345624</v>
      </c>
      <c r="CA197" s="12">
        <f t="shared" si="457"/>
        <v>-5984.2956885102194</v>
      </c>
      <c r="CB197" s="12">
        <f t="shared" si="457"/>
        <v>-8695.1868387508657</v>
      </c>
      <c r="CC197" s="12">
        <f t="shared" si="457"/>
        <v>-11937.467205211975</v>
      </c>
      <c r="CD197" s="12">
        <f t="shared" si="457"/>
        <v>-15677.457636530231</v>
      </c>
      <c r="CE197" s="12">
        <f t="shared" si="457"/>
        <v>-19877.117435495162</v>
      </c>
      <c r="CF197" s="12">
        <f t="shared" si="457"/>
        <v>-24092.116131961207</v>
      </c>
      <c r="CG197" s="12">
        <f t="shared" si="457"/>
        <v>-28678.68076572087</v>
      </c>
      <c r="CH197" s="12">
        <f t="shared" si="457"/>
        <v>-33587.346454092069</v>
      </c>
      <c r="CI197" s="12">
        <f t="shared" si="457"/>
        <v>-38765.476579784212</v>
      </c>
      <c r="CJ197" s="12">
        <f t="shared" si="457"/>
        <v>-44157.614423517167</v>
      </c>
      <c r="CK197" s="12">
        <f t="shared" si="457"/>
        <v>-49705.849360294931</v>
      </c>
      <c r="CL197" s="12">
        <f t="shared" si="457"/>
        <v>-55350.193376567608</v>
      </c>
      <c r="CM197" s="12">
        <f t="shared" si="457"/>
        <v>-61028.963177658494</v>
      </c>
      <c r="CN197" s="12">
        <f t="shared" si="457"/>
        <v>-66679.162557829826</v>
      </c>
      <c r="CO197" s="12">
        <f t="shared" si="457"/>
        <v>-72236.85894077894</v>
      </c>
      <c r="CP197" s="12">
        <f t="shared" si="457"/>
        <v>-77637.546976226557</v>
      </c>
      <c r="CQ197" s="12">
        <f t="shared" si="457"/>
        <v>-82816.490657480957</v>
      </c>
      <c r="CR197" s="12">
        <f t="shared" si="457"/>
        <v>-87709.033379240442</v>
      </c>
      <c r="CS197" s="12">
        <f t="shared" si="457"/>
        <v>-92250.862312500569</v>
      </c>
      <c r="CT197" s="12">
        <f t="shared" si="457"/>
        <v>-96378.208804642971</v>
      </c>
      <c r="CU197" s="12">
        <f t="shared" si="457"/>
        <v>-100027.95911571443</v>
      </c>
      <c r="CV197" s="12">
        <f t="shared" si="457"/>
        <v>-103137.63767326526</v>
      </c>
      <c r="CW197" s="12">
        <f t="shared" si="457"/>
        <v>-105645.20436198401</v>
      </c>
      <c r="CX197" s="12">
        <f t="shared" si="457"/>
        <v>-107488.57054949795</v>
      </c>
      <c r="CY197" s="12">
        <f t="shared" si="457"/>
        <v>-108604.6694131152</v>
      </c>
      <c r="CZ197" s="12">
        <f t="shared" si="457"/>
        <v>-108927.77770842703</v>
      </c>
      <c r="DA197" s="12">
        <f t="shared" si="457"/>
        <v>-108386.48599751841</v>
      </c>
      <c r="DB197" s="12">
        <f t="shared" ref="DB197:EG197" si="458">DA197+DB196</f>
        <v>-106897.99378080285</v>
      </c>
      <c r="DC197" s="12">
        <f t="shared" si="458"/>
        <v>-104356.42401412241</v>
      </c>
      <c r="DD197" s="12">
        <f t="shared" si="458"/>
        <v>-100605.24439452002</v>
      </c>
      <c r="DE197" s="12">
        <f t="shared" si="458"/>
        <v>-95354.149962586191</v>
      </c>
      <c r="DF197" s="12">
        <f t="shared" si="458"/>
        <v>-87762.897000000012</v>
      </c>
      <c r="DG197" s="12">
        <f t="shared" si="458"/>
        <v>-57791.925900000038</v>
      </c>
      <c r="DH197" s="12">
        <f t="shared" si="458"/>
        <v>-56549.168241666703</v>
      </c>
      <c r="DI197" s="12">
        <f t="shared" si="458"/>
        <v>-55306.410583333367</v>
      </c>
      <c r="DJ197" s="12">
        <f t="shared" si="458"/>
        <v>-54063.652925000031</v>
      </c>
      <c r="DK197" s="12">
        <f t="shared" si="458"/>
        <v>-52820.895266666696</v>
      </c>
      <c r="DL197" s="12">
        <f t="shared" si="458"/>
        <v>-51578.13760833336</v>
      </c>
      <c r="DM197" s="12">
        <f t="shared" si="458"/>
        <v>-50335.379950000024</v>
      </c>
      <c r="DN197" s="12">
        <f t="shared" si="458"/>
        <v>-49092.622291666688</v>
      </c>
      <c r="DO197" s="12">
        <f t="shared" si="458"/>
        <v>-47849.864633333353</v>
      </c>
      <c r="DP197" s="12">
        <f t="shared" si="458"/>
        <v>-46607.106975000017</v>
      </c>
      <c r="DQ197" s="12">
        <f t="shared" si="458"/>
        <v>-45364.349316666681</v>
      </c>
      <c r="DR197" s="12">
        <f t="shared" si="458"/>
        <v>-44121.591658333346</v>
      </c>
      <c r="DS197" s="12">
        <f t="shared" si="458"/>
        <v>-42878.83400000001</v>
      </c>
      <c r="DT197" s="12">
        <f t="shared" si="458"/>
        <v>123626.56099999996</v>
      </c>
      <c r="DU197" s="12">
        <f t="shared" si="458"/>
        <v>123626.56099999996</v>
      </c>
      <c r="DV197" s="12">
        <f t="shared" si="458"/>
        <v>123626.56099999996</v>
      </c>
      <c r="DW197" s="12">
        <f t="shared" si="458"/>
        <v>123626.56099999996</v>
      </c>
      <c r="DX197" s="12">
        <f t="shared" si="458"/>
        <v>123626.56099999996</v>
      </c>
      <c r="DY197" s="12">
        <f t="shared" si="458"/>
        <v>123626.56099999996</v>
      </c>
      <c r="DZ197" s="12">
        <f t="shared" si="458"/>
        <v>123626.56099999996</v>
      </c>
      <c r="EA197" s="12">
        <f t="shared" si="458"/>
        <v>123626.56099999996</v>
      </c>
      <c r="EB197" s="12">
        <f t="shared" si="458"/>
        <v>123626.56099999996</v>
      </c>
      <c r="EC197" s="12">
        <f t="shared" si="458"/>
        <v>123626.56099999996</v>
      </c>
      <c r="ED197" s="12">
        <f t="shared" si="458"/>
        <v>123626.56099999996</v>
      </c>
      <c r="EE197" s="12">
        <f t="shared" si="458"/>
        <v>123626.56099999996</v>
      </c>
      <c r="EF197" s="12">
        <f t="shared" si="458"/>
        <v>123626.56099999996</v>
      </c>
      <c r="EG197" s="12">
        <f t="shared" si="458"/>
        <v>123626.56099999996</v>
      </c>
      <c r="EH197" s="12">
        <f t="shared" ref="EH197:FH197" si="459">EG197+EH196</f>
        <v>123626.56099999996</v>
      </c>
      <c r="EI197" s="12">
        <f t="shared" si="459"/>
        <v>123626.56099999996</v>
      </c>
      <c r="EJ197" s="12">
        <f t="shared" si="459"/>
        <v>123626.56099999996</v>
      </c>
      <c r="EK197" s="12">
        <f t="shared" si="459"/>
        <v>123626.56099999996</v>
      </c>
      <c r="EL197" s="12">
        <f t="shared" si="459"/>
        <v>123626.56099999996</v>
      </c>
      <c r="EM197" s="12">
        <f t="shared" si="459"/>
        <v>123626.56099999996</v>
      </c>
      <c r="EN197" s="12">
        <f t="shared" si="459"/>
        <v>123626.56099999996</v>
      </c>
      <c r="EO197" s="12">
        <f t="shared" si="459"/>
        <v>123626.56099999996</v>
      </c>
      <c r="EP197" s="12">
        <f t="shared" si="459"/>
        <v>123626.56099999996</v>
      </c>
      <c r="EQ197" s="12">
        <f t="shared" si="459"/>
        <v>123626.56099999996</v>
      </c>
      <c r="ER197" s="12">
        <f t="shared" si="459"/>
        <v>123626.56099999996</v>
      </c>
      <c r="ES197" s="12">
        <f t="shared" si="459"/>
        <v>123626.56099999996</v>
      </c>
      <c r="ET197" s="12">
        <f t="shared" si="459"/>
        <v>123626.56099999996</v>
      </c>
      <c r="EU197" s="12">
        <f t="shared" si="459"/>
        <v>123626.56099999996</v>
      </c>
      <c r="EV197" s="12">
        <f t="shared" si="459"/>
        <v>123626.56099999996</v>
      </c>
      <c r="EW197" s="12">
        <f t="shared" si="459"/>
        <v>123626.56099999996</v>
      </c>
      <c r="EX197" s="12">
        <f t="shared" si="459"/>
        <v>123626.56099999996</v>
      </c>
      <c r="EY197" s="12">
        <f t="shared" si="459"/>
        <v>123626.56099999996</v>
      </c>
      <c r="EZ197" s="12">
        <f t="shared" si="459"/>
        <v>123626.56099999996</v>
      </c>
      <c r="FA197" s="12">
        <f t="shared" si="459"/>
        <v>123626.56099999996</v>
      </c>
      <c r="FB197" s="12">
        <f t="shared" si="459"/>
        <v>123626.56099999996</v>
      </c>
      <c r="FC197" s="12">
        <f t="shared" si="459"/>
        <v>123626.56099999996</v>
      </c>
      <c r="FD197" s="12">
        <f t="shared" si="459"/>
        <v>123626.56099999996</v>
      </c>
      <c r="FE197" s="12">
        <f t="shared" si="459"/>
        <v>123626.56099999996</v>
      </c>
      <c r="FF197" s="12">
        <f t="shared" si="459"/>
        <v>123626.56099999996</v>
      </c>
      <c r="FG197" s="12">
        <f t="shared" si="459"/>
        <v>123626.56099999996</v>
      </c>
      <c r="FH197" s="12">
        <f t="shared" si="459"/>
        <v>123626.56099999996</v>
      </c>
    </row>
    <row r="198" spans="1:164" x14ac:dyDescent="0.2">
      <c r="A198" s="10"/>
      <c r="B198" s="10"/>
      <c r="C198" s="201" t="s">
        <v>764</v>
      </c>
      <c r="D198" s="194"/>
      <c r="E198" s="194"/>
      <c r="F198" s="194"/>
      <c r="G198" s="194"/>
      <c r="H198" s="216"/>
      <c r="I198" s="216">
        <f>SUM($I187:I187)*$F$29</f>
        <v>0</v>
      </c>
      <c r="J198" s="216">
        <f>SUM($I187:J187)*$F$29</f>
        <v>0</v>
      </c>
      <c r="K198" s="216">
        <f>SUM($I187:K187)*$F$29</f>
        <v>0</v>
      </c>
      <c r="L198" s="216">
        <f>SUM($I187:L187)*$F$29</f>
        <v>0</v>
      </c>
      <c r="M198" s="216">
        <f>SUM($I187:M187)*$F$29</f>
        <v>0</v>
      </c>
      <c r="N198" s="216">
        <f>SUM($I187:N187)*$F$29</f>
        <v>0</v>
      </c>
      <c r="O198" s="216">
        <f>SUM($I187:O187)*$F$29</f>
        <v>0</v>
      </c>
      <c r="P198" s="216">
        <f>SUM($I187:P187)*$F$29</f>
        <v>0</v>
      </c>
      <c r="Q198" s="216">
        <f>SUM($I187:Q187)*$F$29</f>
        <v>0</v>
      </c>
      <c r="R198" s="216">
        <f>SUM($I187:R187)*$F$29</f>
        <v>0</v>
      </c>
      <c r="S198" s="216">
        <f>SUM($I187:S187)*$F$29</f>
        <v>0</v>
      </c>
      <c r="T198" s="216">
        <f>SUM($I187:T187)*$F$29</f>
        <v>0</v>
      </c>
      <c r="U198" s="216">
        <f>SUM($I187:U187)*$F$29</f>
        <v>0</v>
      </c>
      <c r="V198" s="216">
        <f>SUM($I187:V187)*$F$29</f>
        <v>0</v>
      </c>
      <c r="W198" s="216">
        <f>SUM($I187:W187)*$F$29</f>
        <v>0</v>
      </c>
      <c r="X198" s="216">
        <f>SUM($I187:X187)*$F$29</f>
        <v>0</v>
      </c>
      <c r="Y198" s="216">
        <f>SUM($I187:Y187)*$F$29</f>
        <v>0</v>
      </c>
      <c r="Z198" s="216">
        <f>SUM($I187:Z187)*$F$29</f>
        <v>0</v>
      </c>
      <c r="AA198" s="216">
        <f>SUM($I187:AA187)*$F$29</f>
        <v>0</v>
      </c>
      <c r="AB198" s="216">
        <f>SUM($I187:AB187)*$F$29</f>
        <v>0</v>
      </c>
      <c r="AC198" s="216">
        <f>SUM($I187:AC187)*$F$29</f>
        <v>0</v>
      </c>
      <c r="AD198" s="216">
        <f>SUM($I187:AD187)*$F$29</f>
        <v>0</v>
      </c>
      <c r="AE198" s="216">
        <f>SUM($I187:AE187)*$F$29</f>
        <v>0</v>
      </c>
      <c r="AF198" s="216">
        <f>SUM($I187:AF187)*$F$29</f>
        <v>0</v>
      </c>
      <c r="AG198" s="216">
        <f>SUM($I187:AG187)*$F$29</f>
        <v>0</v>
      </c>
      <c r="AH198" s="216">
        <f>SUM($I187:AH187)*$F$29</f>
        <v>0</v>
      </c>
      <c r="AI198" s="216">
        <f>SUM($I187:AI187)*$F$29</f>
        <v>0</v>
      </c>
      <c r="AJ198" s="216">
        <f>SUM($I187:AJ187)*$F$29</f>
        <v>0</v>
      </c>
      <c r="AK198" s="216">
        <f>SUM($I187:AK187)*$F$29</f>
        <v>0</v>
      </c>
      <c r="AL198" s="216">
        <f>SUM($I187:AL187)*$F$29</f>
        <v>0</v>
      </c>
      <c r="AM198" s="216">
        <f>SUM($I187:AM187)*$F$29</f>
        <v>0</v>
      </c>
      <c r="AN198" s="216">
        <f>SUM($I187:AN187)*$F$29</f>
        <v>0</v>
      </c>
      <c r="AO198" s="216">
        <f>SUM($I187:AO187)*$F$29</f>
        <v>0</v>
      </c>
      <c r="AP198" s="216">
        <f>SUM($I187:AP187)*$F$29</f>
        <v>0</v>
      </c>
      <c r="AQ198" s="216">
        <f>SUM($I187:AQ187)*$F$29</f>
        <v>0</v>
      </c>
      <c r="AR198" s="216">
        <f>SUM($I187:AR187)*$F$29</f>
        <v>0</v>
      </c>
      <c r="AS198" s="216">
        <f>SUM($I187:AS187)*$F$29</f>
        <v>0</v>
      </c>
      <c r="AT198" s="216">
        <f>SUM($I187:AT187)*$F$29</f>
        <v>0</v>
      </c>
      <c r="AU198" s="216">
        <f>SUM($I187:AU187)*$F$29</f>
        <v>0</v>
      </c>
      <c r="AV198" s="216">
        <f>SUM($I187:AV187)*$F$29</f>
        <v>0</v>
      </c>
      <c r="AW198" s="216">
        <f>SUM($I187:AW187)*$F$29</f>
        <v>0</v>
      </c>
      <c r="AX198" s="216">
        <f>SUM($I187:AX187)*$F$29</f>
        <v>0</v>
      </c>
      <c r="AY198" s="216">
        <f>SUM($I187:AY187)*$F$29</f>
        <v>0</v>
      </c>
      <c r="AZ198" s="216">
        <f>SUM($I187:AZ187)*$F$29</f>
        <v>0</v>
      </c>
      <c r="BA198" s="216">
        <f>SUM($I187:BA187)*$F$29</f>
        <v>0</v>
      </c>
      <c r="BB198" s="216">
        <f>SUM($I187:BB187)*$F$29</f>
        <v>0</v>
      </c>
      <c r="BC198" s="216">
        <f>SUM($I187:BC187)*$F$29</f>
        <v>0</v>
      </c>
      <c r="BD198" s="216">
        <f>SUM($I187:BD187)*$F$29</f>
        <v>0</v>
      </c>
      <c r="BE198" s="216">
        <f>SUM($I187:BE187)*$F$29</f>
        <v>0</v>
      </c>
      <c r="BF198" s="216">
        <f>SUM($I187:BF187)*$F$29</f>
        <v>0</v>
      </c>
      <c r="BG198" s="216">
        <f>SUM($I187:BG187)*$F$29</f>
        <v>0</v>
      </c>
      <c r="BH198" s="216">
        <f>SUM($I187:BH187)*$F$29</f>
        <v>0</v>
      </c>
      <c r="BI198" s="216">
        <f>SUM($I187:BI187)*$F$29</f>
        <v>0</v>
      </c>
      <c r="BJ198" s="216">
        <f>SUM($I187:BJ187)*$F$29</f>
        <v>0</v>
      </c>
      <c r="BK198" s="216">
        <f>SUM($I187:BK187)*$F$29</f>
        <v>0</v>
      </c>
      <c r="BL198" s="216">
        <f>SUM($I187:BL187)*$F$29</f>
        <v>0</v>
      </c>
      <c r="BM198" s="216">
        <f>SUM($I187:BM187)*$F$29</f>
        <v>0</v>
      </c>
      <c r="BN198" s="216">
        <f>SUM($I187:BN187)*$F$29</f>
        <v>0</v>
      </c>
      <c r="BO198" s="216">
        <f>SUM($I187:BO187)*$F$29</f>
        <v>0</v>
      </c>
      <c r="BP198" s="216">
        <f>SUM($I187:BP187)*$F$29</f>
        <v>0</v>
      </c>
      <c r="BQ198" s="216">
        <f>SUM($I187:BQ187)*$F$29</f>
        <v>0</v>
      </c>
      <c r="BR198" s="216">
        <f>SUM($I187:BR187)*$F$29</f>
        <v>0</v>
      </c>
      <c r="BS198" s="216">
        <f>SUM($I187:BS187)*$F$29</f>
        <v>0</v>
      </c>
      <c r="BT198" s="216">
        <f>SUM($I187:BT187)*$F$29</f>
        <v>0</v>
      </c>
      <c r="BU198" s="216">
        <f>SUM($I187:BU187)*$F$29</f>
        <v>0</v>
      </c>
      <c r="BV198" s="216">
        <f>SUM($I187:BV187)*$F$29</f>
        <v>0</v>
      </c>
      <c r="BW198" s="216">
        <f>SUM($I187:BW187)*$F$29</f>
        <v>317.79674462634529</v>
      </c>
      <c r="BX198" s="216">
        <f>SUM($I187:BX187)*$F$29</f>
        <v>1268.7683533878535</v>
      </c>
      <c r="BY198" s="216">
        <f>SUM($I187:BY187)*$F$29</f>
        <v>2845.6773581294933</v>
      </c>
      <c r="BZ198" s="216">
        <f>SUM($I187:BZ187)*$F$29</f>
        <v>5036.5225291614897</v>
      </c>
      <c r="CA198" s="216">
        <f>SUM($I187:CA187)*$F$29</f>
        <v>7824.6302118638068</v>
      </c>
      <c r="CB198" s="216">
        <f>SUM($I187:CB187)*$F$29</f>
        <v>11188.781223265632</v>
      </c>
      <c r="CC198" s="216">
        <f>SUM($I187:CC187)*$F$29</f>
        <v>15103.372342840281</v>
      </c>
      <c r="CD198" s="216">
        <f>SUM($I187:CD187)*$F$29</f>
        <v>19538.611168473042</v>
      </c>
      <c r="CE198" s="216">
        <f>SUM($I187:CE187)*$F$29</f>
        <v>24460.742854630429</v>
      </c>
      <c r="CF198" s="216">
        <f>SUM($I187:CF187)*$F$29</f>
        <v>29832.307007116415</v>
      </c>
      <c r="CG198" s="216">
        <f>SUM($I187:CG187)*$F$29</f>
        <v>35612.422779291461</v>
      </c>
      <c r="CH198" s="216">
        <f>SUM($I187:CH187)*$F$29</f>
        <v>41757.099999999991</v>
      </c>
      <c r="CI198" s="216">
        <f>SUM($I187:CI187)*$F$29</f>
        <v>48219.573965334872</v>
      </c>
      <c r="CJ198" s="216">
        <f>SUM($I187:CJ187)*$F$29</f>
        <v>54950.66134627143</v>
      </c>
      <c r="CK198" s="216">
        <f>SUM($I187:CK187)*$F$29</f>
        <v>61899.134503499059</v>
      </c>
      <c r="CL198" s="216">
        <f>SUM($I187:CL187)*$F$29</f>
        <v>69012.111360688446</v>
      </c>
      <c r="CM198" s="216">
        <f>SUM($I187:CM187)*$F$29</f>
        <v>76235.457869023521</v>
      </c>
      <c r="CN198" s="216">
        <f>SUM($I187:CN187)*$F$29</f>
        <v>83514.2</v>
      </c>
      <c r="CO198" s="216">
        <f>SUM($I187:CO187)*$F$29</f>
        <v>90792.942130976473</v>
      </c>
      <c r="CP198" s="216">
        <f>SUM($I187:CP187)*$F$29</f>
        <v>98016.288639311548</v>
      </c>
      <c r="CQ198" s="216">
        <f>SUM($I187:CQ187)*$F$29</f>
        <v>105129.26549650093</v>
      </c>
      <c r="CR198" s="216">
        <f>SUM($I187:CR187)*$F$29</f>
        <v>112077.73865372855</v>
      </c>
      <c r="CS198" s="216">
        <f>SUM($I187:CS187)*$F$29</f>
        <v>118808.82603466511</v>
      </c>
      <c r="CT198" s="216">
        <f>SUM($I187:CT187)*$F$29</f>
        <v>125271.29999999997</v>
      </c>
      <c r="CU198" s="216">
        <f>SUM($I187:CU187)*$F$29</f>
        <v>131415.9772207085</v>
      </c>
      <c r="CV198" s="216">
        <f>SUM($I187:CV187)*$F$29</f>
        <v>137196.09299288355</v>
      </c>
      <c r="CW198" s="216">
        <f>SUM($I187:CW187)*$F$29</f>
        <v>142567.65714536954</v>
      </c>
      <c r="CX198" s="216">
        <f>SUM($I187:CX187)*$F$29</f>
        <v>147489.78883152691</v>
      </c>
      <c r="CY198" s="216">
        <f>SUM($I187:CY187)*$F$29</f>
        <v>151925.02765715969</v>
      </c>
      <c r="CZ198" s="216">
        <f>SUM($I187:CZ187)*$F$29</f>
        <v>155839.61877673434</v>
      </c>
      <c r="DA198" s="216">
        <f>SUM($I187:DA187)*$F$29</f>
        <v>159203.76978813615</v>
      </c>
      <c r="DB198" s="216">
        <f>SUM($I187:DB187)*$F$29</f>
        <v>161991.87747083846</v>
      </c>
      <c r="DC198" s="216">
        <f>SUM($I187:DC187)*$F$29</f>
        <v>164182.72264187047</v>
      </c>
      <c r="DD198" s="216">
        <f>SUM($I187:DD187)*$F$29</f>
        <v>165759.63164661211</v>
      </c>
      <c r="DE198" s="216">
        <f>SUM($I187:DE187)*$F$29</f>
        <v>166710.6032553736</v>
      </c>
      <c r="DF198" s="216">
        <f>SUM($I187:DF187)*$F$29</f>
        <v>167028.39999999997</v>
      </c>
      <c r="DG198" s="216">
        <f>SUM($I187:DG187)*$F$29</f>
        <v>167028.39999999997</v>
      </c>
      <c r="DH198" s="216">
        <f>SUM($I187:DH187)*$F$29</f>
        <v>167028.39999999997</v>
      </c>
      <c r="DI198" s="216">
        <f>SUM($I187:DI187)*$F$29</f>
        <v>167028.39999999997</v>
      </c>
      <c r="DJ198" s="216">
        <f>SUM($I187:DJ187)*$F$29</f>
        <v>167028.39999999997</v>
      </c>
      <c r="DK198" s="216">
        <f>SUM($I187:DK187)*$F$29</f>
        <v>167028.39999999997</v>
      </c>
      <c r="DL198" s="216">
        <f>SUM($I187:DL187)*$F$29</f>
        <v>167028.39999999997</v>
      </c>
      <c r="DM198" s="216">
        <f>SUM($I187:DM187)*$F$29</f>
        <v>167028.39999999997</v>
      </c>
      <c r="DN198" s="216">
        <f>SUM($I187:DN187)*$F$29</f>
        <v>167028.39999999997</v>
      </c>
      <c r="DO198" s="216">
        <f>SUM($I187:DO187)*$F$29</f>
        <v>167028.39999999997</v>
      </c>
      <c r="DP198" s="216">
        <f>SUM($I187:DP187)*$F$29</f>
        <v>167028.39999999997</v>
      </c>
      <c r="DQ198" s="216">
        <f>SUM($I187:DQ187)*$F$29</f>
        <v>167028.39999999997</v>
      </c>
      <c r="DR198" s="216">
        <f>SUM($I187:DR187)*$F$29</f>
        <v>167028.39999999997</v>
      </c>
      <c r="DS198" s="216">
        <f>SUM($I187:DS187)*$F$29</f>
        <v>167028.39999999997</v>
      </c>
      <c r="DT198" s="216">
        <f>SUM($I187:DT187)*$F$29</f>
        <v>167028.39999999997</v>
      </c>
      <c r="DU198" s="216">
        <f>SUM($I187:DU187)*$F$29</f>
        <v>167028.39999999997</v>
      </c>
      <c r="DV198" s="216">
        <f>SUM($I187:DV187)*$F$29</f>
        <v>167028.39999999997</v>
      </c>
      <c r="DW198" s="216">
        <f>SUM($I187:DW187)*$F$29</f>
        <v>167028.39999999997</v>
      </c>
      <c r="DX198" s="216">
        <f>SUM($I187:DX187)*$F$29</f>
        <v>167028.39999999997</v>
      </c>
      <c r="DY198" s="216">
        <f>SUM($I187:DY187)*$F$29</f>
        <v>167028.39999999997</v>
      </c>
      <c r="DZ198" s="216">
        <f>SUM($I187:DZ187)*$F$29</f>
        <v>167028.39999999997</v>
      </c>
      <c r="EA198" s="216">
        <f>SUM($I187:EA187)*$F$29</f>
        <v>167028.39999999997</v>
      </c>
      <c r="EB198" s="216">
        <f>SUM($I187:EB187)*$F$29</f>
        <v>167028.39999999997</v>
      </c>
      <c r="EC198" s="216">
        <f>SUM($I187:EC187)*$F$29</f>
        <v>167028.39999999997</v>
      </c>
      <c r="ED198" s="216">
        <f>SUM($I187:ED187)*$F$29</f>
        <v>167028.39999999997</v>
      </c>
      <c r="EE198" s="216">
        <f>SUM($I187:EE187)*$F$29</f>
        <v>167028.39999999997</v>
      </c>
      <c r="EF198" s="216">
        <f>SUM($I187:EF187)*$F$29</f>
        <v>167028.39999999997</v>
      </c>
      <c r="EG198" s="216">
        <f>SUM($I187:EG187)*$F$29</f>
        <v>167028.39999999997</v>
      </c>
      <c r="EH198" s="216">
        <f>SUM($I187:EH187)*$F$29</f>
        <v>167028.39999999997</v>
      </c>
      <c r="EI198" s="216">
        <f>SUM($I187:EI187)*$F$29</f>
        <v>167028.39999999997</v>
      </c>
      <c r="EJ198" s="216">
        <f>SUM($I187:EJ187)*$F$29</f>
        <v>167028.39999999997</v>
      </c>
      <c r="EK198" s="216">
        <f>SUM($I187:EK187)*$F$29</f>
        <v>167028.39999999997</v>
      </c>
      <c r="EL198" s="216">
        <f>SUM($I187:EL187)*$F$29</f>
        <v>167028.39999999997</v>
      </c>
      <c r="EM198" s="216">
        <f>SUM($I187:EM187)*$F$29</f>
        <v>167028.39999999997</v>
      </c>
      <c r="EN198" s="216">
        <f>SUM($I187:EN187)*$F$29</f>
        <v>167028.39999999997</v>
      </c>
      <c r="EO198" s="216">
        <f>SUM($I187:EO187)*$F$29</f>
        <v>167028.39999999997</v>
      </c>
      <c r="EP198" s="216">
        <f>SUM($I187:EP187)*$F$29</f>
        <v>167028.39999999997</v>
      </c>
      <c r="EQ198" s="216">
        <f>SUM($I187:EQ187)*$F$29</f>
        <v>167028.39999999997</v>
      </c>
      <c r="ER198" s="216">
        <f>SUM($I187:ER187)*$F$29</f>
        <v>167028.39999999997</v>
      </c>
      <c r="ES198" s="216">
        <f>SUM($I187:ES187)*$F$29</f>
        <v>167028.39999999997</v>
      </c>
      <c r="ET198" s="216">
        <f>SUM($I187:ET187)*$F$29</f>
        <v>167028.39999999997</v>
      </c>
      <c r="EU198" s="216">
        <f>SUM($I187:EU187)*$F$29</f>
        <v>167028.39999999997</v>
      </c>
      <c r="EV198" s="216">
        <f>SUM($I187:EV187)*$F$29</f>
        <v>167028.39999999997</v>
      </c>
      <c r="EW198" s="216">
        <f>SUM($I187:EW187)*$F$29</f>
        <v>167028.39999999997</v>
      </c>
      <c r="EX198" s="216">
        <f>SUM($I187:EX187)*$F$29</f>
        <v>167028.39999999997</v>
      </c>
      <c r="EY198" s="216">
        <f>SUM($I187:EY187)*$F$29</f>
        <v>167028.39999999997</v>
      </c>
      <c r="EZ198" s="216">
        <f>SUM($I187:EZ187)*$F$29</f>
        <v>167028.39999999997</v>
      </c>
      <c r="FA198" s="216">
        <f>SUM($I187:FA187)*$F$29</f>
        <v>167028.39999999997</v>
      </c>
      <c r="FB198" s="216">
        <f>SUM($I187:FB187)*$F$29</f>
        <v>167028.39999999997</v>
      </c>
      <c r="FC198" s="216">
        <f>SUM($I187:FC187)*$F$29</f>
        <v>167028.39999999997</v>
      </c>
      <c r="FD198" s="216">
        <f>SUM($I187:FD187)*$F$29</f>
        <v>167028.39999999997</v>
      </c>
      <c r="FE198" s="216">
        <f>SUM($I187:FE187)*$F$29</f>
        <v>167028.39999999997</v>
      </c>
      <c r="FF198" s="216">
        <f>SUM($I187:FF187)*$F$29</f>
        <v>167028.39999999997</v>
      </c>
      <c r="FG198" s="216">
        <f>SUM($I187:FG187)*$F$29</f>
        <v>167028.39999999997</v>
      </c>
      <c r="FH198" s="216">
        <f>SUM($I187:FH187)*$F$29</f>
        <v>167028.39999999997</v>
      </c>
    </row>
    <row r="199" spans="1:164" x14ac:dyDescent="0.2">
      <c r="A199" s="10"/>
      <c r="B199" s="10"/>
      <c r="C199" s="201" t="s">
        <v>765</v>
      </c>
      <c r="D199" s="194"/>
      <c r="E199" s="194"/>
      <c r="F199" s="194"/>
      <c r="G199" s="194"/>
      <c r="H199" s="216"/>
      <c r="I199" s="216">
        <f t="shared" ref="I199:AN199" si="460">IF(I$6&lt;$F$76,MAX(0,I198-(1-$F$74)*$F$29),0)</f>
        <v>0</v>
      </c>
      <c r="J199" s="216">
        <f t="shared" si="460"/>
        <v>0</v>
      </c>
      <c r="K199" s="216">
        <f t="shared" si="460"/>
        <v>0</v>
      </c>
      <c r="L199" s="216">
        <f t="shared" si="460"/>
        <v>0</v>
      </c>
      <c r="M199" s="216">
        <f t="shared" si="460"/>
        <v>0</v>
      </c>
      <c r="N199" s="216">
        <f t="shared" si="460"/>
        <v>0</v>
      </c>
      <c r="O199" s="216">
        <f t="shared" si="460"/>
        <v>0</v>
      </c>
      <c r="P199" s="216">
        <f t="shared" si="460"/>
        <v>0</v>
      </c>
      <c r="Q199" s="216">
        <f t="shared" si="460"/>
        <v>0</v>
      </c>
      <c r="R199" s="216">
        <f t="shared" si="460"/>
        <v>0</v>
      </c>
      <c r="S199" s="216">
        <f t="shared" si="460"/>
        <v>0</v>
      </c>
      <c r="T199" s="216">
        <f t="shared" si="460"/>
        <v>0</v>
      </c>
      <c r="U199" s="216">
        <f t="shared" si="460"/>
        <v>0</v>
      </c>
      <c r="V199" s="216">
        <f t="shared" si="460"/>
        <v>0</v>
      </c>
      <c r="W199" s="216">
        <f t="shared" si="460"/>
        <v>0</v>
      </c>
      <c r="X199" s="216">
        <f t="shared" si="460"/>
        <v>0</v>
      </c>
      <c r="Y199" s="216">
        <f t="shared" si="460"/>
        <v>0</v>
      </c>
      <c r="Z199" s="216">
        <f t="shared" si="460"/>
        <v>0</v>
      </c>
      <c r="AA199" s="216">
        <f t="shared" si="460"/>
        <v>0</v>
      </c>
      <c r="AB199" s="216">
        <f t="shared" si="460"/>
        <v>0</v>
      </c>
      <c r="AC199" s="216">
        <f t="shared" si="460"/>
        <v>0</v>
      </c>
      <c r="AD199" s="216">
        <f t="shared" si="460"/>
        <v>0</v>
      </c>
      <c r="AE199" s="216">
        <f t="shared" si="460"/>
        <v>0</v>
      </c>
      <c r="AF199" s="216">
        <f t="shared" si="460"/>
        <v>0</v>
      </c>
      <c r="AG199" s="216">
        <f t="shared" si="460"/>
        <v>0</v>
      </c>
      <c r="AH199" s="216">
        <f t="shared" si="460"/>
        <v>0</v>
      </c>
      <c r="AI199" s="216">
        <f t="shared" si="460"/>
        <v>0</v>
      </c>
      <c r="AJ199" s="216">
        <f t="shared" si="460"/>
        <v>0</v>
      </c>
      <c r="AK199" s="216">
        <f t="shared" si="460"/>
        <v>0</v>
      </c>
      <c r="AL199" s="216">
        <f t="shared" si="460"/>
        <v>0</v>
      </c>
      <c r="AM199" s="216">
        <f t="shared" si="460"/>
        <v>0</v>
      </c>
      <c r="AN199" s="216">
        <f t="shared" si="460"/>
        <v>0</v>
      </c>
      <c r="AO199" s="216">
        <f t="shared" ref="AO199:BT199" si="461">IF(AO$6&lt;$F$76,MAX(0,AO198-(1-$F$74)*$F$29),0)</f>
        <v>0</v>
      </c>
      <c r="AP199" s="216">
        <f t="shared" si="461"/>
        <v>0</v>
      </c>
      <c r="AQ199" s="216">
        <f t="shared" si="461"/>
        <v>0</v>
      </c>
      <c r="AR199" s="216">
        <f t="shared" si="461"/>
        <v>0</v>
      </c>
      <c r="AS199" s="216">
        <f t="shared" si="461"/>
        <v>0</v>
      </c>
      <c r="AT199" s="216">
        <f t="shared" si="461"/>
        <v>0</v>
      </c>
      <c r="AU199" s="216">
        <f t="shared" si="461"/>
        <v>0</v>
      </c>
      <c r="AV199" s="216">
        <f t="shared" si="461"/>
        <v>0</v>
      </c>
      <c r="AW199" s="216">
        <f t="shared" si="461"/>
        <v>0</v>
      </c>
      <c r="AX199" s="216">
        <f t="shared" si="461"/>
        <v>0</v>
      </c>
      <c r="AY199" s="216">
        <f t="shared" si="461"/>
        <v>0</v>
      </c>
      <c r="AZ199" s="216">
        <f t="shared" si="461"/>
        <v>0</v>
      </c>
      <c r="BA199" s="216">
        <f t="shared" si="461"/>
        <v>0</v>
      </c>
      <c r="BB199" s="216">
        <f t="shared" si="461"/>
        <v>0</v>
      </c>
      <c r="BC199" s="216">
        <f t="shared" si="461"/>
        <v>0</v>
      </c>
      <c r="BD199" s="216">
        <f t="shared" si="461"/>
        <v>0</v>
      </c>
      <c r="BE199" s="216">
        <f t="shared" si="461"/>
        <v>0</v>
      </c>
      <c r="BF199" s="216">
        <f t="shared" si="461"/>
        <v>0</v>
      </c>
      <c r="BG199" s="216">
        <f t="shared" si="461"/>
        <v>0</v>
      </c>
      <c r="BH199" s="216">
        <f t="shared" si="461"/>
        <v>0</v>
      </c>
      <c r="BI199" s="216">
        <f t="shared" si="461"/>
        <v>0</v>
      </c>
      <c r="BJ199" s="216">
        <f t="shared" si="461"/>
        <v>0</v>
      </c>
      <c r="BK199" s="216">
        <f t="shared" si="461"/>
        <v>0</v>
      </c>
      <c r="BL199" s="216">
        <f t="shared" si="461"/>
        <v>0</v>
      </c>
      <c r="BM199" s="216">
        <f t="shared" si="461"/>
        <v>0</v>
      </c>
      <c r="BN199" s="216">
        <f t="shared" si="461"/>
        <v>0</v>
      </c>
      <c r="BO199" s="216">
        <f t="shared" si="461"/>
        <v>0</v>
      </c>
      <c r="BP199" s="216">
        <f t="shared" si="461"/>
        <v>0</v>
      </c>
      <c r="BQ199" s="216">
        <f t="shared" si="461"/>
        <v>0</v>
      </c>
      <c r="BR199" s="216">
        <f t="shared" si="461"/>
        <v>0</v>
      </c>
      <c r="BS199" s="216">
        <f t="shared" si="461"/>
        <v>0</v>
      </c>
      <c r="BT199" s="216">
        <f t="shared" si="461"/>
        <v>0</v>
      </c>
      <c r="BU199" s="216">
        <f t="shared" ref="BU199:CZ199" si="462">IF(BU$6&lt;$F$76,MAX(0,BU198-(1-$F$74)*$F$29),0)</f>
        <v>0</v>
      </c>
      <c r="BV199" s="216">
        <f t="shared" si="462"/>
        <v>0</v>
      </c>
      <c r="BW199" s="216">
        <f t="shared" si="462"/>
        <v>0</v>
      </c>
      <c r="BX199" s="216">
        <f t="shared" si="462"/>
        <v>0</v>
      </c>
      <c r="BY199" s="216">
        <f t="shared" si="462"/>
        <v>0</v>
      </c>
      <c r="BZ199" s="216">
        <f t="shared" si="462"/>
        <v>0</v>
      </c>
      <c r="CA199" s="216">
        <f t="shared" si="462"/>
        <v>0</v>
      </c>
      <c r="CB199" s="216">
        <f t="shared" si="462"/>
        <v>0</v>
      </c>
      <c r="CC199" s="216">
        <f t="shared" si="462"/>
        <v>0</v>
      </c>
      <c r="CD199" s="216">
        <f t="shared" si="462"/>
        <v>0</v>
      </c>
      <c r="CE199" s="216">
        <f t="shared" si="462"/>
        <v>0</v>
      </c>
      <c r="CF199" s="216">
        <f t="shared" si="462"/>
        <v>0</v>
      </c>
      <c r="CG199" s="216">
        <f t="shared" si="462"/>
        <v>0</v>
      </c>
      <c r="CH199" s="216">
        <f t="shared" si="462"/>
        <v>0</v>
      </c>
      <c r="CI199" s="216">
        <f t="shared" si="462"/>
        <v>0</v>
      </c>
      <c r="CJ199" s="216">
        <f t="shared" si="462"/>
        <v>0</v>
      </c>
      <c r="CK199" s="216">
        <f t="shared" si="462"/>
        <v>0</v>
      </c>
      <c r="CL199" s="216">
        <f t="shared" si="462"/>
        <v>2200.7513606884459</v>
      </c>
      <c r="CM199" s="216">
        <f t="shared" si="462"/>
        <v>9424.0978690235206</v>
      </c>
      <c r="CN199" s="216">
        <f t="shared" si="462"/>
        <v>16702.839999999997</v>
      </c>
      <c r="CO199" s="216">
        <f t="shared" si="462"/>
        <v>23981.582130976472</v>
      </c>
      <c r="CP199" s="216">
        <f t="shared" si="462"/>
        <v>31204.928639311547</v>
      </c>
      <c r="CQ199" s="216">
        <f t="shared" si="462"/>
        <v>38317.905496500927</v>
      </c>
      <c r="CR199" s="216">
        <f t="shared" si="462"/>
        <v>45266.378653728549</v>
      </c>
      <c r="CS199" s="216">
        <f t="shared" si="462"/>
        <v>51997.466034665107</v>
      </c>
      <c r="CT199" s="216">
        <f t="shared" si="462"/>
        <v>58459.939999999973</v>
      </c>
      <c r="CU199" s="216">
        <f t="shared" si="462"/>
        <v>64604.617220708504</v>
      </c>
      <c r="CV199" s="216">
        <f t="shared" si="462"/>
        <v>70384.732992883553</v>
      </c>
      <c r="CW199" s="216">
        <f t="shared" si="462"/>
        <v>75756.297145369535</v>
      </c>
      <c r="CX199" s="216">
        <f t="shared" si="462"/>
        <v>80678.428831526908</v>
      </c>
      <c r="CY199" s="216">
        <f t="shared" si="462"/>
        <v>85113.667657159691</v>
      </c>
      <c r="CZ199" s="216">
        <f t="shared" si="462"/>
        <v>89028.258776734336</v>
      </c>
      <c r="DA199" s="216">
        <f t="shared" ref="DA199:EF199" si="463">IF(DA$6&lt;$F$76,MAX(0,DA198-(1-$F$74)*$F$29),0)</f>
        <v>92392.409788136152</v>
      </c>
      <c r="DB199" s="216">
        <f t="shared" si="463"/>
        <v>95180.517470838458</v>
      </c>
      <c r="DC199" s="216">
        <f t="shared" si="463"/>
        <v>97371.362641870466</v>
      </c>
      <c r="DD199" s="216">
        <f t="shared" si="463"/>
        <v>98948.271646612106</v>
      </c>
      <c r="DE199" s="216">
        <f t="shared" si="463"/>
        <v>99899.2432553736</v>
      </c>
      <c r="DF199" s="216">
        <f t="shared" si="463"/>
        <v>100217.03999999996</v>
      </c>
      <c r="DG199" s="216">
        <f t="shared" si="463"/>
        <v>100217.03999999996</v>
      </c>
      <c r="DH199" s="216">
        <f t="shared" si="463"/>
        <v>100217.03999999996</v>
      </c>
      <c r="DI199" s="216">
        <f t="shared" si="463"/>
        <v>100217.03999999996</v>
      </c>
      <c r="DJ199" s="216">
        <f t="shared" si="463"/>
        <v>100217.03999999996</v>
      </c>
      <c r="DK199" s="216">
        <f t="shared" si="463"/>
        <v>100217.03999999996</v>
      </c>
      <c r="DL199" s="216">
        <f t="shared" si="463"/>
        <v>100217.03999999996</v>
      </c>
      <c r="DM199" s="216">
        <f t="shared" si="463"/>
        <v>100217.03999999996</v>
      </c>
      <c r="DN199" s="216">
        <f t="shared" si="463"/>
        <v>100217.03999999996</v>
      </c>
      <c r="DO199" s="216">
        <f t="shared" si="463"/>
        <v>100217.03999999996</v>
      </c>
      <c r="DP199" s="216">
        <f t="shared" si="463"/>
        <v>100217.03999999996</v>
      </c>
      <c r="DQ199" s="216">
        <f t="shared" si="463"/>
        <v>100217.03999999996</v>
      </c>
      <c r="DR199" s="216">
        <f t="shared" si="463"/>
        <v>100217.03999999996</v>
      </c>
      <c r="DS199" s="216">
        <f t="shared" si="463"/>
        <v>100217.03999999996</v>
      </c>
      <c r="DT199" s="216">
        <f t="shared" si="463"/>
        <v>0</v>
      </c>
      <c r="DU199" s="216">
        <f t="shared" si="463"/>
        <v>0</v>
      </c>
      <c r="DV199" s="216">
        <f t="shared" si="463"/>
        <v>0</v>
      </c>
      <c r="DW199" s="216">
        <f t="shared" si="463"/>
        <v>0</v>
      </c>
      <c r="DX199" s="216">
        <f t="shared" si="463"/>
        <v>0</v>
      </c>
      <c r="DY199" s="216">
        <f t="shared" si="463"/>
        <v>0</v>
      </c>
      <c r="DZ199" s="216">
        <f t="shared" si="463"/>
        <v>0</v>
      </c>
      <c r="EA199" s="216">
        <f t="shared" si="463"/>
        <v>0</v>
      </c>
      <c r="EB199" s="216">
        <f t="shared" si="463"/>
        <v>0</v>
      </c>
      <c r="EC199" s="216">
        <f t="shared" si="463"/>
        <v>0</v>
      </c>
      <c r="ED199" s="216">
        <f t="shared" si="463"/>
        <v>0</v>
      </c>
      <c r="EE199" s="216">
        <f t="shared" si="463"/>
        <v>0</v>
      </c>
      <c r="EF199" s="216">
        <f t="shared" si="463"/>
        <v>0</v>
      </c>
      <c r="EG199" s="216">
        <f t="shared" ref="EG199:FH199" si="464">IF(EG$6&lt;$F$76,MAX(0,EG198-(1-$F$74)*$F$29),0)</f>
        <v>0</v>
      </c>
      <c r="EH199" s="216">
        <f t="shared" si="464"/>
        <v>0</v>
      </c>
      <c r="EI199" s="216">
        <f t="shared" si="464"/>
        <v>0</v>
      </c>
      <c r="EJ199" s="216">
        <f t="shared" si="464"/>
        <v>0</v>
      </c>
      <c r="EK199" s="216">
        <f t="shared" si="464"/>
        <v>0</v>
      </c>
      <c r="EL199" s="216">
        <f t="shared" si="464"/>
        <v>0</v>
      </c>
      <c r="EM199" s="216">
        <f t="shared" si="464"/>
        <v>0</v>
      </c>
      <c r="EN199" s="216">
        <f t="shared" si="464"/>
        <v>0</v>
      </c>
      <c r="EO199" s="216">
        <f t="shared" si="464"/>
        <v>0</v>
      </c>
      <c r="EP199" s="216">
        <f t="shared" si="464"/>
        <v>0</v>
      </c>
      <c r="EQ199" s="216">
        <f t="shared" si="464"/>
        <v>0</v>
      </c>
      <c r="ER199" s="216">
        <f t="shared" si="464"/>
        <v>0</v>
      </c>
      <c r="ES199" s="216">
        <f t="shared" si="464"/>
        <v>0</v>
      </c>
      <c r="ET199" s="216">
        <f t="shared" si="464"/>
        <v>0</v>
      </c>
      <c r="EU199" s="216">
        <f t="shared" si="464"/>
        <v>0</v>
      </c>
      <c r="EV199" s="216">
        <f t="shared" si="464"/>
        <v>0</v>
      </c>
      <c r="EW199" s="216">
        <f t="shared" si="464"/>
        <v>0</v>
      </c>
      <c r="EX199" s="216">
        <f t="shared" si="464"/>
        <v>0</v>
      </c>
      <c r="EY199" s="216">
        <f t="shared" si="464"/>
        <v>0</v>
      </c>
      <c r="EZ199" s="216">
        <f t="shared" si="464"/>
        <v>0</v>
      </c>
      <c r="FA199" s="216">
        <f t="shared" si="464"/>
        <v>0</v>
      </c>
      <c r="FB199" s="216">
        <f t="shared" si="464"/>
        <v>0</v>
      </c>
      <c r="FC199" s="216">
        <f t="shared" si="464"/>
        <v>0</v>
      </c>
      <c r="FD199" s="216">
        <f t="shared" si="464"/>
        <v>0</v>
      </c>
      <c r="FE199" s="216">
        <f t="shared" si="464"/>
        <v>0</v>
      </c>
      <c r="FF199" s="216">
        <f t="shared" si="464"/>
        <v>0</v>
      </c>
      <c r="FG199" s="216">
        <f t="shared" si="464"/>
        <v>0</v>
      </c>
      <c r="FH199" s="216">
        <f t="shared" si="464"/>
        <v>0</v>
      </c>
    </row>
    <row r="200" spans="1:164" x14ac:dyDescent="0.2">
      <c r="A200" s="10"/>
      <c r="B200" s="10"/>
      <c r="C200" s="10" t="s">
        <v>766</v>
      </c>
      <c r="D200" s="10"/>
      <c r="E200" s="10"/>
      <c r="F200" s="10"/>
      <c r="G200" s="10"/>
      <c r="H200" s="12"/>
      <c r="I200" s="12">
        <f>0</f>
        <v>0</v>
      </c>
      <c r="J200" s="12">
        <f t="shared" ref="J200:AO200" si="465">I204</f>
        <v>0</v>
      </c>
      <c r="K200" s="12">
        <f t="shared" si="465"/>
        <v>0</v>
      </c>
      <c r="L200" s="12">
        <f t="shared" si="465"/>
        <v>0</v>
      </c>
      <c r="M200" s="12">
        <f t="shared" si="465"/>
        <v>0</v>
      </c>
      <c r="N200" s="12">
        <f t="shared" si="465"/>
        <v>0</v>
      </c>
      <c r="O200" s="12">
        <f t="shared" si="465"/>
        <v>0</v>
      </c>
      <c r="P200" s="12">
        <f t="shared" si="465"/>
        <v>0</v>
      </c>
      <c r="Q200" s="12">
        <f t="shared" si="465"/>
        <v>0</v>
      </c>
      <c r="R200" s="12">
        <f t="shared" si="465"/>
        <v>0</v>
      </c>
      <c r="S200" s="12">
        <f t="shared" si="465"/>
        <v>0</v>
      </c>
      <c r="T200" s="12">
        <f t="shared" si="465"/>
        <v>0</v>
      </c>
      <c r="U200" s="12">
        <f t="shared" si="465"/>
        <v>0</v>
      </c>
      <c r="V200" s="12">
        <f t="shared" si="465"/>
        <v>0</v>
      </c>
      <c r="W200" s="12">
        <f t="shared" si="465"/>
        <v>0</v>
      </c>
      <c r="X200" s="12">
        <f t="shared" si="465"/>
        <v>0</v>
      </c>
      <c r="Y200" s="12">
        <f t="shared" si="465"/>
        <v>0</v>
      </c>
      <c r="Z200" s="12">
        <f t="shared" si="465"/>
        <v>0</v>
      </c>
      <c r="AA200" s="12">
        <f t="shared" si="465"/>
        <v>0</v>
      </c>
      <c r="AB200" s="12">
        <f t="shared" si="465"/>
        <v>0</v>
      </c>
      <c r="AC200" s="12">
        <f t="shared" si="465"/>
        <v>0</v>
      </c>
      <c r="AD200" s="12">
        <f t="shared" si="465"/>
        <v>0</v>
      </c>
      <c r="AE200" s="12">
        <f t="shared" si="465"/>
        <v>0</v>
      </c>
      <c r="AF200" s="12">
        <f t="shared" si="465"/>
        <v>0</v>
      </c>
      <c r="AG200" s="12">
        <f t="shared" si="465"/>
        <v>0</v>
      </c>
      <c r="AH200" s="12">
        <f t="shared" si="465"/>
        <v>0</v>
      </c>
      <c r="AI200" s="12">
        <f t="shared" si="465"/>
        <v>0</v>
      </c>
      <c r="AJ200" s="12">
        <f t="shared" si="465"/>
        <v>0</v>
      </c>
      <c r="AK200" s="12">
        <f t="shared" si="465"/>
        <v>0</v>
      </c>
      <c r="AL200" s="12">
        <f t="shared" si="465"/>
        <v>0</v>
      </c>
      <c r="AM200" s="12">
        <f t="shared" si="465"/>
        <v>0</v>
      </c>
      <c r="AN200" s="12">
        <f t="shared" si="465"/>
        <v>0</v>
      </c>
      <c r="AO200" s="12">
        <f t="shared" si="465"/>
        <v>0</v>
      </c>
      <c r="AP200" s="12">
        <f t="shared" ref="AP200:BU200" si="466">AO204</f>
        <v>0</v>
      </c>
      <c r="AQ200" s="12">
        <f t="shared" si="466"/>
        <v>0</v>
      </c>
      <c r="AR200" s="12">
        <f t="shared" si="466"/>
        <v>0</v>
      </c>
      <c r="AS200" s="12">
        <f t="shared" si="466"/>
        <v>0</v>
      </c>
      <c r="AT200" s="12">
        <f t="shared" si="466"/>
        <v>0</v>
      </c>
      <c r="AU200" s="12">
        <f t="shared" si="466"/>
        <v>0</v>
      </c>
      <c r="AV200" s="12">
        <f t="shared" si="466"/>
        <v>0</v>
      </c>
      <c r="AW200" s="12">
        <f t="shared" si="466"/>
        <v>0</v>
      </c>
      <c r="AX200" s="12">
        <f t="shared" si="466"/>
        <v>0</v>
      </c>
      <c r="AY200" s="12">
        <f t="shared" si="466"/>
        <v>0</v>
      </c>
      <c r="AZ200" s="12">
        <f t="shared" si="466"/>
        <v>0</v>
      </c>
      <c r="BA200" s="12">
        <f t="shared" si="466"/>
        <v>0</v>
      </c>
      <c r="BB200" s="12">
        <f t="shared" si="466"/>
        <v>0</v>
      </c>
      <c r="BC200" s="12">
        <f t="shared" si="466"/>
        <v>0</v>
      </c>
      <c r="BD200" s="12">
        <f t="shared" si="466"/>
        <v>0</v>
      </c>
      <c r="BE200" s="12">
        <f t="shared" si="466"/>
        <v>0</v>
      </c>
      <c r="BF200" s="12">
        <f t="shared" si="466"/>
        <v>0</v>
      </c>
      <c r="BG200" s="12">
        <f t="shared" si="466"/>
        <v>0</v>
      </c>
      <c r="BH200" s="12">
        <f t="shared" si="466"/>
        <v>0</v>
      </c>
      <c r="BI200" s="12">
        <f t="shared" si="466"/>
        <v>0</v>
      </c>
      <c r="BJ200" s="12">
        <f t="shared" si="466"/>
        <v>0</v>
      </c>
      <c r="BK200" s="12">
        <f t="shared" si="466"/>
        <v>0</v>
      </c>
      <c r="BL200" s="12">
        <f t="shared" si="466"/>
        <v>0</v>
      </c>
      <c r="BM200" s="12">
        <f t="shared" si="466"/>
        <v>0</v>
      </c>
      <c r="BN200" s="12">
        <f t="shared" si="466"/>
        <v>0</v>
      </c>
      <c r="BO200" s="12">
        <f t="shared" si="466"/>
        <v>0</v>
      </c>
      <c r="BP200" s="12">
        <f t="shared" si="466"/>
        <v>0</v>
      </c>
      <c r="BQ200" s="12">
        <f t="shared" si="466"/>
        <v>0</v>
      </c>
      <c r="BR200" s="12">
        <f t="shared" si="466"/>
        <v>0</v>
      </c>
      <c r="BS200" s="12">
        <f t="shared" si="466"/>
        <v>0</v>
      </c>
      <c r="BT200" s="12">
        <f t="shared" si="466"/>
        <v>0</v>
      </c>
      <c r="BU200" s="12">
        <f t="shared" si="466"/>
        <v>0</v>
      </c>
      <c r="BV200" s="12">
        <f t="shared" ref="BV200:DA200" si="467">BU204</f>
        <v>0</v>
      </c>
      <c r="BW200" s="12">
        <f t="shared" si="467"/>
        <v>0</v>
      </c>
      <c r="BX200" s="12">
        <f t="shared" si="467"/>
        <v>0</v>
      </c>
      <c r="BY200" s="12">
        <f t="shared" si="467"/>
        <v>0</v>
      </c>
      <c r="BZ200" s="12">
        <f t="shared" si="467"/>
        <v>0</v>
      </c>
      <c r="CA200" s="12">
        <f t="shared" si="467"/>
        <v>0</v>
      </c>
      <c r="CB200" s="12">
        <f t="shared" si="467"/>
        <v>0</v>
      </c>
      <c r="CC200" s="12">
        <f t="shared" si="467"/>
        <v>0</v>
      </c>
      <c r="CD200" s="12">
        <f t="shared" si="467"/>
        <v>0</v>
      </c>
      <c r="CE200" s="12">
        <f t="shared" si="467"/>
        <v>0</v>
      </c>
      <c r="CF200" s="12">
        <f t="shared" si="467"/>
        <v>0</v>
      </c>
      <c r="CG200" s="12">
        <f t="shared" si="467"/>
        <v>0</v>
      </c>
      <c r="CH200" s="12">
        <f t="shared" si="467"/>
        <v>0</v>
      </c>
      <c r="CI200" s="12">
        <f t="shared" si="467"/>
        <v>0</v>
      </c>
      <c r="CJ200" s="12">
        <f t="shared" si="467"/>
        <v>0</v>
      </c>
      <c r="CK200" s="12">
        <f t="shared" si="467"/>
        <v>0</v>
      </c>
      <c r="CL200" s="12">
        <f t="shared" si="467"/>
        <v>0</v>
      </c>
      <c r="CM200" s="12">
        <f t="shared" si="467"/>
        <v>2200.7513606884459</v>
      </c>
      <c r="CN200" s="12">
        <f t="shared" si="467"/>
        <v>9424.0978690235206</v>
      </c>
      <c r="CO200" s="12">
        <f t="shared" si="467"/>
        <v>16702.839999999997</v>
      </c>
      <c r="CP200" s="12">
        <f t="shared" si="467"/>
        <v>23981.582130976472</v>
      </c>
      <c r="CQ200" s="12">
        <f t="shared" si="467"/>
        <v>31204.928639311547</v>
      </c>
      <c r="CR200" s="12">
        <f t="shared" si="467"/>
        <v>38317.905496500927</v>
      </c>
      <c r="CS200" s="12">
        <f t="shared" si="467"/>
        <v>45266.378653728549</v>
      </c>
      <c r="CT200" s="12">
        <f t="shared" si="467"/>
        <v>51997.466034665107</v>
      </c>
      <c r="CU200" s="12">
        <f t="shared" si="467"/>
        <v>58459.939999999973</v>
      </c>
      <c r="CV200" s="12">
        <f t="shared" si="467"/>
        <v>64604.617220708504</v>
      </c>
      <c r="CW200" s="12">
        <f t="shared" si="467"/>
        <v>70384.732992883553</v>
      </c>
      <c r="CX200" s="12">
        <f t="shared" si="467"/>
        <v>75756.297145369535</v>
      </c>
      <c r="CY200" s="12">
        <f t="shared" si="467"/>
        <v>80678.428831526908</v>
      </c>
      <c r="CZ200" s="12">
        <f t="shared" si="467"/>
        <v>85113.667657159691</v>
      </c>
      <c r="DA200" s="12">
        <f t="shared" si="467"/>
        <v>89028.258776734336</v>
      </c>
      <c r="DB200" s="12">
        <f t="shared" ref="DB200:EG200" si="468">DA204</f>
        <v>92392.409788136152</v>
      </c>
      <c r="DC200" s="12">
        <f t="shared" si="468"/>
        <v>95180.517470838458</v>
      </c>
      <c r="DD200" s="12">
        <f t="shared" si="468"/>
        <v>97371.362641870466</v>
      </c>
      <c r="DE200" s="12">
        <f t="shared" si="468"/>
        <v>98948.271646612106</v>
      </c>
      <c r="DF200" s="12">
        <f t="shared" si="468"/>
        <v>99899.2432553736</v>
      </c>
      <c r="DG200" s="12">
        <f t="shared" si="468"/>
        <v>100217.03999999996</v>
      </c>
      <c r="DH200" s="12">
        <f t="shared" si="468"/>
        <v>100217.03999999996</v>
      </c>
      <c r="DI200" s="12">
        <f t="shared" si="468"/>
        <v>100217.03999999996</v>
      </c>
      <c r="DJ200" s="12">
        <f t="shared" si="468"/>
        <v>100217.03999999996</v>
      </c>
      <c r="DK200" s="12">
        <f t="shared" si="468"/>
        <v>100217.03999999996</v>
      </c>
      <c r="DL200" s="12">
        <f t="shared" si="468"/>
        <v>100217.03999999996</v>
      </c>
      <c r="DM200" s="12">
        <f t="shared" si="468"/>
        <v>100217.03999999996</v>
      </c>
      <c r="DN200" s="12">
        <f t="shared" si="468"/>
        <v>100217.03999999996</v>
      </c>
      <c r="DO200" s="12">
        <f t="shared" si="468"/>
        <v>100217.03999999996</v>
      </c>
      <c r="DP200" s="12">
        <f t="shared" si="468"/>
        <v>100217.03999999996</v>
      </c>
      <c r="DQ200" s="12">
        <f t="shared" si="468"/>
        <v>100217.03999999996</v>
      </c>
      <c r="DR200" s="12">
        <f t="shared" si="468"/>
        <v>100217.03999999996</v>
      </c>
      <c r="DS200" s="12">
        <f t="shared" si="468"/>
        <v>100217.03999999996</v>
      </c>
      <c r="DT200" s="12">
        <f t="shared" si="468"/>
        <v>100217.03999999996</v>
      </c>
      <c r="DU200" s="12">
        <f t="shared" si="468"/>
        <v>0</v>
      </c>
      <c r="DV200" s="12">
        <f t="shared" si="468"/>
        <v>0</v>
      </c>
      <c r="DW200" s="12">
        <f t="shared" si="468"/>
        <v>0</v>
      </c>
      <c r="DX200" s="12">
        <f t="shared" si="468"/>
        <v>0</v>
      </c>
      <c r="DY200" s="12">
        <f t="shared" si="468"/>
        <v>0</v>
      </c>
      <c r="DZ200" s="12">
        <f t="shared" si="468"/>
        <v>0</v>
      </c>
      <c r="EA200" s="12">
        <f t="shared" si="468"/>
        <v>0</v>
      </c>
      <c r="EB200" s="12">
        <f t="shared" si="468"/>
        <v>0</v>
      </c>
      <c r="EC200" s="12">
        <f t="shared" si="468"/>
        <v>0</v>
      </c>
      <c r="ED200" s="12">
        <f t="shared" si="468"/>
        <v>0</v>
      </c>
      <c r="EE200" s="12">
        <f t="shared" si="468"/>
        <v>0</v>
      </c>
      <c r="EF200" s="12">
        <f t="shared" si="468"/>
        <v>0</v>
      </c>
      <c r="EG200" s="12">
        <f t="shared" si="468"/>
        <v>0</v>
      </c>
      <c r="EH200" s="12">
        <f t="shared" ref="EH200:FH200" si="469">EG204</f>
        <v>0</v>
      </c>
      <c r="EI200" s="12">
        <f t="shared" si="469"/>
        <v>0</v>
      </c>
      <c r="EJ200" s="12">
        <f t="shared" si="469"/>
        <v>0</v>
      </c>
      <c r="EK200" s="12">
        <f t="shared" si="469"/>
        <v>0</v>
      </c>
      <c r="EL200" s="12">
        <f t="shared" si="469"/>
        <v>0</v>
      </c>
      <c r="EM200" s="12">
        <f t="shared" si="469"/>
        <v>0</v>
      </c>
      <c r="EN200" s="12">
        <f t="shared" si="469"/>
        <v>0</v>
      </c>
      <c r="EO200" s="12">
        <f t="shared" si="469"/>
        <v>0</v>
      </c>
      <c r="EP200" s="12">
        <f t="shared" si="469"/>
        <v>0</v>
      </c>
      <c r="EQ200" s="12">
        <f t="shared" si="469"/>
        <v>0</v>
      </c>
      <c r="ER200" s="12">
        <f t="shared" si="469"/>
        <v>0</v>
      </c>
      <c r="ES200" s="12">
        <f t="shared" si="469"/>
        <v>0</v>
      </c>
      <c r="ET200" s="12">
        <f t="shared" si="469"/>
        <v>0</v>
      </c>
      <c r="EU200" s="12">
        <f t="shared" si="469"/>
        <v>0</v>
      </c>
      <c r="EV200" s="12">
        <f t="shared" si="469"/>
        <v>0</v>
      </c>
      <c r="EW200" s="12">
        <f t="shared" si="469"/>
        <v>0</v>
      </c>
      <c r="EX200" s="12">
        <f t="shared" si="469"/>
        <v>0</v>
      </c>
      <c r="EY200" s="12">
        <f t="shared" si="469"/>
        <v>0</v>
      </c>
      <c r="EZ200" s="12">
        <f t="shared" si="469"/>
        <v>0</v>
      </c>
      <c r="FA200" s="12">
        <f t="shared" si="469"/>
        <v>0</v>
      </c>
      <c r="FB200" s="12">
        <f t="shared" si="469"/>
        <v>0</v>
      </c>
      <c r="FC200" s="12">
        <f t="shared" si="469"/>
        <v>0</v>
      </c>
      <c r="FD200" s="12">
        <f t="shared" si="469"/>
        <v>0</v>
      </c>
      <c r="FE200" s="12">
        <f t="shared" si="469"/>
        <v>0</v>
      </c>
      <c r="FF200" s="12">
        <f t="shared" si="469"/>
        <v>0</v>
      </c>
      <c r="FG200" s="12">
        <f t="shared" si="469"/>
        <v>0</v>
      </c>
      <c r="FH200" s="12">
        <f t="shared" si="469"/>
        <v>0</v>
      </c>
    </row>
    <row r="201" spans="1:164" x14ac:dyDescent="0.2">
      <c r="A201" s="10"/>
      <c r="B201" s="10"/>
      <c r="C201" s="10" t="s">
        <v>767</v>
      </c>
      <c r="D201" s="10"/>
      <c r="E201" s="10"/>
      <c r="F201" s="10"/>
      <c r="G201" s="10"/>
      <c r="H201" s="12">
        <f>SUM(I201:FH201)</f>
        <v>100217.03999999996</v>
      </c>
      <c r="I201" s="12">
        <f>MAX(0,I199)</f>
        <v>0</v>
      </c>
      <c r="J201" s="12">
        <f t="shared" ref="J201:AO201" si="470">MAX(0,J199-I199)</f>
        <v>0</v>
      </c>
      <c r="K201" s="12">
        <f t="shared" si="470"/>
        <v>0</v>
      </c>
      <c r="L201" s="12">
        <f t="shared" si="470"/>
        <v>0</v>
      </c>
      <c r="M201" s="12">
        <f t="shared" si="470"/>
        <v>0</v>
      </c>
      <c r="N201" s="12">
        <f t="shared" si="470"/>
        <v>0</v>
      </c>
      <c r="O201" s="12">
        <f t="shared" si="470"/>
        <v>0</v>
      </c>
      <c r="P201" s="12">
        <f t="shared" si="470"/>
        <v>0</v>
      </c>
      <c r="Q201" s="12">
        <f t="shared" si="470"/>
        <v>0</v>
      </c>
      <c r="R201" s="12">
        <f t="shared" si="470"/>
        <v>0</v>
      </c>
      <c r="S201" s="12">
        <f t="shared" si="470"/>
        <v>0</v>
      </c>
      <c r="T201" s="12">
        <f t="shared" si="470"/>
        <v>0</v>
      </c>
      <c r="U201" s="12">
        <f t="shared" si="470"/>
        <v>0</v>
      </c>
      <c r="V201" s="12">
        <f t="shared" si="470"/>
        <v>0</v>
      </c>
      <c r="W201" s="12">
        <f t="shared" si="470"/>
        <v>0</v>
      </c>
      <c r="X201" s="12">
        <f t="shared" si="470"/>
        <v>0</v>
      </c>
      <c r="Y201" s="12">
        <f t="shared" si="470"/>
        <v>0</v>
      </c>
      <c r="Z201" s="12">
        <f t="shared" si="470"/>
        <v>0</v>
      </c>
      <c r="AA201" s="12">
        <f t="shared" si="470"/>
        <v>0</v>
      </c>
      <c r="AB201" s="12">
        <f t="shared" si="470"/>
        <v>0</v>
      </c>
      <c r="AC201" s="12">
        <f t="shared" si="470"/>
        <v>0</v>
      </c>
      <c r="AD201" s="12">
        <f t="shared" si="470"/>
        <v>0</v>
      </c>
      <c r="AE201" s="12">
        <f t="shared" si="470"/>
        <v>0</v>
      </c>
      <c r="AF201" s="12">
        <f t="shared" si="470"/>
        <v>0</v>
      </c>
      <c r="AG201" s="12">
        <f t="shared" si="470"/>
        <v>0</v>
      </c>
      <c r="AH201" s="12">
        <f t="shared" si="470"/>
        <v>0</v>
      </c>
      <c r="AI201" s="12">
        <f t="shared" si="470"/>
        <v>0</v>
      </c>
      <c r="AJ201" s="12">
        <f t="shared" si="470"/>
        <v>0</v>
      </c>
      <c r="AK201" s="12">
        <f t="shared" si="470"/>
        <v>0</v>
      </c>
      <c r="AL201" s="12">
        <f t="shared" si="470"/>
        <v>0</v>
      </c>
      <c r="AM201" s="12">
        <f t="shared" si="470"/>
        <v>0</v>
      </c>
      <c r="AN201" s="12">
        <f t="shared" si="470"/>
        <v>0</v>
      </c>
      <c r="AO201" s="12">
        <f t="shared" si="470"/>
        <v>0</v>
      </c>
      <c r="AP201" s="12">
        <f t="shared" ref="AP201:BU201" si="471">MAX(0,AP199-AO199)</f>
        <v>0</v>
      </c>
      <c r="AQ201" s="12">
        <f t="shared" si="471"/>
        <v>0</v>
      </c>
      <c r="AR201" s="12">
        <f t="shared" si="471"/>
        <v>0</v>
      </c>
      <c r="AS201" s="12">
        <f t="shared" si="471"/>
        <v>0</v>
      </c>
      <c r="AT201" s="12">
        <f t="shared" si="471"/>
        <v>0</v>
      </c>
      <c r="AU201" s="12">
        <f t="shared" si="471"/>
        <v>0</v>
      </c>
      <c r="AV201" s="12">
        <f t="shared" si="471"/>
        <v>0</v>
      </c>
      <c r="AW201" s="12">
        <f t="shared" si="471"/>
        <v>0</v>
      </c>
      <c r="AX201" s="12">
        <f t="shared" si="471"/>
        <v>0</v>
      </c>
      <c r="AY201" s="12">
        <f t="shared" si="471"/>
        <v>0</v>
      </c>
      <c r="AZ201" s="12">
        <f t="shared" si="471"/>
        <v>0</v>
      </c>
      <c r="BA201" s="12">
        <f t="shared" si="471"/>
        <v>0</v>
      </c>
      <c r="BB201" s="12">
        <f t="shared" si="471"/>
        <v>0</v>
      </c>
      <c r="BC201" s="12">
        <f t="shared" si="471"/>
        <v>0</v>
      </c>
      <c r="BD201" s="12">
        <f t="shared" si="471"/>
        <v>0</v>
      </c>
      <c r="BE201" s="12">
        <f t="shared" si="471"/>
        <v>0</v>
      </c>
      <c r="BF201" s="12">
        <f t="shared" si="471"/>
        <v>0</v>
      </c>
      <c r="BG201" s="12">
        <f t="shared" si="471"/>
        <v>0</v>
      </c>
      <c r="BH201" s="12">
        <f t="shared" si="471"/>
        <v>0</v>
      </c>
      <c r="BI201" s="12">
        <f t="shared" si="471"/>
        <v>0</v>
      </c>
      <c r="BJ201" s="12">
        <f t="shared" si="471"/>
        <v>0</v>
      </c>
      <c r="BK201" s="12">
        <f t="shared" si="471"/>
        <v>0</v>
      </c>
      <c r="BL201" s="12">
        <f t="shared" si="471"/>
        <v>0</v>
      </c>
      <c r="BM201" s="12">
        <f t="shared" si="471"/>
        <v>0</v>
      </c>
      <c r="BN201" s="12">
        <f t="shared" si="471"/>
        <v>0</v>
      </c>
      <c r="BO201" s="12">
        <f t="shared" si="471"/>
        <v>0</v>
      </c>
      <c r="BP201" s="12">
        <f t="shared" si="471"/>
        <v>0</v>
      </c>
      <c r="BQ201" s="12">
        <f t="shared" si="471"/>
        <v>0</v>
      </c>
      <c r="BR201" s="12">
        <f t="shared" si="471"/>
        <v>0</v>
      </c>
      <c r="BS201" s="12">
        <f t="shared" si="471"/>
        <v>0</v>
      </c>
      <c r="BT201" s="12">
        <f t="shared" si="471"/>
        <v>0</v>
      </c>
      <c r="BU201" s="12">
        <f t="shared" si="471"/>
        <v>0</v>
      </c>
      <c r="BV201" s="12">
        <f t="shared" ref="BV201:DA201" si="472">MAX(0,BV199-BU199)</f>
        <v>0</v>
      </c>
      <c r="BW201" s="12">
        <f t="shared" si="472"/>
        <v>0</v>
      </c>
      <c r="BX201" s="12">
        <f t="shared" si="472"/>
        <v>0</v>
      </c>
      <c r="BY201" s="12">
        <f t="shared" si="472"/>
        <v>0</v>
      </c>
      <c r="BZ201" s="12">
        <f t="shared" si="472"/>
        <v>0</v>
      </c>
      <c r="CA201" s="12">
        <f t="shared" si="472"/>
        <v>0</v>
      </c>
      <c r="CB201" s="12">
        <f t="shared" si="472"/>
        <v>0</v>
      </c>
      <c r="CC201" s="12">
        <f t="shared" si="472"/>
        <v>0</v>
      </c>
      <c r="CD201" s="12">
        <f t="shared" si="472"/>
        <v>0</v>
      </c>
      <c r="CE201" s="12">
        <f t="shared" si="472"/>
        <v>0</v>
      </c>
      <c r="CF201" s="12">
        <f t="shared" si="472"/>
        <v>0</v>
      </c>
      <c r="CG201" s="12">
        <f t="shared" si="472"/>
        <v>0</v>
      </c>
      <c r="CH201" s="12">
        <f t="shared" si="472"/>
        <v>0</v>
      </c>
      <c r="CI201" s="12">
        <f t="shared" si="472"/>
        <v>0</v>
      </c>
      <c r="CJ201" s="12">
        <f t="shared" si="472"/>
        <v>0</v>
      </c>
      <c r="CK201" s="12">
        <f t="shared" si="472"/>
        <v>0</v>
      </c>
      <c r="CL201" s="12">
        <f t="shared" si="472"/>
        <v>2200.7513606884459</v>
      </c>
      <c r="CM201" s="12">
        <f t="shared" si="472"/>
        <v>7223.3465083350748</v>
      </c>
      <c r="CN201" s="12">
        <f t="shared" si="472"/>
        <v>7278.7421309764759</v>
      </c>
      <c r="CO201" s="12">
        <f t="shared" si="472"/>
        <v>7278.7421309764759</v>
      </c>
      <c r="CP201" s="12">
        <f t="shared" si="472"/>
        <v>7223.3465083350748</v>
      </c>
      <c r="CQ201" s="12">
        <f t="shared" si="472"/>
        <v>7112.9768571893801</v>
      </c>
      <c r="CR201" s="12">
        <f t="shared" si="472"/>
        <v>6948.4731572276214</v>
      </c>
      <c r="CS201" s="12">
        <f t="shared" si="472"/>
        <v>6731.0873809365585</v>
      </c>
      <c r="CT201" s="12">
        <f t="shared" si="472"/>
        <v>6462.4739653348661</v>
      </c>
      <c r="CU201" s="12">
        <f t="shared" si="472"/>
        <v>6144.6772207085305</v>
      </c>
      <c r="CV201" s="12">
        <f t="shared" si="472"/>
        <v>5780.1157721750496</v>
      </c>
      <c r="CW201" s="12">
        <f t="shared" si="472"/>
        <v>5371.564152485982</v>
      </c>
      <c r="CX201" s="12">
        <f t="shared" si="472"/>
        <v>4922.1316861573723</v>
      </c>
      <c r="CY201" s="12">
        <f t="shared" si="472"/>
        <v>4435.2388256327831</v>
      </c>
      <c r="CZ201" s="12">
        <f t="shared" si="472"/>
        <v>3914.5911195746448</v>
      </c>
      <c r="DA201" s="12">
        <f t="shared" si="472"/>
        <v>3364.1510114018165</v>
      </c>
      <c r="DB201" s="12">
        <f t="shared" ref="DB201:EG201" si="473">MAX(0,DB199-DA199)</f>
        <v>2788.1076827023062</v>
      </c>
      <c r="DC201" s="12">
        <f t="shared" si="473"/>
        <v>2190.8451710320078</v>
      </c>
      <c r="DD201" s="12">
        <f t="shared" si="473"/>
        <v>1576.9090047416394</v>
      </c>
      <c r="DE201" s="12">
        <f t="shared" si="473"/>
        <v>950.97160876149428</v>
      </c>
      <c r="DF201" s="12">
        <f t="shared" si="473"/>
        <v>317.79674462636467</v>
      </c>
      <c r="DG201" s="12">
        <f t="shared" si="473"/>
        <v>0</v>
      </c>
      <c r="DH201" s="12">
        <f t="shared" si="473"/>
        <v>0</v>
      </c>
      <c r="DI201" s="12">
        <f t="shared" si="473"/>
        <v>0</v>
      </c>
      <c r="DJ201" s="12">
        <f t="shared" si="473"/>
        <v>0</v>
      </c>
      <c r="DK201" s="12">
        <f t="shared" si="473"/>
        <v>0</v>
      </c>
      <c r="DL201" s="12">
        <f t="shared" si="473"/>
        <v>0</v>
      </c>
      <c r="DM201" s="12">
        <f t="shared" si="473"/>
        <v>0</v>
      </c>
      <c r="DN201" s="12">
        <f t="shared" si="473"/>
        <v>0</v>
      </c>
      <c r="DO201" s="12">
        <f t="shared" si="473"/>
        <v>0</v>
      </c>
      <c r="DP201" s="12">
        <f t="shared" si="473"/>
        <v>0</v>
      </c>
      <c r="DQ201" s="12">
        <f t="shared" si="473"/>
        <v>0</v>
      </c>
      <c r="DR201" s="12">
        <f t="shared" si="473"/>
        <v>0</v>
      </c>
      <c r="DS201" s="12">
        <f t="shared" si="473"/>
        <v>0</v>
      </c>
      <c r="DT201" s="12">
        <f t="shared" si="473"/>
        <v>0</v>
      </c>
      <c r="DU201" s="12">
        <f t="shared" si="473"/>
        <v>0</v>
      </c>
      <c r="DV201" s="12">
        <f t="shared" si="473"/>
        <v>0</v>
      </c>
      <c r="DW201" s="12">
        <f t="shared" si="473"/>
        <v>0</v>
      </c>
      <c r="DX201" s="12">
        <f t="shared" si="473"/>
        <v>0</v>
      </c>
      <c r="DY201" s="12">
        <f t="shared" si="473"/>
        <v>0</v>
      </c>
      <c r="DZ201" s="12">
        <f t="shared" si="473"/>
        <v>0</v>
      </c>
      <c r="EA201" s="12">
        <f t="shared" si="473"/>
        <v>0</v>
      </c>
      <c r="EB201" s="12">
        <f t="shared" si="473"/>
        <v>0</v>
      </c>
      <c r="EC201" s="12">
        <f t="shared" si="473"/>
        <v>0</v>
      </c>
      <c r="ED201" s="12">
        <f t="shared" si="473"/>
        <v>0</v>
      </c>
      <c r="EE201" s="12">
        <f t="shared" si="473"/>
        <v>0</v>
      </c>
      <c r="EF201" s="12">
        <f t="shared" si="473"/>
        <v>0</v>
      </c>
      <c r="EG201" s="12">
        <f t="shared" si="473"/>
        <v>0</v>
      </c>
      <c r="EH201" s="12">
        <f t="shared" ref="EH201:FH201" si="474">MAX(0,EH199-EG199)</f>
        <v>0</v>
      </c>
      <c r="EI201" s="12">
        <f t="shared" si="474"/>
        <v>0</v>
      </c>
      <c r="EJ201" s="12">
        <f t="shared" si="474"/>
        <v>0</v>
      </c>
      <c r="EK201" s="12">
        <f t="shared" si="474"/>
        <v>0</v>
      </c>
      <c r="EL201" s="12">
        <f t="shared" si="474"/>
        <v>0</v>
      </c>
      <c r="EM201" s="12">
        <f t="shared" si="474"/>
        <v>0</v>
      </c>
      <c r="EN201" s="12">
        <f t="shared" si="474"/>
        <v>0</v>
      </c>
      <c r="EO201" s="12">
        <f t="shared" si="474"/>
        <v>0</v>
      </c>
      <c r="EP201" s="12">
        <f t="shared" si="474"/>
        <v>0</v>
      </c>
      <c r="EQ201" s="12">
        <f t="shared" si="474"/>
        <v>0</v>
      </c>
      <c r="ER201" s="12">
        <f t="shared" si="474"/>
        <v>0</v>
      </c>
      <c r="ES201" s="12">
        <f t="shared" si="474"/>
        <v>0</v>
      </c>
      <c r="ET201" s="12">
        <f t="shared" si="474"/>
        <v>0</v>
      </c>
      <c r="EU201" s="12">
        <f t="shared" si="474"/>
        <v>0</v>
      </c>
      <c r="EV201" s="12">
        <f t="shared" si="474"/>
        <v>0</v>
      </c>
      <c r="EW201" s="12">
        <f t="shared" si="474"/>
        <v>0</v>
      </c>
      <c r="EX201" s="12">
        <f t="shared" si="474"/>
        <v>0</v>
      </c>
      <c r="EY201" s="12">
        <f t="shared" si="474"/>
        <v>0</v>
      </c>
      <c r="EZ201" s="12">
        <f t="shared" si="474"/>
        <v>0</v>
      </c>
      <c r="FA201" s="12">
        <f t="shared" si="474"/>
        <v>0</v>
      </c>
      <c r="FB201" s="12">
        <f t="shared" si="474"/>
        <v>0</v>
      </c>
      <c r="FC201" s="12">
        <f t="shared" si="474"/>
        <v>0</v>
      </c>
      <c r="FD201" s="12">
        <f t="shared" si="474"/>
        <v>0</v>
      </c>
      <c r="FE201" s="12">
        <f t="shared" si="474"/>
        <v>0</v>
      </c>
      <c r="FF201" s="12">
        <f t="shared" si="474"/>
        <v>0</v>
      </c>
      <c r="FG201" s="12">
        <f t="shared" si="474"/>
        <v>0</v>
      </c>
      <c r="FH201" s="12">
        <f t="shared" si="474"/>
        <v>0</v>
      </c>
    </row>
    <row r="202" spans="1:164" x14ac:dyDescent="0.2">
      <c r="A202" s="10"/>
      <c r="B202" s="10"/>
      <c r="C202" s="10" t="s">
        <v>768</v>
      </c>
      <c r="D202" s="10"/>
      <c r="E202" s="10"/>
      <c r="F202" s="10"/>
      <c r="G202" s="10"/>
      <c r="H202" s="12">
        <f>SUM(I202:FH202)</f>
        <v>-24955.072400320485</v>
      </c>
      <c r="I202" s="12">
        <f t="shared" ref="I202:AN202" si="475">-I200*((1+$F$75)^(1/12)-1)</f>
        <v>0</v>
      </c>
      <c r="J202" s="12">
        <f t="shared" si="475"/>
        <v>0</v>
      </c>
      <c r="K202" s="12">
        <f t="shared" si="475"/>
        <v>0</v>
      </c>
      <c r="L202" s="12">
        <f t="shared" si="475"/>
        <v>0</v>
      </c>
      <c r="M202" s="12">
        <f t="shared" si="475"/>
        <v>0</v>
      </c>
      <c r="N202" s="12">
        <f t="shared" si="475"/>
        <v>0</v>
      </c>
      <c r="O202" s="12">
        <f t="shared" si="475"/>
        <v>0</v>
      </c>
      <c r="P202" s="12">
        <f t="shared" si="475"/>
        <v>0</v>
      </c>
      <c r="Q202" s="12">
        <f t="shared" si="475"/>
        <v>0</v>
      </c>
      <c r="R202" s="12">
        <f t="shared" si="475"/>
        <v>0</v>
      </c>
      <c r="S202" s="12">
        <f t="shared" si="475"/>
        <v>0</v>
      </c>
      <c r="T202" s="12">
        <f t="shared" si="475"/>
        <v>0</v>
      </c>
      <c r="U202" s="12">
        <f t="shared" si="475"/>
        <v>0</v>
      </c>
      <c r="V202" s="12">
        <f t="shared" si="475"/>
        <v>0</v>
      </c>
      <c r="W202" s="12">
        <f t="shared" si="475"/>
        <v>0</v>
      </c>
      <c r="X202" s="12">
        <f t="shared" si="475"/>
        <v>0</v>
      </c>
      <c r="Y202" s="12">
        <f t="shared" si="475"/>
        <v>0</v>
      </c>
      <c r="Z202" s="12">
        <f t="shared" si="475"/>
        <v>0</v>
      </c>
      <c r="AA202" s="12">
        <f t="shared" si="475"/>
        <v>0</v>
      </c>
      <c r="AB202" s="12">
        <f t="shared" si="475"/>
        <v>0</v>
      </c>
      <c r="AC202" s="12">
        <f t="shared" si="475"/>
        <v>0</v>
      </c>
      <c r="AD202" s="12">
        <f t="shared" si="475"/>
        <v>0</v>
      </c>
      <c r="AE202" s="12">
        <f t="shared" si="475"/>
        <v>0</v>
      </c>
      <c r="AF202" s="12">
        <f t="shared" si="475"/>
        <v>0</v>
      </c>
      <c r="AG202" s="12">
        <f t="shared" si="475"/>
        <v>0</v>
      </c>
      <c r="AH202" s="12">
        <f t="shared" si="475"/>
        <v>0</v>
      </c>
      <c r="AI202" s="12">
        <f t="shared" si="475"/>
        <v>0</v>
      </c>
      <c r="AJ202" s="12">
        <f t="shared" si="475"/>
        <v>0</v>
      </c>
      <c r="AK202" s="12">
        <f t="shared" si="475"/>
        <v>0</v>
      </c>
      <c r="AL202" s="12">
        <f t="shared" si="475"/>
        <v>0</v>
      </c>
      <c r="AM202" s="12">
        <f t="shared" si="475"/>
        <v>0</v>
      </c>
      <c r="AN202" s="12">
        <f t="shared" si="475"/>
        <v>0</v>
      </c>
      <c r="AO202" s="12">
        <f t="shared" ref="AO202:BT202" si="476">-AO200*((1+$F$75)^(1/12)-1)</f>
        <v>0</v>
      </c>
      <c r="AP202" s="12">
        <f t="shared" si="476"/>
        <v>0</v>
      </c>
      <c r="AQ202" s="12">
        <f t="shared" si="476"/>
        <v>0</v>
      </c>
      <c r="AR202" s="12">
        <f t="shared" si="476"/>
        <v>0</v>
      </c>
      <c r="AS202" s="12">
        <f t="shared" si="476"/>
        <v>0</v>
      </c>
      <c r="AT202" s="12">
        <f t="shared" si="476"/>
        <v>0</v>
      </c>
      <c r="AU202" s="12">
        <f t="shared" si="476"/>
        <v>0</v>
      </c>
      <c r="AV202" s="12">
        <f t="shared" si="476"/>
        <v>0</v>
      </c>
      <c r="AW202" s="12">
        <f t="shared" si="476"/>
        <v>0</v>
      </c>
      <c r="AX202" s="12">
        <f t="shared" si="476"/>
        <v>0</v>
      </c>
      <c r="AY202" s="12">
        <f t="shared" si="476"/>
        <v>0</v>
      </c>
      <c r="AZ202" s="12">
        <f t="shared" si="476"/>
        <v>0</v>
      </c>
      <c r="BA202" s="12">
        <f t="shared" si="476"/>
        <v>0</v>
      </c>
      <c r="BB202" s="12">
        <f t="shared" si="476"/>
        <v>0</v>
      </c>
      <c r="BC202" s="12">
        <f t="shared" si="476"/>
        <v>0</v>
      </c>
      <c r="BD202" s="12">
        <f t="shared" si="476"/>
        <v>0</v>
      </c>
      <c r="BE202" s="12">
        <f t="shared" si="476"/>
        <v>0</v>
      </c>
      <c r="BF202" s="12">
        <f t="shared" si="476"/>
        <v>0</v>
      </c>
      <c r="BG202" s="12">
        <f t="shared" si="476"/>
        <v>0</v>
      </c>
      <c r="BH202" s="12">
        <f t="shared" si="476"/>
        <v>0</v>
      </c>
      <c r="BI202" s="12">
        <f t="shared" si="476"/>
        <v>0</v>
      </c>
      <c r="BJ202" s="12">
        <f t="shared" si="476"/>
        <v>0</v>
      </c>
      <c r="BK202" s="12">
        <f t="shared" si="476"/>
        <v>0</v>
      </c>
      <c r="BL202" s="12">
        <f t="shared" si="476"/>
        <v>0</v>
      </c>
      <c r="BM202" s="12">
        <f t="shared" si="476"/>
        <v>0</v>
      </c>
      <c r="BN202" s="12">
        <f t="shared" si="476"/>
        <v>0</v>
      </c>
      <c r="BO202" s="12">
        <f t="shared" si="476"/>
        <v>0</v>
      </c>
      <c r="BP202" s="12">
        <f t="shared" si="476"/>
        <v>0</v>
      </c>
      <c r="BQ202" s="12">
        <f t="shared" si="476"/>
        <v>0</v>
      </c>
      <c r="BR202" s="12">
        <f t="shared" si="476"/>
        <v>0</v>
      </c>
      <c r="BS202" s="12">
        <f t="shared" si="476"/>
        <v>0</v>
      </c>
      <c r="BT202" s="12">
        <f t="shared" si="476"/>
        <v>0</v>
      </c>
      <c r="BU202" s="12">
        <f t="shared" ref="BU202:CZ202" si="477">-BU200*((1+$F$75)^(1/12)-1)</f>
        <v>0</v>
      </c>
      <c r="BV202" s="12">
        <f t="shared" si="477"/>
        <v>0</v>
      </c>
      <c r="BW202" s="12">
        <f t="shared" si="477"/>
        <v>0</v>
      </c>
      <c r="BX202" s="12">
        <f t="shared" si="477"/>
        <v>0</v>
      </c>
      <c r="BY202" s="12">
        <f t="shared" si="477"/>
        <v>0</v>
      </c>
      <c r="BZ202" s="12">
        <f t="shared" si="477"/>
        <v>0</v>
      </c>
      <c r="CA202" s="12">
        <f t="shared" si="477"/>
        <v>0</v>
      </c>
      <c r="CB202" s="12">
        <f t="shared" si="477"/>
        <v>0</v>
      </c>
      <c r="CC202" s="12">
        <f t="shared" si="477"/>
        <v>0</v>
      </c>
      <c r="CD202" s="12">
        <f t="shared" si="477"/>
        <v>0</v>
      </c>
      <c r="CE202" s="12">
        <f t="shared" si="477"/>
        <v>0</v>
      </c>
      <c r="CF202" s="12">
        <f t="shared" si="477"/>
        <v>0</v>
      </c>
      <c r="CG202" s="12">
        <f t="shared" si="477"/>
        <v>0</v>
      </c>
      <c r="CH202" s="12">
        <f t="shared" si="477"/>
        <v>0</v>
      </c>
      <c r="CI202" s="12">
        <f t="shared" si="477"/>
        <v>0</v>
      </c>
      <c r="CJ202" s="12">
        <f t="shared" si="477"/>
        <v>0</v>
      </c>
      <c r="CK202" s="12">
        <f t="shared" si="477"/>
        <v>0</v>
      </c>
      <c r="CL202" s="12">
        <f t="shared" si="477"/>
        <v>0</v>
      </c>
      <c r="CM202" s="12">
        <f t="shared" si="477"/>
        <v>-20.882473962074549</v>
      </c>
      <c r="CN202" s="12">
        <f t="shared" si="477"/>
        <v>-89.423313274409523</v>
      </c>
      <c r="CO202" s="12">
        <f t="shared" si="477"/>
        <v>-158.48979017947104</v>
      </c>
      <c r="CP202" s="12">
        <f t="shared" si="477"/>
        <v>-227.55626708453258</v>
      </c>
      <c r="CQ202" s="12">
        <f t="shared" si="477"/>
        <v>-296.09710639686756</v>
      </c>
      <c r="CR202" s="12">
        <f t="shared" si="477"/>
        <v>-363.59067094321887</v>
      </c>
      <c r="CS202" s="12">
        <f t="shared" si="477"/>
        <v>-429.52329394366024</v>
      </c>
      <c r="CT202" s="12">
        <f t="shared" si="477"/>
        <v>-493.39318832595217</v>
      </c>
      <c r="CU202" s="12">
        <f t="shared" si="477"/>
        <v>-554.7142656281485</v>
      </c>
      <c r="CV202" s="12">
        <f t="shared" si="477"/>
        <v>-613.01983542530104</v>
      </c>
      <c r="CW202" s="12">
        <f t="shared" si="477"/>
        <v>-667.86615712538764</v>
      </c>
      <c r="CX202" s="12">
        <f t="shared" si="477"/>
        <v>-718.83581710315616</v>
      </c>
      <c r="CY202" s="12">
        <f t="shared" si="477"/>
        <v>-765.54090546985367</v>
      </c>
      <c r="CZ202" s="12">
        <f t="shared" si="477"/>
        <v>-807.62596830170639</v>
      </c>
      <c r="DA202" s="12">
        <f t="shared" ref="DA202:EF202" si="478">-DA200*((1+$F$75)^(1/12)-1)</f>
        <v>-844.77071285890781</v>
      </c>
      <c r="DB202" s="12">
        <f t="shared" si="478"/>
        <v>-876.69244520676773</v>
      </c>
      <c r="DC202" s="12">
        <f t="shared" si="478"/>
        <v>-903.14822168725016</v>
      </c>
      <c r="DD202" s="12">
        <f t="shared" si="478"/>
        <v>-923.93669786690396</v>
      </c>
      <c r="DE202" s="12">
        <f t="shared" si="478"/>
        <v>-938.89966088957681</v>
      </c>
      <c r="DF202" s="12">
        <f t="shared" si="478"/>
        <v>-947.92323357178202</v>
      </c>
      <c r="DG202" s="12">
        <f t="shared" si="478"/>
        <v>-950.93874107682609</v>
      </c>
      <c r="DH202" s="12">
        <f t="shared" si="478"/>
        <v>-950.93874107682609</v>
      </c>
      <c r="DI202" s="12">
        <f t="shared" si="478"/>
        <v>-950.93874107682609</v>
      </c>
      <c r="DJ202" s="12">
        <f t="shared" si="478"/>
        <v>-950.93874107682609</v>
      </c>
      <c r="DK202" s="12">
        <f t="shared" si="478"/>
        <v>-950.93874107682609</v>
      </c>
      <c r="DL202" s="12">
        <f t="shared" si="478"/>
        <v>-950.93874107682609</v>
      </c>
      <c r="DM202" s="12">
        <f t="shared" si="478"/>
        <v>-950.93874107682609</v>
      </c>
      <c r="DN202" s="12">
        <f t="shared" si="478"/>
        <v>-950.93874107682609</v>
      </c>
      <c r="DO202" s="12">
        <f t="shared" si="478"/>
        <v>-950.93874107682609</v>
      </c>
      <c r="DP202" s="12">
        <f t="shared" si="478"/>
        <v>-950.93874107682609</v>
      </c>
      <c r="DQ202" s="12">
        <f t="shared" si="478"/>
        <v>-950.93874107682609</v>
      </c>
      <c r="DR202" s="12">
        <f t="shared" si="478"/>
        <v>-950.93874107682609</v>
      </c>
      <c r="DS202" s="12">
        <f t="shared" si="478"/>
        <v>-950.93874107682609</v>
      </c>
      <c r="DT202" s="12">
        <f t="shared" si="478"/>
        <v>-950.93874107682609</v>
      </c>
      <c r="DU202" s="12">
        <f t="shared" si="478"/>
        <v>0</v>
      </c>
      <c r="DV202" s="12">
        <f t="shared" si="478"/>
        <v>0</v>
      </c>
      <c r="DW202" s="12">
        <f t="shared" si="478"/>
        <v>0</v>
      </c>
      <c r="DX202" s="12">
        <f t="shared" si="478"/>
        <v>0</v>
      </c>
      <c r="DY202" s="12">
        <f t="shared" si="478"/>
        <v>0</v>
      </c>
      <c r="DZ202" s="12">
        <f t="shared" si="478"/>
        <v>0</v>
      </c>
      <c r="EA202" s="12">
        <f t="shared" si="478"/>
        <v>0</v>
      </c>
      <c r="EB202" s="12">
        <f t="shared" si="478"/>
        <v>0</v>
      </c>
      <c r="EC202" s="12">
        <f t="shared" si="478"/>
        <v>0</v>
      </c>
      <c r="ED202" s="12">
        <f t="shared" si="478"/>
        <v>0</v>
      </c>
      <c r="EE202" s="12">
        <f t="shared" si="478"/>
        <v>0</v>
      </c>
      <c r="EF202" s="12">
        <f t="shared" si="478"/>
        <v>0</v>
      </c>
      <c r="EG202" s="12">
        <f t="shared" ref="EG202:FH202" si="479">-EG200*((1+$F$75)^(1/12)-1)</f>
        <v>0</v>
      </c>
      <c r="EH202" s="12">
        <f t="shared" si="479"/>
        <v>0</v>
      </c>
      <c r="EI202" s="12">
        <f t="shared" si="479"/>
        <v>0</v>
      </c>
      <c r="EJ202" s="12">
        <f t="shared" si="479"/>
        <v>0</v>
      </c>
      <c r="EK202" s="12">
        <f t="shared" si="479"/>
        <v>0</v>
      </c>
      <c r="EL202" s="12">
        <f t="shared" si="479"/>
        <v>0</v>
      </c>
      <c r="EM202" s="12">
        <f t="shared" si="479"/>
        <v>0</v>
      </c>
      <c r="EN202" s="12">
        <f t="shared" si="479"/>
        <v>0</v>
      </c>
      <c r="EO202" s="12">
        <f t="shared" si="479"/>
        <v>0</v>
      </c>
      <c r="EP202" s="12">
        <f t="shared" si="479"/>
        <v>0</v>
      </c>
      <c r="EQ202" s="12">
        <f t="shared" si="479"/>
        <v>0</v>
      </c>
      <c r="ER202" s="12">
        <f t="shared" si="479"/>
        <v>0</v>
      </c>
      <c r="ES202" s="12">
        <f t="shared" si="479"/>
        <v>0</v>
      </c>
      <c r="ET202" s="12">
        <f t="shared" si="479"/>
        <v>0</v>
      </c>
      <c r="EU202" s="12">
        <f t="shared" si="479"/>
        <v>0</v>
      </c>
      <c r="EV202" s="12">
        <f t="shared" si="479"/>
        <v>0</v>
      </c>
      <c r="EW202" s="12">
        <f t="shared" si="479"/>
        <v>0</v>
      </c>
      <c r="EX202" s="12">
        <f t="shared" si="479"/>
        <v>0</v>
      </c>
      <c r="EY202" s="12">
        <f t="shared" si="479"/>
        <v>0</v>
      </c>
      <c r="EZ202" s="12">
        <f t="shared" si="479"/>
        <v>0</v>
      </c>
      <c r="FA202" s="12">
        <f t="shared" si="479"/>
        <v>0</v>
      </c>
      <c r="FB202" s="12">
        <f t="shared" si="479"/>
        <v>0</v>
      </c>
      <c r="FC202" s="12">
        <f t="shared" si="479"/>
        <v>0</v>
      </c>
      <c r="FD202" s="12">
        <f t="shared" si="479"/>
        <v>0</v>
      </c>
      <c r="FE202" s="12">
        <f t="shared" si="479"/>
        <v>0</v>
      </c>
      <c r="FF202" s="12">
        <f t="shared" si="479"/>
        <v>0</v>
      </c>
      <c r="FG202" s="12">
        <f t="shared" si="479"/>
        <v>0</v>
      </c>
      <c r="FH202" s="12">
        <f t="shared" si="479"/>
        <v>0</v>
      </c>
    </row>
    <row r="203" spans="1:164" x14ac:dyDescent="0.2">
      <c r="A203" s="10"/>
      <c r="B203" s="10"/>
      <c r="C203" s="10" t="s">
        <v>338</v>
      </c>
      <c r="D203" s="10"/>
      <c r="E203" s="10"/>
      <c r="F203" s="10"/>
      <c r="G203" s="10"/>
      <c r="H203" s="12">
        <f>SUM(I203:FH203)</f>
        <v>-100217.03999999996</v>
      </c>
      <c r="I203" s="12">
        <f t="shared" ref="I203:AN203" si="480">IF(I$6=$F$76,-(I200+I201),0)</f>
        <v>0</v>
      </c>
      <c r="J203" s="12">
        <f t="shared" si="480"/>
        <v>0</v>
      </c>
      <c r="K203" s="12">
        <f t="shared" si="480"/>
        <v>0</v>
      </c>
      <c r="L203" s="12">
        <f t="shared" si="480"/>
        <v>0</v>
      </c>
      <c r="M203" s="12">
        <f t="shared" si="480"/>
        <v>0</v>
      </c>
      <c r="N203" s="12">
        <f t="shared" si="480"/>
        <v>0</v>
      </c>
      <c r="O203" s="12">
        <f t="shared" si="480"/>
        <v>0</v>
      </c>
      <c r="P203" s="12">
        <f t="shared" si="480"/>
        <v>0</v>
      </c>
      <c r="Q203" s="12">
        <f t="shared" si="480"/>
        <v>0</v>
      </c>
      <c r="R203" s="12">
        <f t="shared" si="480"/>
        <v>0</v>
      </c>
      <c r="S203" s="12">
        <f t="shared" si="480"/>
        <v>0</v>
      </c>
      <c r="T203" s="12">
        <f t="shared" si="480"/>
        <v>0</v>
      </c>
      <c r="U203" s="12">
        <f t="shared" si="480"/>
        <v>0</v>
      </c>
      <c r="V203" s="12">
        <f t="shared" si="480"/>
        <v>0</v>
      </c>
      <c r="W203" s="12">
        <f t="shared" si="480"/>
        <v>0</v>
      </c>
      <c r="X203" s="12">
        <f t="shared" si="480"/>
        <v>0</v>
      </c>
      <c r="Y203" s="12">
        <f t="shared" si="480"/>
        <v>0</v>
      </c>
      <c r="Z203" s="12">
        <f t="shared" si="480"/>
        <v>0</v>
      </c>
      <c r="AA203" s="12">
        <f t="shared" si="480"/>
        <v>0</v>
      </c>
      <c r="AB203" s="12">
        <f t="shared" si="480"/>
        <v>0</v>
      </c>
      <c r="AC203" s="12">
        <f t="shared" si="480"/>
        <v>0</v>
      </c>
      <c r="AD203" s="12">
        <f t="shared" si="480"/>
        <v>0</v>
      </c>
      <c r="AE203" s="12">
        <f t="shared" si="480"/>
        <v>0</v>
      </c>
      <c r="AF203" s="12">
        <f t="shared" si="480"/>
        <v>0</v>
      </c>
      <c r="AG203" s="12">
        <f t="shared" si="480"/>
        <v>0</v>
      </c>
      <c r="AH203" s="12">
        <f t="shared" si="480"/>
        <v>0</v>
      </c>
      <c r="AI203" s="12">
        <f t="shared" si="480"/>
        <v>0</v>
      </c>
      <c r="AJ203" s="12">
        <f t="shared" si="480"/>
        <v>0</v>
      </c>
      <c r="AK203" s="12">
        <f t="shared" si="480"/>
        <v>0</v>
      </c>
      <c r="AL203" s="12">
        <f t="shared" si="480"/>
        <v>0</v>
      </c>
      <c r="AM203" s="12">
        <f t="shared" si="480"/>
        <v>0</v>
      </c>
      <c r="AN203" s="12">
        <f t="shared" si="480"/>
        <v>0</v>
      </c>
      <c r="AO203" s="12">
        <f t="shared" ref="AO203:BT203" si="481">IF(AO$6=$F$76,-(AO200+AO201),0)</f>
        <v>0</v>
      </c>
      <c r="AP203" s="12">
        <f t="shared" si="481"/>
        <v>0</v>
      </c>
      <c r="AQ203" s="12">
        <f t="shared" si="481"/>
        <v>0</v>
      </c>
      <c r="AR203" s="12">
        <f t="shared" si="481"/>
        <v>0</v>
      </c>
      <c r="AS203" s="12">
        <f t="shared" si="481"/>
        <v>0</v>
      </c>
      <c r="AT203" s="12">
        <f t="shared" si="481"/>
        <v>0</v>
      </c>
      <c r="AU203" s="12">
        <f t="shared" si="481"/>
        <v>0</v>
      </c>
      <c r="AV203" s="12">
        <f t="shared" si="481"/>
        <v>0</v>
      </c>
      <c r="AW203" s="12">
        <f t="shared" si="481"/>
        <v>0</v>
      </c>
      <c r="AX203" s="12">
        <f t="shared" si="481"/>
        <v>0</v>
      </c>
      <c r="AY203" s="12">
        <f t="shared" si="481"/>
        <v>0</v>
      </c>
      <c r="AZ203" s="12">
        <f t="shared" si="481"/>
        <v>0</v>
      </c>
      <c r="BA203" s="12">
        <f t="shared" si="481"/>
        <v>0</v>
      </c>
      <c r="BB203" s="12">
        <f t="shared" si="481"/>
        <v>0</v>
      </c>
      <c r="BC203" s="12">
        <f t="shared" si="481"/>
        <v>0</v>
      </c>
      <c r="BD203" s="12">
        <f t="shared" si="481"/>
        <v>0</v>
      </c>
      <c r="BE203" s="12">
        <f t="shared" si="481"/>
        <v>0</v>
      </c>
      <c r="BF203" s="12">
        <f t="shared" si="481"/>
        <v>0</v>
      </c>
      <c r="BG203" s="12">
        <f t="shared" si="481"/>
        <v>0</v>
      </c>
      <c r="BH203" s="12">
        <f t="shared" si="481"/>
        <v>0</v>
      </c>
      <c r="BI203" s="12">
        <f t="shared" si="481"/>
        <v>0</v>
      </c>
      <c r="BJ203" s="12">
        <f t="shared" si="481"/>
        <v>0</v>
      </c>
      <c r="BK203" s="12">
        <f t="shared" si="481"/>
        <v>0</v>
      </c>
      <c r="BL203" s="12">
        <f t="shared" si="481"/>
        <v>0</v>
      </c>
      <c r="BM203" s="12">
        <f t="shared" si="481"/>
        <v>0</v>
      </c>
      <c r="BN203" s="12">
        <f t="shared" si="481"/>
        <v>0</v>
      </c>
      <c r="BO203" s="12">
        <f t="shared" si="481"/>
        <v>0</v>
      </c>
      <c r="BP203" s="12">
        <f t="shared" si="481"/>
        <v>0</v>
      </c>
      <c r="BQ203" s="12">
        <f t="shared" si="481"/>
        <v>0</v>
      </c>
      <c r="BR203" s="12">
        <f t="shared" si="481"/>
        <v>0</v>
      </c>
      <c r="BS203" s="12">
        <f t="shared" si="481"/>
        <v>0</v>
      </c>
      <c r="BT203" s="12">
        <f t="shared" si="481"/>
        <v>0</v>
      </c>
      <c r="BU203" s="12">
        <f t="shared" ref="BU203:CZ203" si="482">IF(BU$6=$F$76,-(BU200+BU201),0)</f>
        <v>0</v>
      </c>
      <c r="BV203" s="12">
        <f t="shared" si="482"/>
        <v>0</v>
      </c>
      <c r="BW203" s="12">
        <f t="shared" si="482"/>
        <v>0</v>
      </c>
      <c r="BX203" s="12">
        <f t="shared" si="482"/>
        <v>0</v>
      </c>
      <c r="BY203" s="12">
        <f t="shared" si="482"/>
        <v>0</v>
      </c>
      <c r="BZ203" s="12">
        <f t="shared" si="482"/>
        <v>0</v>
      </c>
      <c r="CA203" s="12">
        <f t="shared" si="482"/>
        <v>0</v>
      </c>
      <c r="CB203" s="12">
        <f t="shared" si="482"/>
        <v>0</v>
      </c>
      <c r="CC203" s="12">
        <f t="shared" si="482"/>
        <v>0</v>
      </c>
      <c r="CD203" s="12">
        <f t="shared" si="482"/>
        <v>0</v>
      </c>
      <c r="CE203" s="12">
        <f t="shared" si="482"/>
        <v>0</v>
      </c>
      <c r="CF203" s="12">
        <f t="shared" si="482"/>
        <v>0</v>
      </c>
      <c r="CG203" s="12">
        <f t="shared" si="482"/>
        <v>0</v>
      </c>
      <c r="CH203" s="12">
        <f t="shared" si="482"/>
        <v>0</v>
      </c>
      <c r="CI203" s="12">
        <f t="shared" si="482"/>
        <v>0</v>
      </c>
      <c r="CJ203" s="12">
        <f t="shared" si="482"/>
        <v>0</v>
      </c>
      <c r="CK203" s="12">
        <f t="shared" si="482"/>
        <v>0</v>
      </c>
      <c r="CL203" s="12">
        <f t="shared" si="482"/>
        <v>0</v>
      </c>
      <c r="CM203" s="12">
        <f t="shared" si="482"/>
        <v>0</v>
      </c>
      <c r="CN203" s="12">
        <f t="shared" si="482"/>
        <v>0</v>
      </c>
      <c r="CO203" s="12">
        <f t="shared" si="482"/>
        <v>0</v>
      </c>
      <c r="CP203" s="12">
        <f t="shared" si="482"/>
        <v>0</v>
      </c>
      <c r="CQ203" s="12">
        <f t="shared" si="482"/>
        <v>0</v>
      </c>
      <c r="CR203" s="12">
        <f t="shared" si="482"/>
        <v>0</v>
      </c>
      <c r="CS203" s="12">
        <f t="shared" si="482"/>
        <v>0</v>
      </c>
      <c r="CT203" s="12">
        <f t="shared" si="482"/>
        <v>0</v>
      </c>
      <c r="CU203" s="12">
        <f t="shared" si="482"/>
        <v>0</v>
      </c>
      <c r="CV203" s="12">
        <f t="shared" si="482"/>
        <v>0</v>
      </c>
      <c r="CW203" s="12">
        <f t="shared" si="482"/>
        <v>0</v>
      </c>
      <c r="CX203" s="12">
        <f t="shared" si="482"/>
        <v>0</v>
      </c>
      <c r="CY203" s="12">
        <f t="shared" si="482"/>
        <v>0</v>
      </c>
      <c r="CZ203" s="12">
        <f t="shared" si="482"/>
        <v>0</v>
      </c>
      <c r="DA203" s="12">
        <f t="shared" ref="DA203:EF203" si="483">IF(DA$6=$F$76,-(DA200+DA201),0)</f>
        <v>0</v>
      </c>
      <c r="DB203" s="12">
        <f t="shared" si="483"/>
        <v>0</v>
      </c>
      <c r="DC203" s="12">
        <f t="shared" si="483"/>
        <v>0</v>
      </c>
      <c r="DD203" s="12">
        <f t="shared" si="483"/>
        <v>0</v>
      </c>
      <c r="DE203" s="12">
        <f t="shared" si="483"/>
        <v>0</v>
      </c>
      <c r="DF203" s="12">
        <f t="shared" si="483"/>
        <v>0</v>
      </c>
      <c r="DG203" s="12">
        <f t="shared" si="483"/>
        <v>0</v>
      </c>
      <c r="DH203" s="12">
        <f t="shared" si="483"/>
        <v>0</v>
      </c>
      <c r="DI203" s="12">
        <f t="shared" si="483"/>
        <v>0</v>
      </c>
      <c r="DJ203" s="12">
        <f t="shared" si="483"/>
        <v>0</v>
      </c>
      <c r="DK203" s="12">
        <f t="shared" si="483"/>
        <v>0</v>
      </c>
      <c r="DL203" s="12">
        <f t="shared" si="483"/>
        <v>0</v>
      </c>
      <c r="DM203" s="12">
        <f t="shared" si="483"/>
        <v>0</v>
      </c>
      <c r="DN203" s="12">
        <f t="shared" si="483"/>
        <v>0</v>
      </c>
      <c r="DO203" s="12">
        <f t="shared" si="483"/>
        <v>0</v>
      </c>
      <c r="DP203" s="12">
        <f t="shared" si="483"/>
        <v>0</v>
      </c>
      <c r="DQ203" s="12">
        <f t="shared" si="483"/>
        <v>0</v>
      </c>
      <c r="DR203" s="12">
        <f t="shared" si="483"/>
        <v>0</v>
      </c>
      <c r="DS203" s="12">
        <f t="shared" si="483"/>
        <v>0</v>
      </c>
      <c r="DT203" s="12">
        <f t="shared" si="483"/>
        <v>-100217.03999999996</v>
      </c>
      <c r="DU203" s="12">
        <f t="shared" si="483"/>
        <v>0</v>
      </c>
      <c r="DV203" s="12">
        <f t="shared" si="483"/>
        <v>0</v>
      </c>
      <c r="DW203" s="12">
        <f t="shared" si="483"/>
        <v>0</v>
      </c>
      <c r="DX203" s="12">
        <f t="shared" si="483"/>
        <v>0</v>
      </c>
      <c r="DY203" s="12">
        <f t="shared" si="483"/>
        <v>0</v>
      </c>
      <c r="DZ203" s="12">
        <f t="shared" si="483"/>
        <v>0</v>
      </c>
      <c r="EA203" s="12">
        <f t="shared" si="483"/>
        <v>0</v>
      </c>
      <c r="EB203" s="12">
        <f t="shared" si="483"/>
        <v>0</v>
      </c>
      <c r="EC203" s="12">
        <f t="shared" si="483"/>
        <v>0</v>
      </c>
      <c r="ED203" s="12">
        <f t="shared" si="483"/>
        <v>0</v>
      </c>
      <c r="EE203" s="12">
        <f t="shared" si="483"/>
        <v>0</v>
      </c>
      <c r="EF203" s="12">
        <f t="shared" si="483"/>
        <v>0</v>
      </c>
      <c r="EG203" s="12">
        <f t="shared" ref="EG203:FH203" si="484">IF(EG$6=$F$76,-(EG200+EG201),0)</f>
        <v>0</v>
      </c>
      <c r="EH203" s="12">
        <f t="shared" si="484"/>
        <v>0</v>
      </c>
      <c r="EI203" s="12">
        <f t="shared" si="484"/>
        <v>0</v>
      </c>
      <c r="EJ203" s="12">
        <f t="shared" si="484"/>
        <v>0</v>
      </c>
      <c r="EK203" s="12">
        <f t="shared" si="484"/>
        <v>0</v>
      </c>
      <c r="EL203" s="12">
        <f t="shared" si="484"/>
        <v>0</v>
      </c>
      <c r="EM203" s="12">
        <f t="shared" si="484"/>
        <v>0</v>
      </c>
      <c r="EN203" s="12">
        <f t="shared" si="484"/>
        <v>0</v>
      </c>
      <c r="EO203" s="12">
        <f t="shared" si="484"/>
        <v>0</v>
      </c>
      <c r="EP203" s="12">
        <f t="shared" si="484"/>
        <v>0</v>
      </c>
      <c r="EQ203" s="12">
        <f t="shared" si="484"/>
        <v>0</v>
      </c>
      <c r="ER203" s="12">
        <f t="shared" si="484"/>
        <v>0</v>
      </c>
      <c r="ES203" s="12">
        <f t="shared" si="484"/>
        <v>0</v>
      </c>
      <c r="ET203" s="12">
        <f t="shared" si="484"/>
        <v>0</v>
      </c>
      <c r="EU203" s="12">
        <f t="shared" si="484"/>
        <v>0</v>
      </c>
      <c r="EV203" s="12">
        <f t="shared" si="484"/>
        <v>0</v>
      </c>
      <c r="EW203" s="12">
        <f t="shared" si="484"/>
        <v>0</v>
      </c>
      <c r="EX203" s="12">
        <f t="shared" si="484"/>
        <v>0</v>
      </c>
      <c r="EY203" s="12">
        <f t="shared" si="484"/>
        <v>0</v>
      </c>
      <c r="EZ203" s="12">
        <f t="shared" si="484"/>
        <v>0</v>
      </c>
      <c r="FA203" s="12">
        <f t="shared" si="484"/>
        <v>0</v>
      </c>
      <c r="FB203" s="12">
        <f t="shared" si="484"/>
        <v>0</v>
      </c>
      <c r="FC203" s="12">
        <f t="shared" si="484"/>
        <v>0</v>
      </c>
      <c r="FD203" s="12">
        <f t="shared" si="484"/>
        <v>0</v>
      </c>
      <c r="FE203" s="12">
        <f t="shared" si="484"/>
        <v>0</v>
      </c>
      <c r="FF203" s="12">
        <f t="shared" si="484"/>
        <v>0</v>
      </c>
      <c r="FG203" s="12">
        <f t="shared" si="484"/>
        <v>0</v>
      </c>
      <c r="FH203" s="12">
        <f t="shared" si="484"/>
        <v>0</v>
      </c>
    </row>
    <row r="204" spans="1:164" x14ac:dyDescent="0.2">
      <c r="A204" s="10"/>
      <c r="B204" s="10"/>
      <c r="C204" s="10" t="s">
        <v>769</v>
      </c>
      <c r="D204" s="10"/>
      <c r="E204" s="10"/>
      <c r="F204" s="10"/>
      <c r="G204" s="10"/>
      <c r="H204" s="12"/>
      <c r="I204" s="12">
        <f t="shared" ref="I204:AN204" si="485">I200+I201+I203</f>
        <v>0</v>
      </c>
      <c r="J204" s="12">
        <f t="shared" si="485"/>
        <v>0</v>
      </c>
      <c r="K204" s="12">
        <f t="shared" si="485"/>
        <v>0</v>
      </c>
      <c r="L204" s="12">
        <f t="shared" si="485"/>
        <v>0</v>
      </c>
      <c r="M204" s="12">
        <f t="shared" si="485"/>
        <v>0</v>
      </c>
      <c r="N204" s="12">
        <f t="shared" si="485"/>
        <v>0</v>
      </c>
      <c r="O204" s="12">
        <f t="shared" si="485"/>
        <v>0</v>
      </c>
      <c r="P204" s="12">
        <f t="shared" si="485"/>
        <v>0</v>
      </c>
      <c r="Q204" s="12">
        <f t="shared" si="485"/>
        <v>0</v>
      </c>
      <c r="R204" s="12">
        <f t="shared" si="485"/>
        <v>0</v>
      </c>
      <c r="S204" s="12">
        <f t="shared" si="485"/>
        <v>0</v>
      </c>
      <c r="T204" s="12">
        <f t="shared" si="485"/>
        <v>0</v>
      </c>
      <c r="U204" s="12">
        <f t="shared" si="485"/>
        <v>0</v>
      </c>
      <c r="V204" s="12">
        <f t="shared" si="485"/>
        <v>0</v>
      </c>
      <c r="W204" s="12">
        <f t="shared" si="485"/>
        <v>0</v>
      </c>
      <c r="X204" s="12">
        <f t="shared" si="485"/>
        <v>0</v>
      </c>
      <c r="Y204" s="12">
        <f t="shared" si="485"/>
        <v>0</v>
      </c>
      <c r="Z204" s="12">
        <f t="shared" si="485"/>
        <v>0</v>
      </c>
      <c r="AA204" s="12">
        <f t="shared" si="485"/>
        <v>0</v>
      </c>
      <c r="AB204" s="12">
        <f t="shared" si="485"/>
        <v>0</v>
      </c>
      <c r="AC204" s="12">
        <f t="shared" si="485"/>
        <v>0</v>
      </c>
      <c r="AD204" s="12">
        <f t="shared" si="485"/>
        <v>0</v>
      </c>
      <c r="AE204" s="12">
        <f t="shared" si="485"/>
        <v>0</v>
      </c>
      <c r="AF204" s="12">
        <f t="shared" si="485"/>
        <v>0</v>
      </c>
      <c r="AG204" s="12">
        <f t="shared" si="485"/>
        <v>0</v>
      </c>
      <c r="AH204" s="12">
        <f t="shared" si="485"/>
        <v>0</v>
      </c>
      <c r="AI204" s="12">
        <f t="shared" si="485"/>
        <v>0</v>
      </c>
      <c r="AJ204" s="12">
        <f t="shared" si="485"/>
        <v>0</v>
      </c>
      <c r="AK204" s="12">
        <f t="shared" si="485"/>
        <v>0</v>
      </c>
      <c r="AL204" s="12">
        <f t="shared" si="485"/>
        <v>0</v>
      </c>
      <c r="AM204" s="12">
        <f t="shared" si="485"/>
        <v>0</v>
      </c>
      <c r="AN204" s="12">
        <f t="shared" si="485"/>
        <v>0</v>
      </c>
      <c r="AO204" s="12">
        <f t="shared" ref="AO204:BT204" si="486">AO200+AO201+AO203</f>
        <v>0</v>
      </c>
      <c r="AP204" s="12">
        <f t="shared" si="486"/>
        <v>0</v>
      </c>
      <c r="AQ204" s="12">
        <f t="shared" si="486"/>
        <v>0</v>
      </c>
      <c r="AR204" s="12">
        <f t="shared" si="486"/>
        <v>0</v>
      </c>
      <c r="AS204" s="12">
        <f t="shared" si="486"/>
        <v>0</v>
      </c>
      <c r="AT204" s="12">
        <f t="shared" si="486"/>
        <v>0</v>
      </c>
      <c r="AU204" s="12">
        <f t="shared" si="486"/>
        <v>0</v>
      </c>
      <c r="AV204" s="12">
        <f t="shared" si="486"/>
        <v>0</v>
      </c>
      <c r="AW204" s="12">
        <f t="shared" si="486"/>
        <v>0</v>
      </c>
      <c r="AX204" s="12">
        <f t="shared" si="486"/>
        <v>0</v>
      </c>
      <c r="AY204" s="12">
        <f t="shared" si="486"/>
        <v>0</v>
      </c>
      <c r="AZ204" s="12">
        <f t="shared" si="486"/>
        <v>0</v>
      </c>
      <c r="BA204" s="12">
        <f t="shared" si="486"/>
        <v>0</v>
      </c>
      <c r="BB204" s="12">
        <f t="shared" si="486"/>
        <v>0</v>
      </c>
      <c r="BC204" s="12">
        <f t="shared" si="486"/>
        <v>0</v>
      </c>
      <c r="BD204" s="12">
        <f t="shared" si="486"/>
        <v>0</v>
      </c>
      <c r="BE204" s="12">
        <f t="shared" si="486"/>
        <v>0</v>
      </c>
      <c r="BF204" s="12">
        <f t="shared" si="486"/>
        <v>0</v>
      </c>
      <c r="BG204" s="12">
        <f t="shared" si="486"/>
        <v>0</v>
      </c>
      <c r="BH204" s="12">
        <f t="shared" si="486"/>
        <v>0</v>
      </c>
      <c r="BI204" s="12">
        <f t="shared" si="486"/>
        <v>0</v>
      </c>
      <c r="BJ204" s="12">
        <f t="shared" si="486"/>
        <v>0</v>
      </c>
      <c r="BK204" s="12">
        <f t="shared" si="486"/>
        <v>0</v>
      </c>
      <c r="BL204" s="12">
        <f t="shared" si="486"/>
        <v>0</v>
      </c>
      <c r="BM204" s="12">
        <f t="shared" si="486"/>
        <v>0</v>
      </c>
      <c r="BN204" s="12">
        <f t="shared" si="486"/>
        <v>0</v>
      </c>
      <c r="BO204" s="12">
        <f t="shared" si="486"/>
        <v>0</v>
      </c>
      <c r="BP204" s="12">
        <f t="shared" si="486"/>
        <v>0</v>
      </c>
      <c r="BQ204" s="12">
        <f t="shared" si="486"/>
        <v>0</v>
      </c>
      <c r="BR204" s="12">
        <f t="shared" si="486"/>
        <v>0</v>
      </c>
      <c r="BS204" s="12">
        <f t="shared" si="486"/>
        <v>0</v>
      </c>
      <c r="BT204" s="12">
        <f t="shared" si="486"/>
        <v>0</v>
      </c>
      <c r="BU204" s="12">
        <f t="shared" ref="BU204:CZ204" si="487">BU200+BU201+BU203</f>
        <v>0</v>
      </c>
      <c r="BV204" s="12">
        <f t="shared" si="487"/>
        <v>0</v>
      </c>
      <c r="BW204" s="12">
        <f t="shared" si="487"/>
        <v>0</v>
      </c>
      <c r="BX204" s="12">
        <f t="shared" si="487"/>
        <v>0</v>
      </c>
      <c r="BY204" s="12">
        <f t="shared" si="487"/>
        <v>0</v>
      </c>
      <c r="BZ204" s="12">
        <f t="shared" si="487"/>
        <v>0</v>
      </c>
      <c r="CA204" s="12">
        <f t="shared" si="487"/>
        <v>0</v>
      </c>
      <c r="CB204" s="12">
        <f t="shared" si="487"/>
        <v>0</v>
      </c>
      <c r="CC204" s="12">
        <f t="shared" si="487"/>
        <v>0</v>
      </c>
      <c r="CD204" s="12">
        <f t="shared" si="487"/>
        <v>0</v>
      </c>
      <c r="CE204" s="12">
        <f t="shared" si="487"/>
        <v>0</v>
      </c>
      <c r="CF204" s="12">
        <f t="shared" si="487"/>
        <v>0</v>
      </c>
      <c r="CG204" s="12">
        <f t="shared" si="487"/>
        <v>0</v>
      </c>
      <c r="CH204" s="12">
        <f t="shared" si="487"/>
        <v>0</v>
      </c>
      <c r="CI204" s="12">
        <f t="shared" si="487"/>
        <v>0</v>
      </c>
      <c r="CJ204" s="12">
        <f t="shared" si="487"/>
        <v>0</v>
      </c>
      <c r="CK204" s="12">
        <f t="shared" si="487"/>
        <v>0</v>
      </c>
      <c r="CL204" s="12">
        <f t="shared" si="487"/>
        <v>2200.7513606884459</v>
      </c>
      <c r="CM204" s="12">
        <f t="shared" si="487"/>
        <v>9424.0978690235206</v>
      </c>
      <c r="CN204" s="12">
        <f t="shared" si="487"/>
        <v>16702.839999999997</v>
      </c>
      <c r="CO204" s="12">
        <f t="shared" si="487"/>
        <v>23981.582130976472</v>
      </c>
      <c r="CP204" s="12">
        <f t="shared" si="487"/>
        <v>31204.928639311547</v>
      </c>
      <c r="CQ204" s="12">
        <f t="shared" si="487"/>
        <v>38317.905496500927</v>
      </c>
      <c r="CR204" s="12">
        <f t="shared" si="487"/>
        <v>45266.378653728549</v>
      </c>
      <c r="CS204" s="12">
        <f t="shared" si="487"/>
        <v>51997.466034665107</v>
      </c>
      <c r="CT204" s="12">
        <f t="shared" si="487"/>
        <v>58459.939999999973</v>
      </c>
      <c r="CU204" s="12">
        <f t="shared" si="487"/>
        <v>64604.617220708504</v>
      </c>
      <c r="CV204" s="12">
        <f t="shared" si="487"/>
        <v>70384.732992883553</v>
      </c>
      <c r="CW204" s="12">
        <f t="shared" si="487"/>
        <v>75756.297145369535</v>
      </c>
      <c r="CX204" s="12">
        <f t="shared" si="487"/>
        <v>80678.428831526908</v>
      </c>
      <c r="CY204" s="12">
        <f t="shared" si="487"/>
        <v>85113.667657159691</v>
      </c>
      <c r="CZ204" s="12">
        <f t="shared" si="487"/>
        <v>89028.258776734336</v>
      </c>
      <c r="DA204" s="12">
        <f t="shared" ref="DA204:EF204" si="488">DA200+DA201+DA203</f>
        <v>92392.409788136152</v>
      </c>
      <c r="DB204" s="12">
        <f t="shared" si="488"/>
        <v>95180.517470838458</v>
      </c>
      <c r="DC204" s="12">
        <f t="shared" si="488"/>
        <v>97371.362641870466</v>
      </c>
      <c r="DD204" s="12">
        <f t="shared" si="488"/>
        <v>98948.271646612106</v>
      </c>
      <c r="DE204" s="12">
        <f t="shared" si="488"/>
        <v>99899.2432553736</v>
      </c>
      <c r="DF204" s="12">
        <f t="shared" si="488"/>
        <v>100217.03999999996</v>
      </c>
      <c r="DG204" s="12">
        <f t="shared" si="488"/>
        <v>100217.03999999996</v>
      </c>
      <c r="DH204" s="12">
        <f t="shared" si="488"/>
        <v>100217.03999999996</v>
      </c>
      <c r="DI204" s="12">
        <f t="shared" si="488"/>
        <v>100217.03999999996</v>
      </c>
      <c r="DJ204" s="12">
        <f t="shared" si="488"/>
        <v>100217.03999999996</v>
      </c>
      <c r="DK204" s="12">
        <f t="shared" si="488"/>
        <v>100217.03999999996</v>
      </c>
      <c r="DL204" s="12">
        <f t="shared" si="488"/>
        <v>100217.03999999996</v>
      </c>
      <c r="DM204" s="12">
        <f t="shared" si="488"/>
        <v>100217.03999999996</v>
      </c>
      <c r="DN204" s="12">
        <f t="shared" si="488"/>
        <v>100217.03999999996</v>
      </c>
      <c r="DO204" s="12">
        <f t="shared" si="488"/>
        <v>100217.03999999996</v>
      </c>
      <c r="DP204" s="12">
        <f t="shared" si="488"/>
        <v>100217.03999999996</v>
      </c>
      <c r="DQ204" s="12">
        <f t="shared" si="488"/>
        <v>100217.03999999996</v>
      </c>
      <c r="DR204" s="12">
        <f t="shared" si="488"/>
        <v>100217.03999999996</v>
      </c>
      <c r="DS204" s="12">
        <f t="shared" si="488"/>
        <v>100217.03999999996</v>
      </c>
      <c r="DT204" s="12">
        <f t="shared" si="488"/>
        <v>0</v>
      </c>
      <c r="DU204" s="12">
        <f t="shared" si="488"/>
        <v>0</v>
      </c>
      <c r="DV204" s="12">
        <f t="shared" si="488"/>
        <v>0</v>
      </c>
      <c r="DW204" s="12">
        <f t="shared" si="488"/>
        <v>0</v>
      </c>
      <c r="DX204" s="12">
        <f t="shared" si="488"/>
        <v>0</v>
      </c>
      <c r="DY204" s="12">
        <f t="shared" si="488"/>
        <v>0</v>
      </c>
      <c r="DZ204" s="12">
        <f t="shared" si="488"/>
        <v>0</v>
      </c>
      <c r="EA204" s="12">
        <f t="shared" si="488"/>
        <v>0</v>
      </c>
      <c r="EB204" s="12">
        <f t="shared" si="488"/>
        <v>0</v>
      </c>
      <c r="EC204" s="12">
        <f t="shared" si="488"/>
        <v>0</v>
      </c>
      <c r="ED204" s="12">
        <f t="shared" si="488"/>
        <v>0</v>
      </c>
      <c r="EE204" s="12">
        <f t="shared" si="488"/>
        <v>0</v>
      </c>
      <c r="EF204" s="12">
        <f t="shared" si="488"/>
        <v>0</v>
      </c>
      <c r="EG204" s="12">
        <f t="shared" ref="EG204:FH204" si="489">EG200+EG201+EG203</f>
        <v>0</v>
      </c>
      <c r="EH204" s="12">
        <f t="shared" si="489"/>
        <v>0</v>
      </c>
      <c r="EI204" s="12">
        <f t="shared" si="489"/>
        <v>0</v>
      </c>
      <c r="EJ204" s="12">
        <f t="shared" si="489"/>
        <v>0</v>
      </c>
      <c r="EK204" s="12">
        <f t="shared" si="489"/>
        <v>0</v>
      </c>
      <c r="EL204" s="12">
        <f t="shared" si="489"/>
        <v>0</v>
      </c>
      <c r="EM204" s="12">
        <f t="shared" si="489"/>
        <v>0</v>
      </c>
      <c r="EN204" s="12">
        <f t="shared" si="489"/>
        <v>0</v>
      </c>
      <c r="EO204" s="12">
        <f t="shared" si="489"/>
        <v>0</v>
      </c>
      <c r="EP204" s="12">
        <f t="shared" si="489"/>
        <v>0</v>
      </c>
      <c r="EQ204" s="12">
        <f t="shared" si="489"/>
        <v>0</v>
      </c>
      <c r="ER204" s="12">
        <f t="shared" si="489"/>
        <v>0</v>
      </c>
      <c r="ES204" s="12">
        <f t="shared" si="489"/>
        <v>0</v>
      </c>
      <c r="ET204" s="12">
        <f t="shared" si="489"/>
        <v>0</v>
      </c>
      <c r="EU204" s="12">
        <f t="shared" si="489"/>
        <v>0</v>
      </c>
      <c r="EV204" s="12">
        <f t="shared" si="489"/>
        <v>0</v>
      </c>
      <c r="EW204" s="12">
        <f t="shared" si="489"/>
        <v>0</v>
      </c>
      <c r="EX204" s="12">
        <f t="shared" si="489"/>
        <v>0</v>
      </c>
      <c r="EY204" s="12">
        <f t="shared" si="489"/>
        <v>0</v>
      </c>
      <c r="EZ204" s="12">
        <f t="shared" si="489"/>
        <v>0</v>
      </c>
      <c r="FA204" s="12">
        <f t="shared" si="489"/>
        <v>0</v>
      </c>
      <c r="FB204" s="12">
        <f t="shared" si="489"/>
        <v>0</v>
      </c>
      <c r="FC204" s="12">
        <f t="shared" si="489"/>
        <v>0</v>
      </c>
      <c r="FD204" s="12">
        <f t="shared" si="489"/>
        <v>0</v>
      </c>
      <c r="FE204" s="12">
        <f t="shared" si="489"/>
        <v>0</v>
      </c>
      <c r="FF204" s="12">
        <f t="shared" si="489"/>
        <v>0</v>
      </c>
      <c r="FG204" s="12">
        <f t="shared" si="489"/>
        <v>0</v>
      </c>
      <c r="FH204" s="12">
        <f t="shared" si="489"/>
        <v>0</v>
      </c>
    </row>
    <row r="205" spans="1:164" x14ac:dyDescent="0.2">
      <c r="A205" s="10"/>
      <c r="B205" s="31" t="s">
        <v>917</v>
      </c>
      <c r="C205" s="31"/>
      <c r="D205" s="31"/>
      <c r="E205" s="31"/>
      <c r="F205" s="31"/>
      <c r="G205" s="31"/>
      <c r="H205" s="32">
        <f>SUM(I205:FH205)</f>
        <v>98671.488599679389</v>
      </c>
      <c r="I205" s="32">
        <f t="shared" ref="I205:AN205" si="490">I196+I201+I202+I203</f>
        <v>0</v>
      </c>
      <c r="J205" s="32">
        <f t="shared" si="490"/>
        <v>0</v>
      </c>
      <c r="K205" s="32">
        <f t="shared" si="490"/>
        <v>0</v>
      </c>
      <c r="L205" s="32">
        <f t="shared" si="490"/>
        <v>0</v>
      </c>
      <c r="M205" s="32">
        <f t="shared" si="490"/>
        <v>0</v>
      </c>
      <c r="N205" s="32">
        <f t="shared" si="490"/>
        <v>0</v>
      </c>
      <c r="O205" s="32">
        <f t="shared" si="490"/>
        <v>0</v>
      </c>
      <c r="P205" s="32">
        <f t="shared" si="490"/>
        <v>0</v>
      </c>
      <c r="Q205" s="32">
        <f t="shared" si="490"/>
        <v>0</v>
      </c>
      <c r="R205" s="32">
        <f t="shared" si="490"/>
        <v>0</v>
      </c>
      <c r="S205" s="32">
        <f t="shared" si="490"/>
        <v>0</v>
      </c>
      <c r="T205" s="32">
        <f t="shared" si="490"/>
        <v>0</v>
      </c>
      <c r="U205" s="32">
        <f t="shared" si="490"/>
        <v>0</v>
      </c>
      <c r="V205" s="32">
        <f t="shared" si="490"/>
        <v>0</v>
      </c>
      <c r="W205" s="32">
        <f t="shared" si="490"/>
        <v>0</v>
      </c>
      <c r="X205" s="32">
        <f t="shared" si="490"/>
        <v>0</v>
      </c>
      <c r="Y205" s="32">
        <f t="shared" si="490"/>
        <v>0</v>
      </c>
      <c r="Z205" s="32">
        <f t="shared" si="490"/>
        <v>0</v>
      </c>
      <c r="AA205" s="32">
        <f t="shared" si="490"/>
        <v>0</v>
      </c>
      <c r="AB205" s="32">
        <f t="shared" si="490"/>
        <v>0</v>
      </c>
      <c r="AC205" s="32">
        <f t="shared" si="490"/>
        <v>0</v>
      </c>
      <c r="AD205" s="32">
        <f t="shared" si="490"/>
        <v>0</v>
      </c>
      <c r="AE205" s="32">
        <f t="shared" si="490"/>
        <v>0</v>
      </c>
      <c r="AF205" s="32">
        <f t="shared" si="490"/>
        <v>0</v>
      </c>
      <c r="AG205" s="32">
        <f t="shared" si="490"/>
        <v>0</v>
      </c>
      <c r="AH205" s="32">
        <f t="shared" si="490"/>
        <v>0</v>
      </c>
      <c r="AI205" s="32">
        <f t="shared" si="490"/>
        <v>0</v>
      </c>
      <c r="AJ205" s="32">
        <f t="shared" si="490"/>
        <v>0</v>
      </c>
      <c r="AK205" s="32">
        <f t="shared" si="490"/>
        <v>0</v>
      </c>
      <c r="AL205" s="32">
        <f t="shared" si="490"/>
        <v>0</v>
      </c>
      <c r="AM205" s="32">
        <f t="shared" si="490"/>
        <v>0</v>
      </c>
      <c r="AN205" s="32">
        <f t="shared" si="490"/>
        <v>0</v>
      </c>
      <c r="AO205" s="32">
        <f t="shared" ref="AO205:BT205" si="491">AO196+AO201+AO202+AO203</f>
        <v>0</v>
      </c>
      <c r="AP205" s="32">
        <f t="shared" si="491"/>
        <v>0</v>
      </c>
      <c r="AQ205" s="32">
        <f t="shared" si="491"/>
        <v>0</v>
      </c>
      <c r="AR205" s="32">
        <f t="shared" si="491"/>
        <v>0</v>
      </c>
      <c r="AS205" s="32">
        <f t="shared" si="491"/>
        <v>0</v>
      </c>
      <c r="AT205" s="32">
        <f t="shared" si="491"/>
        <v>0</v>
      </c>
      <c r="AU205" s="32">
        <f t="shared" si="491"/>
        <v>0</v>
      </c>
      <c r="AV205" s="32">
        <f t="shared" si="491"/>
        <v>0</v>
      </c>
      <c r="AW205" s="32">
        <f t="shared" si="491"/>
        <v>0</v>
      </c>
      <c r="AX205" s="32">
        <f t="shared" si="491"/>
        <v>0</v>
      </c>
      <c r="AY205" s="32">
        <f t="shared" si="491"/>
        <v>0</v>
      </c>
      <c r="AZ205" s="32">
        <f t="shared" si="491"/>
        <v>0</v>
      </c>
      <c r="BA205" s="32">
        <f t="shared" si="491"/>
        <v>0</v>
      </c>
      <c r="BB205" s="32">
        <f t="shared" si="491"/>
        <v>0</v>
      </c>
      <c r="BC205" s="32">
        <f t="shared" si="491"/>
        <v>0</v>
      </c>
      <c r="BD205" s="32">
        <f t="shared" si="491"/>
        <v>0</v>
      </c>
      <c r="BE205" s="32">
        <f t="shared" si="491"/>
        <v>0</v>
      </c>
      <c r="BF205" s="32">
        <f t="shared" si="491"/>
        <v>0</v>
      </c>
      <c r="BG205" s="32">
        <f t="shared" si="491"/>
        <v>0</v>
      </c>
      <c r="BH205" s="32">
        <f t="shared" si="491"/>
        <v>0</v>
      </c>
      <c r="BI205" s="32">
        <f t="shared" si="491"/>
        <v>0</v>
      </c>
      <c r="BJ205" s="32">
        <f t="shared" si="491"/>
        <v>0</v>
      </c>
      <c r="BK205" s="32">
        <f t="shared" si="491"/>
        <v>-417.57099999999997</v>
      </c>
      <c r="BL205" s="32">
        <f t="shared" si="491"/>
        <v>-417.57099999999997</v>
      </c>
      <c r="BM205" s="32">
        <f t="shared" si="491"/>
        <v>-417.57099999999997</v>
      </c>
      <c r="BN205" s="32">
        <f t="shared" si="491"/>
        <v>-819.75794444444432</v>
      </c>
      <c r="BO205" s="32">
        <f t="shared" si="491"/>
        <v>-819.75794444444432</v>
      </c>
      <c r="BP205" s="32">
        <f t="shared" si="491"/>
        <v>-819.75794444444432</v>
      </c>
      <c r="BQ205" s="32">
        <f t="shared" si="491"/>
        <v>95.504630555555423</v>
      </c>
      <c r="BR205" s="32">
        <f t="shared" si="491"/>
        <v>217.33784640921363</v>
      </c>
      <c r="BS205" s="32">
        <f t="shared" si="491"/>
        <v>342.21689265921373</v>
      </c>
      <c r="BT205" s="32">
        <f t="shared" si="491"/>
        <v>470.2979657361368</v>
      </c>
      <c r="BU205" s="32">
        <f t="shared" ref="BU205:CZ205" si="492">BU196+BU201+BU202+BU203</f>
        <v>601.74959336771576</v>
      </c>
      <c r="BV205" s="32">
        <f t="shared" si="492"/>
        <v>736.75396769203985</v>
      </c>
      <c r="BW205" s="32">
        <f t="shared" si="492"/>
        <v>284.45123662110154</v>
      </c>
      <c r="BX205" s="32">
        <f t="shared" si="492"/>
        <v>-343.0803740312474</v>
      </c>
      <c r="BY205" s="32">
        <f t="shared" si="492"/>
        <v>-961.49603636267966</v>
      </c>
      <c r="BZ205" s="32">
        <f t="shared" si="492"/>
        <v>-1565.6317256482785</v>
      </c>
      <c r="CA205" s="32">
        <f t="shared" si="492"/>
        <v>-2150.412852175657</v>
      </c>
      <c r="CB205" s="32">
        <f t="shared" si="492"/>
        <v>-2710.8911502406472</v>
      </c>
      <c r="CC205" s="32">
        <f t="shared" si="492"/>
        <v>-3242.2803664611088</v>
      </c>
      <c r="CD205" s="32">
        <f t="shared" si="492"/>
        <v>-3739.9904313182551</v>
      </c>
      <c r="CE205" s="32">
        <f t="shared" si="492"/>
        <v>-4199.6597989649308</v>
      </c>
      <c r="CF205" s="32">
        <f t="shared" si="492"/>
        <v>-4214.9986964660475</v>
      </c>
      <c r="CG205" s="32">
        <f t="shared" si="492"/>
        <v>-4586.5646337596645</v>
      </c>
      <c r="CH205" s="32">
        <f t="shared" si="492"/>
        <v>-4908.6656883712003</v>
      </c>
      <c r="CI205" s="32">
        <f t="shared" si="492"/>
        <v>-5178.1301256921397</v>
      </c>
      <c r="CJ205" s="32">
        <f t="shared" si="492"/>
        <v>-5392.1378437329522</v>
      </c>
      <c r="CK205" s="32">
        <f t="shared" si="492"/>
        <v>-5548.2349367777615</v>
      </c>
      <c r="CL205" s="32">
        <f t="shared" si="492"/>
        <v>-3443.5926555842334</v>
      </c>
      <c r="CM205" s="32">
        <f t="shared" si="492"/>
        <v>1523.6942332821168</v>
      </c>
      <c r="CN205" s="32">
        <f t="shared" si="492"/>
        <v>1539.1194375307311</v>
      </c>
      <c r="CO205" s="32">
        <f t="shared" si="492"/>
        <v>1562.5559578478924</v>
      </c>
      <c r="CP205" s="32">
        <f t="shared" si="492"/>
        <v>1595.1022058029334</v>
      </c>
      <c r="CQ205" s="32">
        <f t="shared" si="492"/>
        <v>1637.9360695381054</v>
      </c>
      <c r="CR205" s="32">
        <f t="shared" si="492"/>
        <v>1692.3397645249156</v>
      </c>
      <c r="CS205" s="32">
        <f t="shared" si="492"/>
        <v>1759.7351537327656</v>
      </c>
      <c r="CT205" s="32">
        <f t="shared" si="492"/>
        <v>1841.7342848665164</v>
      </c>
      <c r="CU205" s="32">
        <f t="shared" si="492"/>
        <v>1940.2126440089228</v>
      </c>
      <c r="CV205" s="32">
        <f t="shared" si="492"/>
        <v>2057.4173791989165</v>
      </c>
      <c r="CW205" s="32">
        <f t="shared" si="492"/>
        <v>2196.1313066418415</v>
      </c>
      <c r="CX205" s="32">
        <f t="shared" si="492"/>
        <v>2359.9296815402831</v>
      </c>
      <c r="CY205" s="32">
        <f t="shared" si="492"/>
        <v>2553.5990565456705</v>
      </c>
      <c r="CZ205" s="32">
        <f t="shared" si="492"/>
        <v>2783.8568559611026</v>
      </c>
      <c r="DA205" s="32">
        <f t="shared" ref="DA205:EF205" si="493">DA196+DA201+DA202+DA203</f>
        <v>3060.6720094515358</v>
      </c>
      <c r="DB205" s="32">
        <f t="shared" si="493"/>
        <v>3399.9074542110911</v>
      </c>
      <c r="DC205" s="32">
        <f t="shared" si="493"/>
        <v>3829.2667160251876</v>
      </c>
      <c r="DD205" s="32">
        <f t="shared" si="493"/>
        <v>4404.1519264771268</v>
      </c>
      <c r="DE205" s="32">
        <f t="shared" si="493"/>
        <v>5263.1663798057434</v>
      </c>
      <c r="DF205" s="32">
        <f t="shared" si="493"/>
        <v>6961.1264736407575</v>
      </c>
      <c r="DG205" s="32">
        <f t="shared" si="493"/>
        <v>29020.032358923148</v>
      </c>
      <c r="DH205" s="32">
        <f t="shared" si="493"/>
        <v>291.81891725650712</v>
      </c>
      <c r="DI205" s="32">
        <f t="shared" si="493"/>
        <v>291.81891725650712</v>
      </c>
      <c r="DJ205" s="32">
        <f t="shared" si="493"/>
        <v>291.81891725650712</v>
      </c>
      <c r="DK205" s="32">
        <f t="shared" si="493"/>
        <v>291.81891725650712</v>
      </c>
      <c r="DL205" s="32">
        <f t="shared" si="493"/>
        <v>291.81891725650712</v>
      </c>
      <c r="DM205" s="32">
        <f t="shared" si="493"/>
        <v>291.81891725650712</v>
      </c>
      <c r="DN205" s="32">
        <f t="shared" si="493"/>
        <v>291.81891725650712</v>
      </c>
      <c r="DO205" s="32">
        <f t="shared" si="493"/>
        <v>291.81891725650712</v>
      </c>
      <c r="DP205" s="32">
        <f t="shared" si="493"/>
        <v>291.81891725650712</v>
      </c>
      <c r="DQ205" s="32">
        <f t="shared" si="493"/>
        <v>291.81891725650712</v>
      </c>
      <c r="DR205" s="32">
        <f t="shared" si="493"/>
        <v>291.81891725650712</v>
      </c>
      <c r="DS205" s="32">
        <f t="shared" si="493"/>
        <v>291.81891725650712</v>
      </c>
      <c r="DT205" s="32">
        <f t="shared" si="493"/>
        <v>65337.416258923171</v>
      </c>
      <c r="DU205" s="32">
        <f t="shared" si="493"/>
        <v>0</v>
      </c>
      <c r="DV205" s="32">
        <f t="shared" si="493"/>
        <v>0</v>
      </c>
      <c r="DW205" s="32">
        <f t="shared" si="493"/>
        <v>0</v>
      </c>
      <c r="DX205" s="32">
        <f t="shared" si="493"/>
        <v>0</v>
      </c>
      <c r="DY205" s="32">
        <f t="shared" si="493"/>
        <v>0</v>
      </c>
      <c r="DZ205" s="32">
        <f t="shared" si="493"/>
        <v>0</v>
      </c>
      <c r="EA205" s="32">
        <f t="shared" si="493"/>
        <v>0</v>
      </c>
      <c r="EB205" s="32">
        <f t="shared" si="493"/>
        <v>0</v>
      </c>
      <c r="EC205" s="32">
        <f t="shared" si="493"/>
        <v>0</v>
      </c>
      <c r="ED205" s="32">
        <f t="shared" si="493"/>
        <v>0</v>
      </c>
      <c r="EE205" s="32">
        <f t="shared" si="493"/>
        <v>0</v>
      </c>
      <c r="EF205" s="32">
        <f t="shared" si="493"/>
        <v>0</v>
      </c>
      <c r="EG205" s="32">
        <f t="shared" ref="EG205:FH205" si="494">EG196+EG201+EG202+EG203</f>
        <v>0</v>
      </c>
      <c r="EH205" s="32">
        <f t="shared" si="494"/>
        <v>0</v>
      </c>
      <c r="EI205" s="32">
        <f t="shared" si="494"/>
        <v>0</v>
      </c>
      <c r="EJ205" s="32">
        <f t="shared" si="494"/>
        <v>0</v>
      </c>
      <c r="EK205" s="32">
        <f t="shared" si="494"/>
        <v>0</v>
      </c>
      <c r="EL205" s="32">
        <f t="shared" si="494"/>
        <v>0</v>
      </c>
      <c r="EM205" s="32">
        <f t="shared" si="494"/>
        <v>0</v>
      </c>
      <c r="EN205" s="32">
        <f t="shared" si="494"/>
        <v>0</v>
      </c>
      <c r="EO205" s="32">
        <f t="shared" si="494"/>
        <v>0</v>
      </c>
      <c r="EP205" s="32">
        <f t="shared" si="494"/>
        <v>0</v>
      </c>
      <c r="EQ205" s="32">
        <f t="shared" si="494"/>
        <v>0</v>
      </c>
      <c r="ER205" s="32">
        <f t="shared" si="494"/>
        <v>0</v>
      </c>
      <c r="ES205" s="32">
        <f t="shared" si="494"/>
        <v>0</v>
      </c>
      <c r="ET205" s="32">
        <f t="shared" si="494"/>
        <v>0</v>
      </c>
      <c r="EU205" s="32">
        <f t="shared" si="494"/>
        <v>0</v>
      </c>
      <c r="EV205" s="32">
        <f t="shared" si="494"/>
        <v>0</v>
      </c>
      <c r="EW205" s="32">
        <f t="shared" si="494"/>
        <v>0</v>
      </c>
      <c r="EX205" s="32">
        <f t="shared" si="494"/>
        <v>0</v>
      </c>
      <c r="EY205" s="32">
        <f t="shared" si="494"/>
        <v>0</v>
      </c>
      <c r="EZ205" s="32">
        <f t="shared" si="494"/>
        <v>0</v>
      </c>
      <c r="FA205" s="32">
        <f t="shared" si="494"/>
        <v>0</v>
      </c>
      <c r="FB205" s="32">
        <f t="shared" si="494"/>
        <v>0</v>
      </c>
      <c r="FC205" s="32">
        <f t="shared" si="494"/>
        <v>0</v>
      </c>
      <c r="FD205" s="32">
        <f t="shared" si="494"/>
        <v>0</v>
      </c>
      <c r="FE205" s="32">
        <f t="shared" si="494"/>
        <v>0</v>
      </c>
      <c r="FF205" s="32">
        <f t="shared" si="494"/>
        <v>0</v>
      </c>
      <c r="FG205" s="32">
        <f t="shared" si="494"/>
        <v>0</v>
      </c>
      <c r="FH205" s="32">
        <f t="shared" si="494"/>
        <v>0</v>
      </c>
    </row>
    <row r="206" spans="1:164" x14ac:dyDescent="0.2">
      <c r="A206" s="10"/>
      <c r="B206" s="10"/>
      <c r="C206" s="10" t="s">
        <v>918</v>
      </c>
      <c r="D206" s="10"/>
      <c r="E206" s="10"/>
      <c r="F206" s="10"/>
      <c r="G206" s="10"/>
      <c r="H206" s="12"/>
      <c r="I206" s="12">
        <f>I205</f>
        <v>0</v>
      </c>
      <c r="J206" s="12">
        <f t="shared" ref="J206:AO206" si="495">I206+J205</f>
        <v>0</v>
      </c>
      <c r="K206" s="12">
        <f t="shared" si="495"/>
        <v>0</v>
      </c>
      <c r="L206" s="12">
        <f t="shared" si="495"/>
        <v>0</v>
      </c>
      <c r="M206" s="12">
        <f t="shared" si="495"/>
        <v>0</v>
      </c>
      <c r="N206" s="12">
        <f t="shared" si="495"/>
        <v>0</v>
      </c>
      <c r="O206" s="12">
        <f t="shared" si="495"/>
        <v>0</v>
      </c>
      <c r="P206" s="12">
        <f t="shared" si="495"/>
        <v>0</v>
      </c>
      <c r="Q206" s="12">
        <f t="shared" si="495"/>
        <v>0</v>
      </c>
      <c r="R206" s="12">
        <f t="shared" si="495"/>
        <v>0</v>
      </c>
      <c r="S206" s="12">
        <f t="shared" si="495"/>
        <v>0</v>
      </c>
      <c r="T206" s="12">
        <f t="shared" si="495"/>
        <v>0</v>
      </c>
      <c r="U206" s="12">
        <f t="shared" si="495"/>
        <v>0</v>
      </c>
      <c r="V206" s="12">
        <f t="shared" si="495"/>
        <v>0</v>
      </c>
      <c r="W206" s="12">
        <f t="shared" si="495"/>
        <v>0</v>
      </c>
      <c r="X206" s="12">
        <f t="shared" si="495"/>
        <v>0</v>
      </c>
      <c r="Y206" s="12">
        <f t="shared" si="495"/>
        <v>0</v>
      </c>
      <c r="Z206" s="12">
        <f t="shared" si="495"/>
        <v>0</v>
      </c>
      <c r="AA206" s="12">
        <f t="shared" si="495"/>
        <v>0</v>
      </c>
      <c r="AB206" s="12">
        <f t="shared" si="495"/>
        <v>0</v>
      </c>
      <c r="AC206" s="12">
        <f t="shared" si="495"/>
        <v>0</v>
      </c>
      <c r="AD206" s="12">
        <f t="shared" si="495"/>
        <v>0</v>
      </c>
      <c r="AE206" s="12">
        <f t="shared" si="495"/>
        <v>0</v>
      </c>
      <c r="AF206" s="12">
        <f t="shared" si="495"/>
        <v>0</v>
      </c>
      <c r="AG206" s="12">
        <f t="shared" si="495"/>
        <v>0</v>
      </c>
      <c r="AH206" s="12">
        <f t="shared" si="495"/>
        <v>0</v>
      </c>
      <c r="AI206" s="12">
        <f t="shared" si="495"/>
        <v>0</v>
      </c>
      <c r="AJ206" s="12">
        <f t="shared" si="495"/>
        <v>0</v>
      </c>
      <c r="AK206" s="12">
        <f t="shared" si="495"/>
        <v>0</v>
      </c>
      <c r="AL206" s="12">
        <f t="shared" si="495"/>
        <v>0</v>
      </c>
      <c r="AM206" s="12">
        <f t="shared" si="495"/>
        <v>0</v>
      </c>
      <c r="AN206" s="12">
        <f t="shared" si="495"/>
        <v>0</v>
      </c>
      <c r="AO206" s="12">
        <f t="shared" si="495"/>
        <v>0</v>
      </c>
      <c r="AP206" s="12">
        <f t="shared" ref="AP206:BU206" si="496">AO206+AP205</f>
        <v>0</v>
      </c>
      <c r="AQ206" s="12">
        <f t="shared" si="496"/>
        <v>0</v>
      </c>
      <c r="AR206" s="12">
        <f t="shared" si="496"/>
        <v>0</v>
      </c>
      <c r="AS206" s="12">
        <f t="shared" si="496"/>
        <v>0</v>
      </c>
      <c r="AT206" s="12">
        <f t="shared" si="496"/>
        <v>0</v>
      </c>
      <c r="AU206" s="12">
        <f t="shared" si="496"/>
        <v>0</v>
      </c>
      <c r="AV206" s="12">
        <f t="shared" si="496"/>
        <v>0</v>
      </c>
      <c r="AW206" s="12">
        <f t="shared" si="496"/>
        <v>0</v>
      </c>
      <c r="AX206" s="12">
        <f t="shared" si="496"/>
        <v>0</v>
      </c>
      <c r="AY206" s="12">
        <f t="shared" si="496"/>
        <v>0</v>
      </c>
      <c r="AZ206" s="12">
        <f t="shared" si="496"/>
        <v>0</v>
      </c>
      <c r="BA206" s="12">
        <f t="shared" si="496"/>
        <v>0</v>
      </c>
      <c r="BB206" s="12">
        <f t="shared" si="496"/>
        <v>0</v>
      </c>
      <c r="BC206" s="12">
        <f t="shared" si="496"/>
        <v>0</v>
      </c>
      <c r="BD206" s="12">
        <f t="shared" si="496"/>
        <v>0</v>
      </c>
      <c r="BE206" s="12">
        <f t="shared" si="496"/>
        <v>0</v>
      </c>
      <c r="BF206" s="12">
        <f t="shared" si="496"/>
        <v>0</v>
      </c>
      <c r="BG206" s="12">
        <f t="shared" si="496"/>
        <v>0</v>
      </c>
      <c r="BH206" s="12">
        <f t="shared" si="496"/>
        <v>0</v>
      </c>
      <c r="BI206" s="12">
        <f t="shared" si="496"/>
        <v>0</v>
      </c>
      <c r="BJ206" s="12">
        <f t="shared" si="496"/>
        <v>0</v>
      </c>
      <c r="BK206" s="12">
        <f t="shared" si="496"/>
        <v>-417.57099999999997</v>
      </c>
      <c r="BL206" s="12">
        <f t="shared" si="496"/>
        <v>-835.14199999999994</v>
      </c>
      <c r="BM206" s="12">
        <f t="shared" si="496"/>
        <v>-1252.713</v>
      </c>
      <c r="BN206" s="12">
        <f t="shared" si="496"/>
        <v>-2072.4709444444443</v>
      </c>
      <c r="BO206" s="12">
        <f t="shared" si="496"/>
        <v>-2892.2288888888888</v>
      </c>
      <c r="BP206" s="12">
        <f t="shared" si="496"/>
        <v>-3711.9868333333334</v>
      </c>
      <c r="BQ206" s="12">
        <f t="shared" si="496"/>
        <v>-3616.4822027777782</v>
      </c>
      <c r="BR206" s="12">
        <f t="shared" si="496"/>
        <v>-3399.1443563685643</v>
      </c>
      <c r="BS206" s="12">
        <f t="shared" si="496"/>
        <v>-3056.9274637093504</v>
      </c>
      <c r="BT206" s="12">
        <f t="shared" si="496"/>
        <v>-2586.6294979732138</v>
      </c>
      <c r="BU206" s="12">
        <f t="shared" si="496"/>
        <v>-1984.879904605498</v>
      </c>
      <c r="BV206" s="12">
        <f t="shared" ref="BV206:DA206" si="497">BU206+BV205</f>
        <v>-1248.1259369134582</v>
      </c>
      <c r="BW206" s="12">
        <f t="shared" si="497"/>
        <v>-963.67470029235665</v>
      </c>
      <c r="BX206" s="12">
        <f t="shared" si="497"/>
        <v>-1306.755074323604</v>
      </c>
      <c r="BY206" s="12">
        <f t="shared" si="497"/>
        <v>-2268.2511106862839</v>
      </c>
      <c r="BZ206" s="12">
        <f t="shared" si="497"/>
        <v>-3833.8828363345624</v>
      </c>
      <c r="CA206" s="12">
        <f t="shared" si="497"/>
        <v>-5984.2956885102194</v>
      </c>
      <c r="CB206" s="12">
        <f t="shared" si="497"/>
        <v>-8695.1868387508657</v>
      </c>
      <c r="CC206" s="12">
        <f t="shared" si="497"/>
        <v>-11937.467205211975</v>
      </c>
      <c r="CD206" s="12">
        <f t="shared" si="497"/>
        <v>-15677.457636530231</v>
      </c>
      <c r="CE206" s="12">
        <f t="shared" si="497"/>
        <v>-19877.117435495162</v>
      </c>
      <c r="CF206" s="12">
        <f t="shared" si="497"/>
        <v>-24092.116131961207</v>
      </c>
      <c r="CG206" s="12">
        <f t="shared" si="497"/>
        <v>-28678.68076572087</v>
      </c>
      <c r="CH206" s="12">
        <f t="shared" si="497"/>
        <v>-33587.346454092069</v>
      </c>
      <c r="CI206" s="12">
        <f t="shared" si="497"/>
        <v>-38765.476579784212</v>
      </c>
      <c r="CJ206" s="12">
        <f t="shared" si="497"/>
        <v>-44157.614423517167</v>
      </c>
      <c r="CK206" s="12">
        <f t="shared" si="497"/>
        <v>-49705.849360294931</v>
      </c>
      <c r="CL206" s="12">
        <f t="shared" si="497"/>
        <v>-53149.442015879162</v>
      </c>
      <c r="CM206" s="12">
        <f t="shared" si="497"/>
        <v>-51625.747782597042</v>
      </c>
      <c r="CN206" s="12">
        <f t="shared" si="497"/>
        <v>-50086.62834506631</v>
      </c>
      <c r="CO206" s="12">
        <f t="shared" si="497"/>
        <v>-48524.072387218417</v>
      </c>
      <c r="CP206" s="12">
        <f t="shared" si="497"/>
        <v>-46928.970181415483</v>
      </c>
      <c r="CQ206" s="12">
        <f t="shared" si="497"/>
        <v>-45291.034111877379</v>
      </c>
      <c r="CR206" s="12">
        <f t="shared" si="497"/>
        <v>-43598.694347352466</v>
      </c>
      <c r="CS206" s="12">
        <f t="shared" si="497"/>
        <v>-41838.959193619703</v>
      </c>
      <c r="CT206" s="12">
        <f t="shared" si="497"/>
        <v>-39997.224908753189</v>
      </c>
      <c r="CU206" s="12">
        <f t="shared" si="497"/>
        <v>-38057.012264744269</v>
      </c>
      <c r="CV206" s="12">
        <f t="shared" si="497"/>
        <v>-35999.594885545353</v>
      </c>
      <c r="CW206" s="12">
        <f t="shared" si="497"/>
        <v>-33803.463578903509</v>
      </c>
      <c r="CX206" s="12">
        <f t="shared" si="497"/>
        <v>-31443.533897363224</v>
      </c>
      <c r="CY206" s="12">
        <f t="shared" si="497"/>
        <v>-28889.934840817554</v>
      </c>
      <c r="CZ206" s="12">
        <f t="shared" si="497"/>
        <v>-26106.077984856453</v>
      </c>
      <c r="DA206" s="12">
        <f t="shared" si="497"/>
        <v>-23045.405975404916</v>
      </c>
      <c r="DB206" s="12">
        <f t="shared" ref="DB206:EG206" si="498">DA206+DB205</f>
        <v>-19645.498521193826</v>
      </c>
      <c r="DC206" s="12">
        <f t="shared" si="498"/>
        <v>-15816.231805168638</v>
      </c>
      <c r="DD206" s="12">
        <f t="shared" si="498"/>
        <v>-11412.079878691511</v>
      </c>
      <c r="DE206" s="12">
        <f t="shared" si="498"/>
        <v>-6148.9134988857677</v>
      </c>
      <c r="DF206" s="12">
        <f t="shared" si="498"/>
        <v>812.21297475498977</v>
      </c>
      <c r="DG206" s="12">
        <f t="shared" si="498"/>
        <v>29832.24533367814</v>
      </c>
      <c r="DH206" s="12">
        <f t="shared" si="498"/>
        <v>30124.064250934647</v>
      </c>
      <c r="DI206" s="12">
        <f t="shared" si="498"/>
        <v>30415.883168191154</v>
      </c>
      <c r="DJ206" s="12">
        <f t="shared" si="498"/>
        <v>30707.702085447661</v>
      </c>
      <c r="DK206" s="12">
        <f t="shared" si="498"/>
        <v>30999.521002704168</v>
      </c>
      <c r="DL206" s="12">
        <f t="shared" si="498"/>
        <v>31291.339919960676</v>
      </c>
      <c r="DM206" s="12">
        <f t="shared" si="498"/>
        <v>31583.158837217183</v>
      </c>
      <c r="DN206" s="12">
        <f t="shared" si="498"/>
        <v>31874.97775447369</v>
      </c>
      <c r="DO206" s="12">
        <f t="shared" si="498"/>
        <v>32166.796671730197</v>
      </c>
      <c r="DP206" s="12">
        <f t="shared" si="498"/>
        <v>32458.615588986704</v>
      </c>
      <c r="DQ206" s="12">
        <f t="shared" si="498"/>
        <v>32750.434506243211</v>
      </c>
      <c r="DR206" s="12">
        <f t="shared" si="498"/>
        <v>33042.253423499715</v>
      </c>
      <c r="DS206" s="12">
        <f t="shared" si="498"/>
        <v>33334.072340756218</v>
      </c>
      <c r="DT206" s="12">
        <f t="shared" si="498"/>
        <v>98671.488599679389</v>
      </c>
      <c r="DU206" s="12">
        <f t="shared" si="498"/>
        <v>98671.488599679389</v>
      </c>
      <c r="DV206" s="12">
        <f t="shared" si="498"/>
        <v>98671.488599679389</v>
      </c>
      <c r="DW206" s="12">
        <f t="shared" si="498"/>
        <v>98671.488599679389</v>
      </c>
      <c r="DX206" s="12">
        <f t="shared" si="498"/>
        <v>98671.488599679389</v>
      </c>
      <c r="DY206" s="12">
        <f t="shared" si="498"/>
        <v>98671.488599679389</v>
      </c>
      <c r="DZ206" s="12">
        <f t="shared" si="498"/>
        <v>98671.488599679389</v>
      </c>
      <c r="EA206" s="12">
        <f t="shared" si="498"/>
        <v>98671.488599679389</v>
      </c>
      <c r="EB206" s="12">
        <f t="shared" si="498"/>
        <v>98671.488599679389</v>
      </c>
      <c r="EC206" s="12">
        <f t="shared" si="498"/>
        <v>98671.488599679389</v>
      </c>
      <c r="ED206" s="12">
        <f t="shared" si="498"/>
        <v>98671.488599679389</v>
      </c>
      <c r="EE206" s="12">
        <f t="shared" si="498"/>
        <v>98671.488599679389</v>
      </c>
      <c r="EF206" s="12">
        <f t="shared" si="498"/>
        <v>98671.488599679389</v>
      </c>
      <c r="EG206" s="12">
        <f t="shared" si="498"/>
        <v>98671.488599679389</v>
      </c>
      <c r="EH206" s="12">
        <f t="shared" ref="EH206:FH206" si="499">EG206+EH205</f>
        <v>98671.488599679389</v>
      </c>
      <c r="EI206" s="12">
        <f t="shared" si="499"/>
        <v>98671.488599679389</v>
      </c>
      <c r="EJ206" s="12">
        <f t="shared" si="499"/>
        <v>98671.488599679389</v>
      </c>
      <c r="EK206" s="12">
        <f t="shared" si="499"/>
        <v>98671.488599679389</v>
      </c>
      <c r="EL206" s="12">
        <f t="shared" si="499"/>
        <v>98671.488599679389</v>
      </c>
      <c r="EM206" s="12">
        <f t="shared" si="499"/>
        <v>98671.488599679389</v>
      </c>
      <c r="EN206" s="12">
        <f t="shared" si="499"/>
        <v>98671.488599679389</v>
      </c>
      <c r="EO206" s="12">
        <f t="shared" si="499"/>
        <v>98671.488599679389</v>
      </c>
      <c r="EP206" s="12">
        <f t="shared" si="499"/>
        <v>98671.488599679389</v>
      </c>
      <c r="EQ206" s="12">
        <f t="shared" si="499"/>
        <v>98671.488599679389</v>
      </c>
      <c r="ER206" s="12">
        <f t="shared" si="499"/>
        <v>98671.488599679389</v>
      </c>
      <c r="ES206" s="12">
        <f t="shared" si="499"/>
        <v>98671.488599679389</v>
      </c>
      <c r="ET206" s="12">
        <f t="shared" si="499"/>
        <v>98671.488599679389</v>
      </c>
      <c r="EU206" s="12">
        <f t="shared" si="499"/>
        <v>98671.488599679389</v>
      </c>
      <c r="EV206" s="12">
        <f t="shared" si="499"/>
        <v>98671.488599679389</v>
      </c>
      <c r="EW206" s="12">
        <f t="shared" si="499"/>
        <v>98671.488599679389</v>
      </c>
      <c r="EX206" s="12">
        <f t="shared" si="499"/>
        <v>98671.488599679389</v>
      </c>
      <c r="EY206" s="12">
        <f t="shared" si="499"/>
        <v>98671.488599679389</v>
      </c>
      <c r="EZ206" s="12">
        <f t="shared" si="499"/>
        <v>98671.488599679389</v>
      </c>
      <c r="FA206" s="12">
        <f t="shared" si="499"/>
        <v>98671.488599679389</v>
      </c>
      <c r="FB206" s="12">
        <f t="shared" si="499"/>
        <v>98671.488599679389</v>
      </c>
      <c r="FC206" s="12">
        <f t="shared" si="499"/>
        <v>98671.488599679389</v>
      </c>
      <c r="FD206" s="12">
        <f t="shared" si="499"/>
        <v>98671.488599679389</v>
      </c>
      <c r="FE206" s="12">
        <f t="shared" si="499"/>
        <v>98671.488599679389</v>
      </c>
      <c r="FF206" s="12">
        <f t="shared" si="499"/>
        <v>98671.488599679389</v>
      </c>
      <c r="FG206" s="12">
        <f t="shared" si="499"/>
        <v>98671.488599679389</v>
      </c>
      <c r="FH206" s="12">
        <f t="shared" si="499"/>
        <v>98671.488599679389</v>
      </c>
    </row>
    <row r="207" spans="1:164" x14ac:dyDescent="0.2">
      <c r="A207" s="10"/>
      <c r="B207" s="10"/>
      <c r="C207" s="70" t="s">
        <v>919</v>
      </c>
      <c r="D207" s="70"/>
      <c r="E207" s="70"/>
      <c r="F207" s="70"/>
      <c r="G207" s="70"/>
      <c r="H207" s="56">
        <f>SUM(I207:FH207)</f>
        <v>98671.488599679389</v>
      </c>
      <c r="I207" s="56">
        <f t="shared" ref="I207:AN207" si="500">IF($D$14="Levered",I205,I196)</f>
        <v>0</v>
      </c>
      <c r="J207" s="56">
        <f t="shared" si="500"/>
        <v>0</v>
      </c>
      <c r="K207" s="56">
        <f t="shared" si="500"/>
        <v>0</v>
      </c>
      <c r="L207" s="56">
        <f t="shared" si="500"/>
        <v>0</v>
      </c>
      <c r="M207" s="56">
        <f t="shared" si="500"/>
        <v>0</v>
      </c>
      <c r="N207" s="56">
        <f t="shared" si="500"/>
        <v>0</v>
      </c>
      <c r="O207" s="56">
        <f t="shared" si="500"/>
        <v>0</v>
      </c>
      <c r="P207" s="56">
        <f t="shared" si="500"/>
        <v>0</v>
      </c>
      <c r="Q207" s="56">
        <f t="shared" si="500"/>
        <v>0</v>
      </c>
      <c r="R207" s="56">
        <f t="shared" si="500"/>
        <v>0</v>
      </c>
      <c r="S207" s="56">
        <f t="shared" si="500"/>
        <v>0</v>
      </c>
      <c r="T207" s="56">
        <f t="shared" si="500"/>
        <v>0</v>
      </c>
      <c r="U207" s="56">
        <f t="shared" si="500"/>
        <v>0</v>
      </c>
      <c r="V207" s="56">
        <f t="shared" si="500"/>
        <v>0</v>
      </c>
      <c r="W207" s="56">
        <f t="shared" si="500"/>
        <v>0</v>
      </c>
      <c r="X207" s="56">
        <f t="shared" si="500"/>
        <v>0</v>
      </c>
      <c r="Y207" s="56">
        <f t="shared" si="500"/>
        <v>0</v>
      </c>
      <c r="Z207" s="56">
        <f t="shared" si="500"/>
        <v>0</v>
      </c>
      <c r="AA207" s="56">
        <f t="shared" si="500"/>
        <v>0</v>
      </c>
      <c r="AB207" s="56">
        <f t="shared" si="500"/>
        <v>0</v>
      </c>
      <c r="AC207" s="56">
        <f t="shared" si="500"/>
        <v>0</v>
      </c>
      <c r="AD207" s="56">
        <f t="shared" si="500"/>
        <v>0</v>
      </c>
      <c r="AE207" s="56">
        <f t="shared" si="500"/>
        <v>0</v>
      </c>
      <c r="AF207" s="56">
        <f t="shared" si="500"/>
        <v>0</v>
      </c>
      <c r="AG207" s="56">
        <f t="shared" si="500"/>
        <v>0</v>
      </c>
      <c r="AH207" s="56">
        <f t="shared" si="500"/>
        <v>0</v>
      </c>
      <c r="AI207" s="56">
        <f t="shared" si="500"/>
        <v>0</v>
      </c>
      <c r="AJ207" s="56">
        <f t="shared" si="500"/>
        <v>0</v>
      </c>
      <c r="AK207" s="56">
        <f t="shared" si="500"/>
        <v>0</v>
      </c>
      <c r="AL207" s="56">
        <f t="shared" si="500"/>
        <v>0</v>
      </c>
      <c r="AM207" s="56">
        <f t="shared" si="500"/>
        <v>0</v>
      </c>
      <c r="AN207" s="56">
        <f t="shared" si="500"/>
        <v>0</v>
      </c>
      <c r="AO207" s="56">
        <f t="shared" ref="AO207:BT207" si="501">IF($D$14="Levered",AO205,AO196)</f>
        <v>0</v>
      </c>
      <c r="AP207" s="56">
        <f t="shared" si="501"/>
        <v>0</v>
      </c>
      <c r="AQ207" s="56">
        <f t="shared" si="501"/>
        <v>0</v>
      </c>
      <c r="AR207" s="56">
        <f t="shared" si="501"/>
        <v>0</v>
      </c>
      <c r="AS207" s="56">
        <f t="shared" si="501"/>
        <v>0</v>
      </c>
      <c r="AT207" s="56">
        <f t="shared" si="501"/>
        <v>0</v>
      </c>
      <c r="AU207" s="56">
        <f t="shared" si="501"/>
        <v>0</v>
      </c>
      <c r="AV207" s="56">
        <f t="shared" si="501"/>
        <v>0</v>
      </c>
      <c r="AW207" s="56">
        <f t="shared" si="501"/>
        <v>0</v>
      </c>
      <c r="AX207" s="56">
        <f t="shared" si="501"/>
        <v>0</v>
      </c>
      <c r="AY207" s="56">
        <f t="shared" si="501"/>
        <v>0</v>
      </c>
      <c r="AZ207" s="56">
        <f t="shared" si="501"/>
        <v>0</v>
      </c>
      <c r="BA207" s="56">
        <f t="shared" si="501"/>
        <v>0</v>
      </c>
      <c r="BB207" s="56">
        <f t="shared" si="501"/>
        <v>0</v>
      </c>
      <c r="BC207" s="56">
        <f t="shared" si="501"/>
        <v>0</v>
      </c>
      <c r="BD207" s="56">
        <f t="shared" si="501"/>
        <v>0</v>
      </c>
      <c r="BE207" s="56">
        <f t="shared" si="501"/>
        <v>0</v>
      </c>
      <c r="BF207" s="56">
        <f t="shared" si="501"/>
        <v>0</v>
      </c>
      <c r="BG207" s="56">
        <f t="shared" si="501"/>
        <v>0</v>
      </c>
      <c r="BH207" s="56">
        <f t="shared" si="501"/>
        <v>0</v>
      </c>
      <c r="BI207" s="56">
        <f t="shared" si="501"/>
        <v>0</v>
      </c>
      <c r="BJ207" s="56">
        <f t="shared" si="501"/>
        <v>0</v>
      </c>
      <c r="BK207" s="56">
        <f t="shared" si="501"/>
        <v>-417.57099999999997</v>
      </c>
      <c r="BL207" s="56">
        <f t="shared" si="501"/>
        <v>-417.57099999999997</v>
      </c>
      <c r="BM207" s="56">
        <f t="shared" si="501"/>
        <v>-417.57099999999997</v>
      </c>
      <c r="BN207" s="56">
        <f t="shared" si="501"/>
        <v>-819.75794444444432</v>
      </c>
      <c r="BO207" s="56">
        <f t="shared" si="501"/>
        <v>-819.75794444444432</v>
      </c>
      <c r="BP207" s="56">
        <f t="shared" si="501"/>
        <v>-819.75794444444432</v>
      </c>
      <c r="BQ207" s="56">
        <f t="shared" si="501"/>
        <v>95.504630555555423</v>
      </c>
      <c r="BR207" s="56">
        <f t="shared" si="501"/>
        <v>217.33784640921363</v>
      </c>
      <c r="BS207" s="56">
        <f t="shared" si="501"/>
        <v>342.21689265921373</v>
      </c>
      <c r="BT207" s="56">
        <f t="shared" si="501"/>
        <v>470.2979657361368</v>
      </c>
      <c r="BU207" s="56">
        <f t="shared" ref="BU207:CZ207" si="502">IF($D$14="Levered",BU205,BU196)</f>
        <v>601.74959336771576</v>
      </c>
      <c r="BV207" s="56">
        <f t="shared" si="502"/>
        <v>736.75396769203985</v>
      </c>
      <c r="BW207" s="56">
        <f t="shared" si="502"/>
        <v>284.45123662110154</v>
      </c>
      <c r="BX207" s="56">
        <f t="shared" si="502"/>
        <v>-343.0803740312474</v>
      </c>
      <c r="BY207" s="56">
        <f t="shared" si="502"/>
        <v>-961.49603636267966</v>
      </c>
      <c r="BZ207" s="56">
        <f t="shared" si="502"/>
        <v>-1565.6317256482785</v>
      </c>
      <c r="CA207" s="56">
        <f t="shared" si="502"/>
        <v>-2150.412852175657</v>
      </c>
      <c r="CB207" s="56">
        <f t="shared" si="502"/>
        <v>-2710.8911502406472</v>
      </c>
      <c r="CC207" s="56">
        <f t="shared" si="502"/>
        <v>-3242.2803664611088</v>
      </c>
      <c r="CD207" s="56">
        <f t="shared" si="502"/>
        <v>-3739.9904313182551</v>
      </c>
      <c r="CE207" s="56">
        <f t="shared" si="502"/>
        <v>-4199.6597989649308</v>
      </c>
      <c r="CF207" s="56">
        <f t="shared" si="502"/>
        <v>-4214.9986964660475</v>
      </c>
      <c r="CG207" s="56">
        <f t="shared" si="502"/>
        <v>-4586.5646337596645</v>
      </c>
      <c r="CH207" s="56">
        <f t="shared" si="502"/>
        <v>-4908.6656883712003</v>
      </c>
      <c r="CI207" s="56">
        <f t="shared" si="502"/>
        <v>-5178.1301256921397</v>
      </c>
      <c r="CJ207" s="56">
        <f t="shared" si="502"/>
        <v>-5392.1378437329522</v>
      </c>
      <c r="CK207" s="56">
        <f t="shared" si="502"/>
        <v>-5548.2349367777615</v>
      </c>
      <c r="CL207" s="56">
        <f t="shared" si="502"/>
        <v>-3443.5926555842334</v>
      </c>
      <c r="CM207" s="56">
        <f t="shared" si="502"/>
        <v>1523.6942332821168</v>
      </c>
      <c r="CN207" s="56">
        <f t="shared" si="502"/>
        <v>1539.1194375307311</v>
      </c>
      <c r="CO207" s="56">
        <f t="shared" si="502"/>
        <v>1562.5559578478924</v>
      </c>
      <c r="CP207" s="56">
        <f t="shared" si="502"/>
        <v>1595.1022058029334</v>
      </c>
      <c r="CQ207" s="56">
        <f t="shared" si="502"/>
        <v>1637.9360695381054</v>
      </c>
      <c r="CR207" s="56">
        <f t="shared" si="502"/>
        <v>1692.3397645249156</v>
      </c>
      <c r="CS207" s="56">
        <f t="shared" si="502"/>
        <v>1759.7351537327656</v>
      </c>
      <c r="CT207" s="56">
        <f t="shared" si="502"/>
        <v>1841.7342848665164</v>
      </c>
      <c r="CU207" s="56">
        <f t="shared" si="502"/>
        <v>1940.2126440089228</v>
      </c>
      <c r="CV207" s="56">
        <f t="shared" si="502"/>
        <v>2057.4173791989165</v>
      </c>
      <c r="CW207" s="56">
        <f t="shared" si="502"/>
        <v>2196.1313066418415</v>
      </c>
      <c r="CX207" s="56">
        <f t="shared" si="502"/>
        <v>2359.9296815402831</v>
      </c>
      <c r="CY207" s="56">
        <f t="shared" si="502"/>
        <v>2553.5990565456705</v>
      </c>
      <c r="CZ207" s="56">
        <f t="shared" si="502"/>
        <v>2783.8568559611026</v>
      </c>
      <c r="DA207" s="56">
        <f t="shared" ref="DA207:EF207" si="503">IF($D$14="Levered",DA205,DA196)</f>
        <v>3060.6720094515358</v>
      </c>
      <c r="DB207" s="56">
        <f t="shared" si="503"/>
        <v>3399.9074542110911</v>
      </c>
      <c r="DC207" s="56">
        <f t="shared" si="503"/>
        <v>3829.2667160251876</v>
      </c>
      <c r="DD207" s="56">
        <f t="shared" si="503"/>
        <v>4404.1519264771268</v>
      </c>
      <c r="DE207" s="56">
        <f t="shared" si="503"/>
        <v>5263.1663798057434</v>
      </c>
      <c r="DF207" s="56">
        <f t="shared" si="503"/>
        <v>6961.1264736407575</v>
      </c>
      <c r="DG207" s="56">
        <f t="shared" si="503"/>
        <v>29020.032358923148</v>
      </c>
      <c r="DH207" s="56">
        <f t="shared" si="503"/>
        <v>291.81891725650712</v>
      </c>
      <c r="DI207" s="56">
        <f t="shared" si="503"/>
        <v>291.81891725650712</v>
      </c>
      <c r="DJ207" s="56">
        <f t="shared" si="503"/>
        <v>291.81891725650712</v>
      </c>
      <c r="DK207" s="56">
        <f t="shared" si="503"/>
        <v>291.81891725650712</v>
      </c>
      <c r="DL207" s="56">
        <f t="shared" si="503"/>
        <v>291.81891725650712</v>
      </c>
      <c r="DM207" s="56">
        <f t="shared" si="503"/>
        <v>291.81891725650712</v>
      </c>
      <c r="DN207" s="56">
        <f t="shared" si="503"/>
        <v>291.81891725650712</v>
      </c>
      <c r="DO207" s="56">
        <f t="shared" si="503"/>
        <v>291.81891725650712</v>
      </c>
      <c r="DP207" s="56">
        <f t="shared" si="503"/>
        <v>291.81891725650712</v>
      </c>
      <c r="DQ207" s="56">
        <f t="shared" si="503"/>
        <v>291.81891725650712</v>
      </c>
      <c r="DR207" s="56">
        <f t="shared" si="503"/>
        <v>291.81891725650712</v>
      </c>
      <c r="DS207" s="56">
        <f t="shared" si="503"/>
        <v>291.81891725650712</v>
      </c>
      <c r="DT207" s="56">
        <f t="shared" si="503"/>
        <v>65337.416258923171</v>
      </c>
      <c r="DU207" s="56">
        <f t="shared" si="503"/>
        <v>0</v>
      </c>
      <c r="DV207" s="56">
        <f t="shared" si="503"/>
        <v>0</v>
      </c>
      <c r="DW207" s="56">
        <f t="shared" si="503"/>
        <v>0</v>
      </c>
      <c r="DX207" s="56">
        <f t="shared" si="503"/>
        <v>0</v>
      </c>
      <c r="DY207" s="56">
        <f t="shared" si="503"/>
        <v>0</v>
      </c>
      <c r="DZ207" s="56">
        <f t="shared" si="503"/>
        <v>0</v>
      </c>
      <c r="EA207" s="56">
        <f t="shared" si="503"/>
        <v>0</v>
      </c>
      <c r="EB207" s="56">
        <f t="shared" si="503"/>
        <v>0</v>
      </c>
      <c r="EC207" s="56">
        <f t="shared" si="503"/>
        <v>0</v>
      </c>
      <c r="ED207" s="56">
        <f t="shared" si="503"/>
        <v>0</v>
      </c>
      <c r="EE207" s="56">
        <f t="shared" si="503"/>
        <v>0</v>
      </c>
      <c r="EF207" s="56">
        <f t="shared" si="503"/>
        <v>0</v>
      </c>
      <c r="EG207" s="56">
        <f t="shared" ref="EG207:FH207" si="504">IF($D$14="Levered",EG205,EG196)</f>
        <v>0</v>
      </c>
      <c r="EH207" s="56">
        <f t="shared" si="504"/>
        <v>0</v>
      </c>
      <c r="EI207" s="56">
        <f t="shared" si="504"/>
        <v>0</v>
      </c>
      <c r="EJ207" s="56">
        <f t="shared" si="504"/>
        <v>0</v>
      </c>
      <c r="EK207" s="56">
        <f t="shared" si="504"/>
        <v>0</v>
      </c>
      <c r="EL207" s="56">
        <f t="shared" si="504"/>
        <v>0</v>
      </c>
      <c r="EM207" s="56">
        <f t="shared" si="504"/>
        <v>0</v>
      </c>
      <c r="EN207" s="56">
        <f t="shared" si="504"/>
        <v>0</v>
      </c>
      <c r="EO207" s="56">
        <f t="shared" si="504"/>
        <v>0</v>
      </c>
      <c r="EP207" s="56">
        <f t="shared" si="504"/>
        <v>0</v>
      </c>
      <c r="EQ207" s="56">
        <f t="shared" si="504"/>
        <v>0</v>
      </c>
      <c r="ER207" s="56">
        <f t="shared" si="504"/>
        <v>0</v>
      </c>
      <c r="ES207" s="56">
        <f t="shared" si="504"/>
        <v>0</v>
      </c>
      <c r="ET207" s="56">
        <f t="shared" si="504"/>
        <v>0</v>
      </c>
      <c r="EU207" s="56">
        <f t="shared" si="504"/>
        <v>0</v>
      </c>
      <c r="EV207" s="56">
        <f t="shared" si="504"/>
        <v>0</v>
      </c>
      <c r="EW207" s="56">
        <f t="shared" si="504"/>
        <v>0</v>
      </c>
      <c r="EX207" s="56">
        <f t="shared" si="504"/>
        <v>0</v>
      </c>
      <c r="EY207" s="56">
        <f t="shared" si="504"/>
        <v>0</v>
      </c>
      <c r="EZ207" s="56">
        <f t="shared" si="504"/>
        <v>0</v>
      </c>
      <c r="FA207" s="56">
        <f t="shared" si="504"/>
        <v>0</v>
      </c>
      <c r="FB207" s="56">
        <f t="shared" si="504"/>
        <v>0</v>
      </c>
      <c r="FC207" s="56">
        <f t="shared" si="504"/>
        <v>0</v>
      </c>
      <c r="FD207" s="56">
        <f t="shared" si="504"/>
        <v>0</v>
      </c>
      <c r="FE207" s="56">
        <f t="shared" si="504"/>
        <v>0</v>
      </c>
      <c r="FF207" s="56">
        <f t="shared" si="504"/>
        <v>0</v>
      </c>
      <c r="FG207" s="56">
        <f t="shared" si="504"/>
        <v>0</v>
      </c>
      <c r="FH207" s="56">
        <f t="shared" si="504"/>
        <v>0</v>
      </c>
    </row>
    <row r="208" spans="1:164" x14ac:dyDescent="0.2">
      <c r="A208" s="10"/>
      <c r="B208" s="10"/>
      <c r="C208" s="10"/>
      <c r="D208" s="10"/>
      <c r="E208" s="10"/>
      <c r="F208" s="10"/>
      <c r="G208" s="10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</row>
    <row r="209" spans="1:164" x14ac:dyDescent="0.2">
      <c r="A209" s="10"/>
      <c r="B209" s="24" t="s">
        <v>922</v>
      </c>
      <c r="C209" s="24"/>
      <c r="D209" s="24"/>
      <c r="E209" s="24"/>
      <c r="F209" s="24"/>
      <c r="G209" s="24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</row>
    <row r="210" spans="1:164" x14ac:dyDescent="0.2">
      <c r="A210" s="10"/>
      <c r="B210" s="10"/>
      <c r="C210" s="10" t="s">
        <v>909</v>
      </c>
      <c r="D210" s="10"/>
      <c r="E210" s="10"/>
      <c r="F210" s="10"/>
      <c r="G210" s="10"/>
      <c r="H210" s="12">
        <f>SUM(I210:FH210)</f>
        <v>957346.25000000093</v>
      </c>
      <c r="I210" s="12">
        <f t="shared" ref="I210:AN210" si="505">I103+I139+I175</f>
        <v>0</v>
      </c>
      <c r="J210" s="12">
        <f t="shared" si="505"/>
        <v>0</v>
      </c>
      <c r="K210" s="12">
        <f t="shared" si="505"/>
        <v>0</v>
      </c>
      <c r="L210" s="12">
        <f t="shared" si="505"/>
        <v>0</v>
      </c>
      <c r="M210" s="12">
        <f t="shared" si="505"/>
        <v>0</v>
      </c>
      <c r="N210" s="12">
        <f t="shared" si="505"/>
        <v>0</v>
      </c>
      <c r="O210" s="12">
        <f t="shared" si="505"/>
        <v>0</v>
      </c>
      <c r="P210" s="12">
        <f t="shared" si="505"/>
        <v>0</v>
      </c>
      <c r="Q210" s="12">
        <f t="shared" si="505"/>
        <v>0</v>
      </c>
      <c r="R210" s="12">
        <f t="shared" si="505"/>
        <v>0</v>
      </c>
      <c r="S210" s="12">
        <f t="shared" si="505"/>
        <v>0</v>
      </c>
      <c r="T210" s="12">
        <f t="shared" si="505"/>
        <v>0</v>
      </c>
      <c r="U210" s="12">
        <f t="shared" si="505"/>
        <v>13845.999999999998</v>
      </c>
      <c r="V210" s="12">
        <f t="shared" si="505"/>
        <v>13845.999999999998</v>
      </c>
      <c r="W210" s="12">
        <f t="shared" si="505"/>
        <v>13845.999999999998</v>
      </c>
      <c r="X210" s="12">
        <f t="shared" si="505"/>
        <v>13845.999999999998</v>
      </c>
      <c r="Y210" s="12">
        <f t="shared" si="505"/>
        <v>13845.999999999998</v>
      </c>
      <c r="Z210" s="12">
        <f t="shared" si="505"/>
        <v>13845.999999999998</v>
      </c>
      <c r="AA210" s="12">
        <f t="shared" si="505"/>
        <v>4615.333333333333</v>
      </c>
      <c r="AB210" s="12">
        <f t="shared" si="505"/>
        <v>4615.333333333333</v>
      </c>
      <c r="AC210" s="12">
        <f t="shared" si="505"/>
        <v>4615.333333333333</v>
      </c>
      <c r="AD210" s="12">
        <f t="shared" si="505"/>
        <v>4615.333333333333</v>
      </c>
      <c r="AE210" s="12">
        <f t="shared" si="505"/>
        <v>4615.333333333333</v>
      </c>
      <c r="AF210" s="12">
        <f t="shared" si="505"/>
        <v>4615.333333333333</v>
      </c>
      <c r="AG210" s="12">
        <f t="shared" si="505"/>
        <v>4615.333333333333</v>
      </c>
      <c r="AH210" s="12">
        <f t="shared" si="505"/>
        <v>4615.333333333333</v>
      </c>
      <c r="AI210" s="12">
        <f t="shared" si="505"/>
        <v>4615.333333333333</v>
      </c>
      <c r="AJ210" s="12">
        <f t="shared" si="505"/>
        <v>4615.333333333333</v>
      </c>
      <c r="AK210" s="12">
        <f t="shared" si="505"/>
        <v>4615.333333333333</v>
      </c>
      <c r="AL210" s="12">
        <f t="shared" si="505"/>
        <v>4615.333333333333</v>
      </c>
      <c r="AM210" s="12">
        <f t="shared" si="505"/>
        <v>4615.333333333333</v>
      </c>
      <c r="AN210" s="12">
        <f t="shared" si="505"/>
        <v>4615.333333333333</v>
      </c>
      <c r="AO210" s="12">
        <f t="shared" ref="AO210:BT210" si="506">AO103+AO139+AO175</f>
        <v>4615.333333333333</v>
      </c>
      <c r="AP210" s="12">
        <f t="shared" si="506"/>
        <v>4615.333333333333</v>
      </c>
      <c r="AQ210" s="12">
        <f t="shared" si="506"/>
        <v>4615.333333333333</v>
      </c>
      <c r="AR210" s="12">
        <f t="shared" si="506"/>
        <v>4615.333333333333</v>
      </c>
      <c r="AS210" s="12">
        <f t="shared" si="506"/>
        <v>20538.23333333333</v>
      </c>
      <c r="AT210" s="12">
        <f t="shared" si="506"/>
        <v>20538.23333333333</v>
      </c>
      <c r="AU210" s="12">
        <f t="shared" si="506"/>
        <v>20538.23333333333</v>
      </c>
      <c r="AV210" s="12">
        <f t="shared" si="506"/>
        <v>20538.23333333333</v>
      </c>
      <c r="AW210" s="12">
        <f t="shared" si="506"/>
        <v>20538.23333333333</v>
      </c>
      <c r="AX210" s="12">
        <f t="shared" si="506"/>
        <v>20538.23333333333</v>
      </c>
      <c r="AY210" s="12">
        <f t="shared" si="506"/>
        <v>9922.9666666666653</v>
      </c>
      <c r="AZ210" s="12">
        <f t="shared" si="506"/>
        <v>9922.9666666666653</v>
      </c>
      <c r="BA210" s="12">
        <f t="shared" si="506"/>
        <v>9922.9666666666653</v>
      </c>
      <c r="BB210" s="12">
        <f t="shared" si="506"/>
        <v>9922.9666666666653</v>
      </c>
      <c r="BC210" s="12">
        <f t="shared" si="506"/>
        <v>9922.9666666666653</v>
      </c>
      <c r="BD210" s="12">
        <f t="shared" si="506"/>
        <v>9922.9666666666653</v>
      </c>
      <c r="BE210" s="12">
        <f t="shared" si="506"/>
        <v>9922.9666666666653</v>
      </c>
      <c r="BF210" s="12">
        <f t="shared" si="506"/>
        <v>9922.9666666666653</v>
      </c>
      <c r="BG210" s="12">
        <f t="shared" si="506"/>
        <v>9922.9666666666653</v>
      </c>
      <c r="BH210" s="12">
        <f t="shared" si="506"/>
        <v>9922.9666666666653</v>
      </c>
      <c r="BI210" s="12">
        <f t="shared" si="506"/>
        <v>9922.9666666666653</v>
      </c>
      <c r="BJ210" s="12">
        <f t="shared" si="506"/>
        <v>9922.9666666666653</v>
      </c>
      <c r="BK210" s="12">
        <f t="shared" si="506"/>
        <v>5307.6333333333323</v>
      </c>
      <c r="BL210" s="12">
        <f t="shared" si="506"/>
        <v>7615.2999999999993</v>
      </c>
      <c r="BM210" s="12">
        <f t="shared" si="506"/>
        <v>7615.2999999999993</v>
      </c>
      <c r="BN210" s="12">
        <f t="shared" si="506"/>
        <v>7615.2999999999993</v>
      </c>
      <c r="BO210" s="12">
        <f t="shared" si="506"/>
        <v>7615.2999999999993</v>
      </c>
      <c r="BP210" s="12">
        <f t="shared" si="506"/>
        <v>7615.2999999999993</v>
      </c>
      <c r="BQ210" s="12">
        <f t="shared" si="506"/>
        <v>25713.712499999994</v>
      </c>
      <c r="BR210" s="12">
        <f t="shared" si="506"/>
        <v>25713.712499999994</v>
      </c>
      <c r="BS210" s="12">
        <f t="shared" si="506"/>
        <v>25713.712499999994</v>
      </c>
      <c r="BT210" s="12">
        <f t="shared" si="506"/>
        <v>25713.712499999994</v>
      </c>
      <c r="BU210" s="12">
        <f t="shared" ref="BU210:CZ210" si="507">BU103+BU139+BU175</f>
        <v>25713.712499999994</v>
      </c>
      <c r="BV210" s="12">
        <f t="shared" si="507"/>
        <v>25713.712499999994</v>
      </c>
      <c r="BW210" s="12">
        <f t="shared" si="507"/>
        <v>13648.104166666664</v>
      </c>
      <c r="BX210" s="12">
        <f t="shared" si="507"/>
        <v>11340.437499999998</v>
      </c>
      <c r="BY210" s="12">
        <f t="shared" si="507"/>
        <v>11340.437499999998</v>
      </c>
      <c r="BZ210" s="12">
        <f t="shared" si="507"/>
        <v>11340.437499999998</v>
      </c>
      <c r="CA210" s="12">
        <f t="shared" si="507"/>
        <v>11340.437499999998</v>
      </c>
      <c r="CB210" s="12">
        <f t="shared" si="507"/>
        <v>11340.437499999998</v>
      </c>
      <c r="CC210" s="12">
        <f t="shared" si="507"/>
        <v>11340.437499999998</v>
      </c>
      <c r="CD210" s="12">
        <f t="shared" si="507"/>
        <v>11340.437499999998</v>
      </c>
      <c r="CE210" s="12">
        <f t="shared" si="507"/>
        <v>11340.437499999998</v>
      </c>
      <c r="CF210" s="12">
        <f t="shared" si="507"/>
        <v>11340.437499999998</v>
      </c>
      <c r="CG210" s="12">
        <f t="shared" si="507"/>
        <v>11340.437499999998</v>
      </c>
      <c r="CH210" s="12">
        <f t="shared" si="507"/>
        <v>11340.437499999998</v>
      </c>
      <c r="CI210" s="12">
        <f t="shared" si="507"/>
        <v>6032.8041666666659</v>
      </c>
      <c r="CJ210" s="12">
        <f t="shared" si="507"/>
        <v>8686.6208333333325</v>
      </c>
      <c r="CK210" s="12">
        <f t="shared" si="507"/>
        <v>8686.6208333333325</v>
      </c>
      <c r="CL210" s="12">
        <f t="shared" si="507"/>
        <v>8686.6208333333325</v>
      </c>
      <c r="CM210" s="12">
        <f t="shared" si="507"/>
        <v>8686.6208333333325</v>
      </c>
      <c r="CN210" s="12">
        <f t="shared" si="507"/>
        <v>8686.6208333333325</v>
      </c>
      <c r="CO210" s="12">
        <f t="shared" si="507"/>
        <v>8686.6208333333325</v>
      </c>
      <c r="CP210" s="12">
        <f t="shared" si="507"/>
        <v>8686.6208333333325</v>
      </c>
      <c r="CQ210" s="12">
        <f t="shared" si="507"/>
        <v>8686.6208333333325</v>
      </c>
      <c r="CR210" s="12">
        <f t="shared" si="507"/>
        <v>8686.6208333333325</v>
      </c>
      <c r="CS210" s="12">
        <f t="shared" si="507"/>
        <v>8686.6208333333325</v>
      </c>
      <c r="CT210" s="12">
        <f t="shared" si="507"/>
        <v>8686.6208333333325</v>
      </c>
      <c r="CU210" s="12">
        <f t="shared" si="507"/>
        <v>8686.6208333333325</v>
      </c>
      <c r="CV210" s="12">
        <f t="shared" si="507"/>
        <v>6032.8041666666659</v>
      </c>
      <c r="CW210" s="12">
        <f t="shared" si="507"/>
        <v>6032.8041666666659</v>
      </c>
      <c r="CX210" s="12">
        <f t="shared" si="507"/>
        <v>6032.8041666666659</v>
      </c>
      <c r="CY210" s="12">
        <f t="shared" si="507"/>
        <v>6032.8041666666659</v>
      </c>
      <c r="CZ210" s="12">
        <f t="shared" si="507"/>
        <v>6032.8041666666659</v>
      </c>
      <c r="DA210" s="12">
        <f t="shared" ref="DA210:EF210" si="508">DA103+DA139+DA175</f>
        <v>6032.8041666666659</v>
      </c>
      <c r="DB210" s="12">
        <f t="shared" si="508"/>
        <v>6032.8041666666659</v>
      </c>
      <c r="DC210" s="12">
        <f t="shared" si="508"/>
        <v>6032.8041666666659</v>
      </c>
      <c r="DD210" s="12">
        <f t="shared" si="508"/>
        <v>6032.8041666666659</v>
      </c>
      <c r="DE210" s="12">
        <f t="shared" si="508"/>
        <v>6032.8041666666659</v>
      </c>
      <c r="DF210" s="12">
        <f t="shared" si="508"/>
        <v>6032.8041666666659</v>
      </c>
      <c r="DG210" s="12">
        <f t="shared" si="508"/>
        <v>0</v>
      </c>
      <c r="DH210" s="12">
        <f t="shared" si="508"/>
        <v>3016.4020833333329</v>
      </c>
      <c r="DI210" s="12">
        <f t="shared" si="508"/>
        <v>3016.4020833333329</v>
      </c>
      <c r="DJ210" s="12">
        <f t="shared" si="508"/>
        <v>3016.4020833333329</v>
      </c>
      <c r="DK210" s="12">
        <f t="shared" si="508"/>
        <v>3016.4020833333329</v>
      </c>
      <c r="DL210" s="12">
        <f t="shared" si="508"/>
        <v>3016.4020833333329</v>
      </c>
      <c r="DM210" s="12">
        <f t="shared" si="508"/>
        <v>3016.4020833333329</v>
      </c>
      <c r="DN210" s="12">
        <f t="shared" si="508"/>
        <v>3016.4020833333329</v>
      </c>
      <c r="DO210" s="12">
        <f t="shared" si="508"/>
        <v>3016.4020833333329</v>
      </c>
      <c r="DP210" s="12">
        <f t="shared" si="508"/>
        <v>3016.4020833333329</v>
      </c>
      <c r="DQ210" s="12">
        <f t="shared" si="508"/>
        <v>3016.4020833333329</v>
      </c>
      <c r="DR210" s="12">
        <f t="shared" si="508"/>
        <v>3016.4020833333329</v>
      </c>
      <c r="DS210" s="12">
        <f t="shared" si="508"/>
        <v>3016.4020833333329</v>
      </c>
      <c r="DT210" s="12">
        <f t="shared" si="508"/>
        <v>0</v>
      </c>
      <c r="DU210" s="12">
        <f t="shared" si="508"/>
        <v>0</v>
      </c>
      <c r="DV210" s="12">
        <f t="shared" si="508"/>
        <v>0</v>
      </c>
      <c r="DW210" s="12">
        <f t="shared" si="508"/>
        <v>0</v>
      </c>
      <c r="DX210" s="12">
        <f t="shared" si="508"/>
        <v>0</v>
      </c>
      <c r="DY210" s="12">
        <f t="shared" si="508"/>
        <v>0</v>
      </c>
      <c r="DZ210" s="12">
        <f t="shared" si="508"/>
        <v>0</v>
      </c>
      <c r="EA210" s="12">
        <f t="shared" si="508"/>
        <v>0</v>
      </c>
      <c r="EB210" s="12">
        <f t="shared" si="508"/>
        <v>0</v>
      </c>
      <c r="EC210" s="12">
        <f t="shared" si="508"/>
        <v>0</v>
      </c>
      <c r="ED210" s="12">
        <f t="shared" si="508"/>
        <v>0</v>
      </c>
      <c r="EE210" s="12">
        <f t="shared" si="508"/>
        <v>0</v>
      </c>
      <c r="EF210" s="12">
        <f t="shared" si="508"/>
        <v>0</v>
      </c>
      <c r="EG210" s="12">
        <f t="shared" ref="EG210:FH210" si="509">EG103+EG139+EG175</f>
        <v>0</v>
      </c>
      <c r="EH210" s="12">
        <f t="shared" si="509"/>
        <v>0</v>
      </c>
      <c r="EI210" s="12">
        <f t="shared" si="509"/>
        <v>0</v>
      </c>
      <c r="EJ210" s="12">
        <f t="shared" si="509"/>
        <v>0</v>
      </c>
      <c r="EK210" s="12">
        <f t="shared" si="509"/>
        <v>0</v>
      </c>
      <c r="EL210" s="12">
        <f t="shared" si="509"/>
        <v>0</v>
      </c>
      <c r="EM210" s="12">
        <f t="shared" si="509"/>
        <v>0</v>
      </c>
      <c r="EN210" s="12">
        <f t="shared" si="509"/>
        <v>0</v>
      </c>
      <c r="EO210" s="12">
        <f t="shared" si="509"/>
        <v>0</v>
      </c>
      <c r="EP210" s="12">
        <f t="shared" si="509"/>
        <v>0</v>
      </c>
      <c r="EQ210" s="12">
        <f t="shared" si="509"/>
        <v>0</v>
      </c>
      <c r="ER210" s="12">
        <f t="shared" si="509"/>
        <v>0</v>
      </c>
      <c r="ES210" s="12">
        <f t="shared" si="509"/>
        <v>0</v>
      </c>
      <c r="ET210" s="12">
        <f t="shared" si="509"/>
        <v>0</v>
      </c>
      <c r="EU210" s="12">
        <f t="shared" si="509"/>
        <v>0</v>
      </c>
      <c r="EV210" s="12">
        <f t="shared" si="509"/>
        <v>0</v>
      </c>
      <c r="EW210" s="12">
        <f t="shared" si="509"/>
        <v>0</v>
      </c>
      <c r="EX210" s="12">
        <f t="shared" si="509"/>
        <v>0</v>
      </c>
      <c r="EY210" s="12">
        <f t="shared" si="509"/>
        <v>0</v>
      </c>
      <c r="EZ210" s="12">
        <f t="shared" si="509"/>
        <v>0</v>
      </c>
      <c r="FA210" s="12">
        <f t="shared" si="509"/>
        <v>0</v>
      </c>
      <c r="FB210" s="12">
        <f t="shared" si="509"/>
        <v>0</v>
      </c>
      <c r="FC210" s="12">
        <f t="shared" si="509"/>
        <v>0</v>
      </c>
      <c r="FD210" s="12">
        <f t="shared" si="509"/>
        <v>0</v>
      </c>
      <c r="FE210" s="12">
        <f t="shared" si="509"/>
        <v>0</v>
      </c>
      <c r="FF210" s="12">
        <f t="shared" si="509"/>
        <v>0</v>
      </c>
      <c r="FG210" s="12">
        <f t="shared" si="509"/>
        <v>0</v>
      </c>
      <c r="FH210" s="12">
        <f t="shared" si="509"/>
        <v>0</v>
      </c>
    </row>
    <row r="211" spans="1:164" x14ac:dyDescent="0.2">
      <c r="A211" s="10"/>
      <c r="B211" s="10"/>
      <c r="C211" s="10" t="s">
        <v>923</v>
      </c>
      <c r="D211" s="10"/>
      <c r="E211" s="10"/>
      <c r="F211" s="10"/>
      <c r="G211" s="10"/>
      <c r="H211" s="12">
        <f>SUM(I211:FH211)</f>
        <v>957346.25</v>
      </c>
      <c r="I211" s="12">
        <f t="shared" ref="I211:AN211" si="510">I109+I145+I181</f>
        <v>0</v>
      </c>
      <c r="J211" s="12">
        <f t="shared" si="510"/>
        <v>0</v>
      </c>
      <c r="K211" s="12">
        <f t="shared" si="510"/>
        <v>0</v>
      </c>
      <c r="L211" s="12">
        <f t="shared" si="510"/>
        <v>0</v>
      </c>
      <c r="M211" s="12">
        <f t="shared" si="510"/>
        <v>0</v>
      </c>
      <c r="N211" s="12">
        <f t="shared" si="510"/>
        <v>0</v>
      </c>
      <c r="O211" s="12">
        <f t="shared" si="510"/>
        <v>0</v>
      </c>
      <c r="P211" s="12">
        <f t="shared" si="510"/>
        <v>0</v>
      </c>
      <c r="Q211" s="12">
        <f t="shared" si="510"/>
        <v>0</v>
      </c>
      <c r="R211" s="12">
        <f t="shared" si="510"/>
        <v>0</v>
      </c>
      <c r="S211" s="12">
        <f t="shared" si="510"/>
        <v>0</v>
      </c>
      <c r="T211" s="12">
        <f t="shared" si="510"/>
        <v>0</v>
      </c>
      <c r="U211" s="12">
        <f t="shared" si="510"/>
        <v>1483.5</v>
      </c>
      <c r="V211" s="12">
        <f t="shared" si="510"/>
        <v>1584.8121951219512</v>
      </c>
      <c r="W211" s="12">
        <f t="shared" si="510"/>
        <v>1688.6571951219512</v>
      </c>
      <c r="X211" s="12">
        <f t="shared" si="510"/>
        <v>1795.1648874296434</v>
      </c>
      <c r="Y211" s="12">
        <f t="shared" si="510"/>
        <v>1904.4754137454329</v>
      </c>
      <c r="Z211" s="12">
        <f t="shared" si="510"/>
        <v>2016.7402786102978</v>
      </c>
      <c r="AA211" s="12">
        <f t="shared" si="510"/>
        <v>1132.1347230547422</v>
      </c>
      <c r="AB211" s="12">
        <f t="shared" si="510"/>
        <v>1171.6947230547421</v>
      </c>
      <c r="AC211" s="12">
        <f t="shared" si="510"/>
        <v>1212.4182524665071</v>
      </c>
      <c r="AD211" s="12">
        <f t="shared" si="510"/>
        <v>1254.3758282240829</v>
      </c>
      <c r="AE211" s="12">
        <f t="shared" si="510"/>
        <v>1297.6445782240826</v>
      </c>
      <c r="AF211" s="12">
        <f t="shared" si="510"/>
        <v>1342.3090943531149</v>
      </c>
      <c r="AG211" s="12">
        <f t="shared" si="510"/>
        <v>1388.4624276864483</v>
      </c>
      <c r="AH211" s="12">
        <f t="shared" si="510"/>
        <v>1436.2072552726552</v>
      </c>
      <c r="AI211" s="12">
        <f t="shared" si="510"/>
        <v>1485.6572552726552</v>
      </c>
      <c r="AJ211" s="12">
        <f t="shared" si="510"/>
        <v>1536.9387367541367</v>
      </c>
      <c r="AK211" s="12">
        <f t="shared" si="510"/>
        <v>1590.1925829079828</v>
      </c>
      <c r="AL211" s="12">
        <f t="shared" si="510"/>
        <v>1645.5765829079828</v>
      </c>
      <c r="AM211" s="12">
        <f t="shared" si="510"/>
        <v>1703.2682495746494</v>
      </c>
      <c r="AN211" s="12">
        <f t="shared" si="510"/>
        <v>1763.4682495746495</v>
      </c>
      <c r="AO211" s="12">
        <f t="shared" ref="AO211:BT211" si="511">AO109+AO145+AO181</f>
        <v>1826.4046132110132</v>
      </c>
      <c r="AP211" s="12">
        <f t="shared" si="511"/>
        <v>1892.3379465443466</v>
      </c>
      <c r="AQ211" s="12">
        <f t="shared" si="511"/>
        <v>1961.5679465443466</v>
      </c>
      <c r="AR211" s="12">
        <f t="shared" si="511"/>
        <v>2034.4416307548729</v>
      </c>
      <c r="AS211" s="12">
        <f t="shared" si="511"/>
        <v>3817.3888529770948</v>
      </c>
      <c r="AT211" s="12">
        <f t="shared" si="511"/>
        <v>4015.3449361908679</v>
      </c>
      <c r="AU211" s="12">
        <f t="shared" si="511"/>
        <v>4221.3041861908678</v>
      </c>
      <c r="AV211" s="12">
        <f t="shared" si="511"/>
        <v>4436.0946990113807</v>
      </c>
      <c r="AW211" s="12">
        <f t="shared" si="511"/>
        <v>4660.7018042745385</v>
      </c>
      <c r="AX211" s="12">
        <f t="shared" si="511"/>
        <v>4896.314091176826</v>
      </c>
      <c r="AY211" s="12">
        <f t="shared" si="511"/>
        <v>3994.4010356212702</v>
      </c>
      <c r="AZ211" s="12">
        <f t="shared" si="511"/>
        <v>4165.7677628939982</v>
      </c>
      <c r="BA211" s="12">
        <f t="shared" si="511"/>
        <v>4351.0598217175266</v>
      </c>
      <c r="BB211" s="12">
        <f t="shared" si="511"/>
        <v>4553.1554782831836</v>
      </c>
      <c r="BC211" s="12">
        <f t="shared" si="511"/>
        <v>4775.9895407831837</v>
      </c>
      <c r="BD211" s="12">
        <f t="shared" si="511"/>
        <v>5025.1537343315704</v>
      </c>
      <c r="BE211" s="12">
        <f t="shared" si="511"/>
        <v>5308.9967343315711</v>
      </c>
      <c r="BF211" s="12">
        <f t="shared" si="511"/>
        <v>5640.8232860557091</v>
      </c>
      <c r="BG211" s="12">
        <f t="shared" si="511"/>
        <v>6043.840786055709</v>
      </c>
      <c r="BH211" s="12">
        <f t="shared" si="511"/>
        <v>6564.3478230927467</v>
      </c>
      <c r="BI211" s="12">
        <f t="shared" si="511"/>
        <v>7317.8897461696688</v>
      </c>
      <c r="BJ211" s="12">
        <f t="shared" si="511"/>
        <v>8766.1813461696693</v>
      </c>
      <c r="BK211" s="12">
        <f t="shared" si="511"/>
        <v>26881.558487010865</v>
      </c>
      <c r="BL211" s="12">
        <f t="shared" si="511"/>
        <v>3181.8218203441802</v>
      </c>
      <c r="BM211" s="12">
        <f t="shared" si="511"/>
        <v>3254.1986385259979</v>
      </c>
      <c r="BN211" s="12">
        <f t="shared" si="511"/>
        <v>3330.0219718593316</v>
      </c>
      <c r="BO211" s="12">
        <f t="shared" si="511"/>
        <v>3409.6364718593313</v>
      </c>
      <c r="BP211" s="12">
        <f t="shared" si="511"/>
        <v>3493.4412087014362</v>
      </c>
      <c r="BQ211" s="12">
        <f t="shared" si="511"/>
        <v>5521.0173892569919</v>
      </c>
      <c r="BR211" s="12">
        <f t="shared" si="511"/>
        <v>5747.1089154406354</v>
      </c>
      <c r="BS211" s="12">
        <f t="shared" si="511"/>
        <v>5982.3651341906361</v>
      </c>
      <c r="BT211" s="12">
        <f t="shared" si="511"/>
        <v>6227.7363585496105</v>
      </c>
      <c r="BU211" s="12">
        <f t="shared" ref="BU211:CZ211" si="512">BU109+BU145+BU181</f>
        <v>6484.3535624969791</v>
      </c>
      <c r="BV211" s="12">
        <f t="shared" si="512"/>
        <v>6753.58129378596</v>
      </c>
      <c r="BW211" s="12">
        <f t="shared" si="512"/>
        <v>5729.9846618415158</v>
      </c>
      <c r="BX211" s="12">
        <f t="shared" si="512"/>
        <v>143232.61471487192</v>
      </c>
      <c r="BY211" s="12">
        <f t="shared" si="512"/>
        <v>4985.0743398718187</v>
      </c>
      <c r="BZ211" s="12">
        <f t="shared" si="512"/>
        <v>5216.8391252253541</v>
      </c>
      <c r="CA211" s="12">
        <f t="shared" si="512"/>
        <v>5472.4329142878541</v>
      </c>
      <c r="CB211" s="12">
        <f t="shared" si="512"/>
        <v>5758.2848900943063</v>
      </c>
      <c r="CC211" s="12">
        <f t="shared" si="512"/>
        <v>6083.9945984276383</v>
      </c>
      <c r="CD211" s="12">
        <f t="shared" si="512"/>
        <v>6464.8609173931563</v>
      </c>
      <c r="CE211" s="12">
        <f t="shared" si="512"/>
        <v>6927.570604893157</v>
      </c>
      <c r="CF211" s="12">
        <f t="shared" si="512"/>
        <v>7525.365095633897</v>
      </c>
      <c r="CG211" s="12">
        <f t="shared" si="512"/>
        <v>8391.1193744800512</v>
      </c>
      <c r="CH211" s="12">
        <f t="shared" si="512"/>
        <v>10055.80302448005</v>
      </c>
      <c r="CI211" s="12">
        <f t="shared" si="512"/>
        <v>30887.59955936408</v>
      </c>
      <c r="CJ211" s="12">
        <f t="shared" si="512"/>
        <v>3631.9766426974056</v>
      </c>
      <c r="CK211" s="12">
        <f t="shared" si="512"/>
        <v>3714.2421540610421</v>
      </c>
      <c r="CL211" s="12">
        <f t="shared" si="512"/>
        <v>3800.4250707277088</v>
      </c>
      <c r="CM211" s="12">
        <f t="shared" si="512"/>
        <v>3890.9171332277083</v>
      </c>
      <c r="CN211" s="12">
        <f t="shared" si="512"/>
        <v>3986.1719358592873</v>
      </c>
      <c r="CO211" s="12">
        <f t="shared" si="512"/>
        <v>4086.7186719703986</v>
      </c>
      <c r="CP211" s="12">
        <f t="shared" si="512"/>
        <v>4193.179921970398</v>
      </c>
      <c r="CQ211" s="12">
        <f t="shared" si="512"/>
        <v>4306.2950000953979</v>
      </c>
      <c r="CR211" s="12">
        <f t="shared" si="512"/>
        <v>4426.9510834287312</v>
      </c>
      <c r="CS211" s="12">
        <f t="shared" si="512"/>
        <v>4556.2254584287311</v>
      </c>
      <c r="CT211" s="12">
        <f t="shared" si="512"/>
        <v>4695.4440161210387</v>
      </c>
      <c r="CU211" s="12">
        <f t="shared" si="512"/>
        <v>4846.2641202877057</v>
      </c>
      <c r="CV211" s="12">
        <f t="shared" si="512"/>
        <v>162912.8868096816</v>
      </c>
      <c r="CW211" s="12">
        <f t="shared" si="512"/>
        <v>3864.8709346816449</v>
      </c>
      <c r="CX211" s="12">
        <f t="shared" si="512"/>
        <v>4065.9644069038673</v>
      </c>
      <c r="CY211" s="12">
        <f t="shared" si="512"/>
        <v>4292.1945631538674</v>
      </c>
      <c r="CZ211" s="12">
        <f t="shared" si="512"/>
        <v>4550.7433131538673</v>
      </c>
      <c r="DA211" s="12">
        <f t="shared" ref="DA211:EF211" si="513">DA109+DA145+DA181</f>
        <v>4852.3835214872006</v>
      </c>
      <c r="DB211" s="12">
        <f t="shared" si="513"/>
        <v>5214.3517714872005</v>
      </c>
      <c r="DC211" s="12">
        <f t="shared" si="513"/>
        <v>5666.8120839872008</v>
      </c>
      <c r="DD211" s="12">
        <f t="shared" si="513"/>
        <v>6270.0925006538673</v>
      </c>
      <c r="DE211" s="12">
        <f t="shared" si="513"/>
        <v>7175.0131256538671</v>
      </c>
      <c r="DF211" s="12">
        <f t="shared" si="513"/>
        <v>8984.8543756538675</v>
      </c>
      <c r="DG211" s="12">
        <f t="shared" si="513"/>
        <v>32577.142499999973</v>
      </c>
      <c r="DH211" s="12">
        <f t="shared" si="513"/>
        <v>1508.2010416666665</v>
      </c>
      <c r="DI211" s="12">
        <f t="shared" si="513"/>
        <v>1508.2010416666665</v>
      </c>
      <c r="DJ211" s="12">
        <f t="shared" si="513"/>
        <v>1508.2010416666665</v>
      </c>
      <c r="DK211" s="12">
        <f t="shared" si="513"/>
        <v>1508.2010416666665</v>
      </c>
      <c r="DL211" s="12">
        <f t="shared" si="513"/>
        <v>1508.2010416666665</v>
      </c>
      <c r="DM211" s="12">
        <f t="shared" si="513"/>
        <v>1508.2010416666665</v>
      </c>
      <c r="DN211" s="12">
        <f t="shared" si="513"/>
        <v>1508.2010416666665</v>
      </c>
      <c r="DO211" s="12">
        <f t="shared" si="513"/>
        <v>1508.2010416666665</v>
      </c>
      <c r="DP211" s="12">
        <f t="shared" si="513"/>
        <v>1508.2010416666665</v>
      </c>
      <c r="DQ211" s="12">
        <f t="shared" si="513"/>
        <v>1508.2010416666665</v>
      </c>
      <c r="DR211" s="12">
        <f t="shared" si="513"/>
        <v>1508.2010416666665</v>
      </c>
      <c r="DS211" s="12">
        <f t="shared" si="513"/>
        <v>1508.2010416666665</v>
      </c>
      <c r="DT211" s="12">
        <f t="shared" si="513"/>
        <v>180984.12499999994</v>
      </c>
      <c r="DU211" s="12">
        <f t="shared" si="513"/>
        <v>0</v>
      </c>
      <c r="DV211" s="12">
        <f t="shared" si="513"/>
        <v>0</v>
      </c>
      <c r="DW211" s="12">
        <f t="shared" si="513"/>
        <v>0</v>
      </c>
      <c r="DX211" s="12">
        <f t="shared" si="513"/>
        <v>0</v>
      </c>
      <c r="DY211" s="12">
        <f t="shared" si="513"/>
        <v>0</v>
      </c>
      <c r="DZ211" s="12">
        <f t="shared" si="513"/>
        <v>0</v>
      </c>
      <c r="EA211" s="12">
        <f t="shared" si="513"/>
        <v>0</v>
      </c>
      <c r="EB211" s="12">
        <f t="shared" si="513"/>
        <v>0</v>
      </c>
      <c r="EC211" s="12">
        <f t="shared" si="513"/>
        <v>0</v>
      </c>
      <c r="ED211" s="12">
        <f t="shared" si="513"/>
        <v>0</v>
      </c>
      <c r="EE211" s="12">
        <f t="shared" si="513"/>
        <v>0</v>
      </c>
      <c r="EF211" s="12">
        <f t="shared" si="513"/>
        <v>0</v>
      </c>
      <c r="EG211" s="12">
        <f t="shared" ref="EG211:FH211" si="514">EG109+EG145+EG181</f>
        <v>0</v>
      </c>
      <c r="EH211" s="12">
        <f t="shared" si="514"/>
        <v>0</v>
      </c>
      <c r="EI211" s="12">
        <f t="shared" si="514"/>
        <v>0</v>
      </c>
      <c r="EJ211" s="12">
        <f t="shared" si="514"/>
        <v>0</v>
      </c>
      <c r="EK211" s="12">
        <f t="shared" si="514"/>
        <v>0</v>
      </c>
      <c r="EL211" s="12">
        <f t="shared" si="514"/>
        <v>0</v>
      </c>
      <c r="EM211" s="12">
        <f t="shared" si="514"/>
        <v>0</v>
      </c>
      <c r="EN211" s="12">
        <f t="shared" si="514"/>
        <v>0</v>
      </c>
      <c r="EO211" s="12">
        <f t="shared" si="514"/>
        <v>0</v>
      </c>
      <c r="EP211" s="12">
        <f t="shared" si="514"/>
        <v>0</v>
      </c>
      <c r="EQ211" s="12">
        <f t="shared" si="514"/>
        <v>0</v>
      </c>
      <c r="ER211" s="12">
        <f t="shared" si="514"/>
        <v>0</v>
      </c>
      <c r="ES211" s="12">
        <f t="shared" si="514"/>
        <v>0</v>
      </c>
      <c r="ET211" s="12">
        <f t="shared" si="514"/>
        <v>0</v>
      </c>
      <c r="EU211" s="12">
        <f t="shared" si="514"/>
        <v>0</v>
      </c>
      <c r="EV211" s="12">
        <f t="shared" si="514"/>
        <v>0</v>
      </c>
      <c r="EW211" s="12">
        <f t="shared" si="514"/>
        <v>0</v>
      </c>
      <c r="EX211" s="12">
        <f t="shared" si="514"/>
        <v>0</v>
      </c>
      <c r="EY211" s="12">
        <f t="shared" si="514"/>
        <v>0</v>
      </c>
      <c r="EZ211" s="12">
        <f t="shared" si="514"/>
        <v>0</v>
      </c>
      <c r="FA211" s="12">
        <f t="shared" si="514"/>
        <v>0</v>
      </c>
      <c r="FB211" s="12">
        <f t="shared" si="514"/>
        <v>0</v>
      </c>
      <c r="FC211" s="12">
        <f t="shared" si="514"/>
        <v>0</v>
      </c>
      <c r="FD211" s="12">
        <f t="shared" si="514"/>
        <v>0</v>
      </c>
      <c r="FE211" s="12">
        <f t="shared" si="514"/>
        <v>0</v>
      </c>
      <c r="FF211" s="12">
        <f t="shared" si="514"/>
        <v>0</v>
      </c>
      <c r="FG211" s="12">
        <f t="shared" si="514"/>
        <v>0</v>
      </c>
      <c r="FH211" s="12">
        <f t="shared" si="514"/>
        <v>0</v>
      </c>
    </row>
    <row r="212" spans="1:164" x14ac:dyDescent="0.2">
      <c r="A212" s="10"/>
      <c r="B212" s="10"/>
      <c r="C212" s="10" t="s">
        <v>775</v>
      </c>
      <c r="D212" s="10"/>
      <c r="E212" s="10"/>
      <c r="F212" s="10"/>
      <c r="G212" s="10"/>
      <c r="H212" s="12">
        <f>SUM(I212:FH212)</f>
        <v>834805.92999999924</v>
      </c>
      <c r="I212" s="12">
        <f t="shared" ref="I212:AN212" si="515">I113+I149+I185</f>
        <v>0</v>
      </c>
      <c r="J212" s="12">
        <f t="shared" si="515"/>
        <v>0</v>
      </c>
      <c r="K212" s="12">
        <f t="shared" si="515"/>
        <v>0</v>
      </c>
      <c r="L212" s="12">
        <f t="shared" si="515"/>
        <v>0</v>
      </c>
      <c r="M212" s="12">
        <f t="shared" si="515"/>
        <v>0</v>
      </c>
      <c r="N212" s="12">
        <f t="shared" si="515"/>
        <v>0</v>
      </c>
      <c r="O212" s="12">
        <f t="shared" si="515"/>
        <v>0</v>
      </c>
      <c r="P212" s="12">
        <f t="shared" si="515"/>
        <v>0</v>
      </c>
      <c r="Q212" s="12">
        <f t="shared" si="515"/>
        <v>0</v>
      </c>
      <c r="R212" s="12">
        <f t="shared" si="515"/>
        <v>0</v>
      </c>
      <c r="S212" s="12">
        <f t="shared" si="515"/>
        <v>0</v>
      </c>
      <c r="T212" s="12">
        <f t="shared" si="515"/>
        <v>0</v>
      </c>
      <c r="U212" s="12">
        <f t="shared" si="515"/>
        <v>700.21199999999999</v>
      </c>
      <c r="V212" s="12">
        <f t="shared" si="515"/>
        <v>793.41921951219501</v>
      </c>
      <c r="W212" s="12">
        <f t="shared" si="515"/>
        <v>888.95661951219518</v>
      </c>
      <c r="X212" s="12">
        <f t="shared" si="515"/>
        <v>986.94369643527193</v>
      </c>
      <c r="Y212" s="12">
        <f t="shared" si="515"/>
        <v>1087.5093806457983</v>
      </c>
      <c r="Z212" s="12">
        <f t="shared" si="515"/>
        <v>1190.7930563214741</v>
      </c>
      <c r="AA212" s="12">
        <f t="shared" si="515"/>
        <v>820.02794521036276</v>
      </c>
      <c r="AB212" s="12">
        <f t="shared" si="515"/>
        <v>856.4231452103628</v>
      </c>
      <c r="AC212" s="12">
        <f t="shared" si="515"/>
        <v>893.88879226918652</v>
      </c>
      <c r="AD212" s="12">
        <f t="shared" si="515"/>
        <v>932.48976196615627</v>
      </c>
      <c r="AE212" s="12">
        <f t="shared" si="515"/>
        <v>972.29701196615588</v>
      </c>
      <c r="AF212" s="12">
        <f t="shared" si="515"/>
        <v>1013.3883668048658</v>
      </c>
      <c r="AG212" s="12">
        <f t="shared" si="515"/>
        <v>1055.8494334715324</v>
      </c>
      <c r="AH212" s="12">
        <f t="shared" si="515"/>
        <v>1099.7746748508428</v>
      </c>
      <c r="AI212" s="12">
        <f t="shared" si="515"/>
        <v>1145.2686748508427</v>
      </c>
      <c r="AJ212" s="12">
        <f t="shared" si="515"/>
        <v>1192.4476378138058</v>
      </c>
      <c r="AK212" s="12">
        <f t="shared" si="515"/>
        <v>1241.4411762753443</v>
      </c>
      <c r="AL212" s="12">
        <f t="shared" si="515"/>
        <v>1292.3944562753441</v>
      </c>
      <c r="AM212" s="12">
        <f t="shared" si="515"/>
        <v>1345.4707896086775</v>
      </c>
      <c r="AN212" s="12">
        <f t="shared" si="515"/>
        <v>1400.8547896086775</v>
      </c>
      <c r="AO212" s="12">
        <f t="shared" ref="AO212:BT212" si="516">AO113+AO149+AO185</f>
        <v>1458.756244154132</v>
      </c>
      <c r="AP212" s="12">
        <f t="shared" si="516"/>
        <v>1519.4149108207987</v>
      </c>
      <c r="AQ212" s="12">
        <f t="shared" si="516"/>
        <v>1583.1065108207988</v>
      </c>
      <c r="AR212" s="12">
        <f t="shared" si="516"/>
        <v>1650.150300294483</v>
      </c>
      <c r="AS212" s="12">
        <f t="shared" si="516"/>
        <v>2526.1625447389274</v>
      </c>
      <c r="AT212" s="12">
        <f t="shared" si="516"/>
        <v>2708.2821412955991</v>
      </c>
      <c r="AU212" s="12">
        <f t="shared" si="516"/>
        <v>2897.7646512955989</v>
      </c>
      <c r="AV212" s="12">
        <f t="shared" si="516"/>
        <v>3095.3719230904708</v>
      </c>
      <c r="AW212" s="12">
        <f t="shared" si="516"/>
        <v>3302.0104599325759</v>
      </c>
      <c r="AX212" s="12">
        <f t="shared" si="516"/>
        <v>3518.7737638826802</v>
      </c>
      <c r="AY212" s="12">
        <f t="shared" si="516"/>
        <v>3198.5465527715687</v>
      </c>
      <c r="AZ212" s="12">
        <f t="shared" si="516"/>
        <v>3356.2039418624786</v>
      </c>
      <c r="BA212" s="12">
        <f t="shared" si="516"/>
        <v>3526.6726359801251</v>
      </c>
      <c r="BB212" s="12">
        <f t="shared" si="516"/>
        <v>3712.6006400205288</v>
      </c>
      <c r="BC212" s="12">
        <f t="shared" si="516"/>
        <v>3917.6079775205285</v>
      </c>
      <c r="BD212" s="12">
        <f t="shared" si="516"/>
        <v>4146.8390355850443</v>
      </c>
      <c r="BE212" s="12">
        <f t="shared" si="516"/>
        <v>4407.9745955850449</v>
      </c>
      <c r="BF212" s="12">
        <f t="shared" si="516"/>
        <v>4713.2550231712521</v>
      </c>
      <c r="BG212" s="12">
        <f t="shared" si="516"/>
        <v>5084.0311231712521</v>
      </c>
      <c r="BH212" s="12">
        <f t="shared" si="516"/>
        <v>5562.8975972453263</v>
      </c>
      <c r="BI212" s="12">
        <f t="shared" si="516"/>
        <v>6256.1561664760957</v>
      </c>
      <c r="BJ212" s="12">
        <f t="shared" si="516"/>
        <v>7588.5844384760967</v>
      </c>
      <c r="BK212" s="12">
        <f t="shared" si="516"/>
        <v>24476.267408049996</v>
      </c>
      <c r="BL212" s="12">
        <f t="shared" si="516"/>
        <v>2561.7416747166458</v>
      </c>
      <c r="BM212" s="12">
        <f t="shared" si="516"/>
        <v>2628.3283474439181</v>
      </c>
      <c r="BN212" s="12">
        <f t="shared" si="516"/>
        <v>2698.085814110585</v>
      </c>
      <c r="BO212" s="12">
        <f t="shared" si="516"/>
        <v>2771.3311541105845</v>
      </c>
      <c r="BP212" s="12">
        <f t="shared" si="516"/>
        <v>2848.4315120053216</v>
      </c>
      <c r="BQ212" s="12">
        <f t="shared" si="516"/>
        <v>3845.0777981164329</v>
      </c>
      <c r="BR212" s="12">
        <f t="shared" si="516"/>
        <v>4053.0820022053849</v>
      </c>
      <c r="BS212" s="12">
        <f t="shared" si="516"/>
        <v>4269.5177234553848</v>
      </c>
      <c r="BT212" s="12">
        <f t="shared" si="516"/>
        <v>4495.2592498656413</v>
      </c>
      <c r="BU212" s="12">
        <f t="shared" ref="BU212:CZ212" si="517">BU113+BU149+BU185</f>
        <v>4731.3470774972211</v>
      </c>
      <c r="BV212" s="12">
        <f t="shared" si="517"/>
        <v>4979.0365902830836</v>
      </c>
      <c r="BW212" s="12">
        <f t="shared" si="517"/>
        <v>4616.4768888941944</v>
      </c>
      <c r="BX212" s="12">
        <f t="shared" si="517"/>
        <v>131229.6645376822</v>
      </c>
      <c r="BY212" s="12">
        <f t="shared" si="517"/>
        <v>4041.9273926820733</v>
      </c>
      <c r="BZ212" s="12">
        <f t="shared" si="517"/>
        <v>4255.1509952073266</v>
      </c>
      <c r="CA212" s="12">
        <f t="shared" si="517"/>
        <v>4490.2972811448253</v>
      </c>
      <c r="CB212" s="12">
        <f t="shared" si="517"/>
        <v>4753.2810988867623</v>
      </c>
      <c r="CC212" s="12">
        <f t="shared" si="517"/>
        <v>5052.9340305534279</v>
      </c>
      <c r="CD212" s="12">
        <f t="shared" si="517"/>
        <v>5403.3310440017049</v>
      </c>
      <c r="CE212" s="12">
        <f t="shared" si="517"/>
        <v>5829.0239565017055</v>
      </c>
      <c r="CF212" s="12">
        <f t="shared" si="517"/>
        <v>6378.9948879831863</v>
      </c>
      <c r="CG212" s="12">
        <f t="shared" si="517"/>
        <v>7175.488824521648</v>
      </c>
      <c r="CH212" s="12">
        <f t="shared" si="517"/>
        <v>8706.9977825216465</v>
      </c>
      <c r="CI212" s="12">
        <f t="shared" si="517"/>
        <v>28127.016994614951</v>
      </c>
      <c r="CJ212" s="12">
        <f t="shared" si="517"/>
        <v>2924.4607112816134</v>
      </c>
      <c r="CK212" s="12">
        <f t="shared" si="517"/>
        <v>3000.1449817361586</v>
      </c>
      <c r="CL212" s="12">
        <f t="shared" si="517"/>
        <v>3079.4332650694914</v>
      </c>
      <c r="CM212" s="12">
        <f t="shared" si="517"/>
        <v>3162.6859625694919</v>
      </c>
      <c r="CN212" s="12">
        <f t="shared" si="517"/>
        <v>3250.320380990544</v>
      </c>
      <c r="CO212" s="12">
        <f t="shared" si="517"/>
        <v>3342.8233782127663</v>
      </c>
      <c r="CP212" s="12">
        <f t="shared" si="517"/>
        <v>3440.7677282127665</v>
      </c>
      <c r="CQ212" s="12">
        <f t="shared" si="517"/>
        <v>3544.8336000877657</v>
      </c>
      <c r="CR212" s="12">
        <f t="shared" si="517"/>
        <v>3655.8371967544331</v>
      </c>
      <c r="CS212" s="12">
        <f t="shared" si="517"/>
        <v>3774.769621754433</v>
      </c>
      <c r="CT212" s="12">
        <f t="shared" si="517"/>
        <v>3902.8506948313557</v>
      </c>
      <c r="CU212" s="12">
        <f t="shared" si="517"/>
        <v>4041.605190664689</v>
      </c>
      <c r="CV212" s="12">
        <f t="shared" si="517"/>
        <v>149590.28126490704</v>
      </c>
      <c r="CW212" s="12">
        <f t="shared" si="517"/>
        <v>3266.1066599071137</v>
      </c>
      <c r="CX212" s="12">
        <f t="shared" si="517"/>
        <v>3451.1126543515579</v>
      </c>
      <c r="CY212" s="12">
        <f t="shared" si="517"/>
        <v>3659.2443981015585</v>
      </c>
      <c r="CZ212" s="12">
        <f t="shared" si="517"/>
        <v>3897.1092481015585</v>
      </c>
      <c r="DA212" s="12">
        <f t="shared" ref="DA212:EF212" si="518">DA113+DA149+DA185</f>
        <v>4174.6182397682251</v>
      </c>
      <c r="DB212" s="12">
        <f t="shared" si="518"/>
        <v>4507.6290297682253</v>
      </c>
      <c r="DC212" s="12">
        <f t="shared" si="518"/>
        <v>4923.8925172682248</v>
      </c>
      <c r="DD212" s="12">
        <f t="shared" si="518"/>
        <v>5478.9105006015579</v>
      </c>
      <c r="DE212" s="12">
        <f t="shared" si="518"/>
        <v>6311.4374756015577</v>
      </c>
      <c r="DF212" s="12">
        <f t="shared" si="518"/>
        <v>7976.4914256015581</v>
      </c>
      <c r="DG212" s="12">
        <f t="shared" si="518"/>
        <v>29970.971099999973</v>
      </c>
      <c r="DH212" s="12">
        <f t="shared" si="518"/>
        <v>1242.7576583333332</v>
      </c>
      <c r="DI212" s="12">
        <f t="shared" si="518"/>
        <v>1242.7576583333332</v>
      </c>
      <c r="DJ212" s="12">
        <f t="shared" si="518"/>
        <v>1242.7576583333332</v>
      </c>
      <c r="DK212" s="12">
        <f t="shared" si="518"/>
        <v>1242.7576583333332</v>
      </c>
      <c r="DL212" s="12">
        <f t="shared" si="518"/>
        <v>1242.7576583333332</v>
      </c>
      <c r="DM212" s="12">
        <f t="shared" si="518"/>
        <v>1242.7576583333332</v>
      </c>
      <c r="DN212" s="12">
        <f t="shared" si="518"/>
        <v>1242.7576583333332</v>
      </c>
      <c r="DO212" s="12">
        <f t="shared" si="518"/>
        <v>1242.7576583333332</v>
      </c>
      <c r="DP212" s="12">
        <f t="shared" si="518"/>
        <v>1242.7576583333332</v>
      </c>
      <c r="DQ212" s="12">
        <f t="shared" si="518"/>
        <v>1242.7576583333332</v>
      </c>
      <c r="DR212" s="12">
        <f t="shared" si="518"/>
        <v>1242.7576583333332</v>
      </c>
      <c r="DS212" s="12">
        <f t="shared" si="518"/>
        <v>1242.7576583333332</v>
      </c>
      <c r="DT212" s="12">
        <f t="shared" si="518"/>
        <v>166505.39499999996</v>
      </c>
      <c r="DU212" s="12">
        <f t="shared" si="518"/>
        <v>0</v>
      </c>
      <c r="DV212" s="12">
        <f t="shared" si="518"/>
        <v>0</v>
      </c>
      <c r="DW212" s="12">
        <f t="shared" si="518"/>
        <v>0</v>
      </c>
      <c r="DX212" s="12">
        <f t="shared" si="518"/>
        <v>0</v>
      </c>
      <c r="DY212" s="12">
        <f t="shared" si="518"/>
        <v>0</v>
      </c>
      <c r="DZ212" s="12">
        <f t="shared" si="518"/>
        <v>0</v>
      </c>
      <c r="EA212" s="12">
        <f t="shared" si="518"/>
        <v>0</v>
      </c>
      <c r="EB212" s="12">
        <f t="shared" si="518"/>
        <v>0</v>
      </c>
      <c r="EC212" s="12">
        <f t="shared" si="518"/>
        <v>0</v>
      </c>
      <c r="ED212" s="12">
        <f t="shared" si="518"/>
        <v>0</v>
      </c>
      <c r="EE212" s="12">
        <f t="shared" si="518"/>
        <v>0</v>
      </c>
      <c r="EF212" s="12">
        <f t="shared" si="518"/>
        <v>0</v>
      </c>
      <c r="EG212" s="12">
        <f t="shared" ref="EG212:FH212" si="519">EG113+EG149+EG185</f>
        <v>0</v>
      </c>
      <c r="EH212" s="12">
        <f t="shared" si="519"/>
        <v>0</v>
      </c>
      <c r="EI212" s="12">
        <f t="shared" si="519"/>
        <v>0</v>
      </c>
      <c r="EJ212" s="12">
        <f t="shared" si="519"/>
        <v>0</v>
      </c>
      <c r="EK212" s="12">
        <f t="shared" si="519"/>
        <v>0</v>
      </c>
      <c r="EL212" s="12">
        <f t="shared" si="519"/>
        <v>0</v>
      </c>
      <c r="EM212" s="12">
        <f t="shared" si="519"/>
        <v>0</v>
      </c>
      <c r="EN212" s="12">
        <f t="shared" si="519"/>
        <v>0</v>
      </c>
      <c r="EO212" s="12">
        <f t="shared" si="519"/>
        <v>0</v>
      </c>
      <c r="EP212" s="12">
        <f t="shared" si="519"/>
        <v>0</v>
      </c>
      <c r="EQ212" s="12">
        <f t="shared" si="519"/>
        <v>0</v>
      </c>
      <c r="ER212" s="12">
        <f t="shared" si="519"/>
        <v>0</v>
      </c>
      <c r="ES212" s="12">
        <f t="shared" si="519"/>
        <v>0</v>
      </c>
      <c r="ET212" s="12">
        <f t="shared" si="519"/>
        <v>0</v>
      </c>
      <c r="EU212" s="12">
        <f t="shared" si="519"/>
        <v>0</v>
      </c>
      <c r="EV212" s="12">
        <f t="shared" si="519"/>
        <v>0</v>
      </c>
      <c r="EW212" s="12">
        <f t="shared" si="519"/>
        <v>0</v>
      </c>
      <c r="EX212" s="12">
        <f t="shared" si="519"/>
        <v>0</v>
      </c>
      <c r="EY212" s="12">
        <f t="shared" si="519"/>
        <v>0</v>
      </c>
      <c r="EZ212" s="12">
        <f t="shared" si="519"/>
        <v>0</v>
      </c>
      <c r="FA212" s="12">
        <f t="shared" si="519"/>
        <v>0</v>
      </c>
      <c r="FB212" s="12">
        <f t="shared" si="519"/>
        <v>0</v>
      </c>
      <c r="FC212" s="12">
        <f t="shared" si="519"/>
        <v>0</v>
      </c>
      <c r="FD212" s="12">
        <f t="shared" si="519"/>
        <v>0</v>
      </c>
      <c r="FE212" s="12">
        <f t="shared" si="519"/>
        <v>0</v>
      </c>
      <c r="FF212" s="12">
        <f t="shared" si="519"/>
        <v>0</v>
      </c>
      <c r="FG212" s="12">
        <f t="shared" si="519"/>
        <v>0</v>
      </c>
      <c r="FH212" s="12">
        <f t="shared" si="519"/>
        <v>0</v>
      </c>
    </row>
    <row r="213" spans="1:164" x14ac:dyDescent="0.2">
      <c r="A213" s="10"/>
      <c r="B213" s="10"/>
      <c r="C213" s="10" t="s">
        <v>924</v>
      </c>
      <c r="D213" s="10"/>
      <c r="E213" s="10"/>
      <c r="F213" s="10"/>
      <c r="G213" s="10"/>
      <c r="H213" s="12">
        <f>SUM(I213:FH213)</f>
        <v>-528242.321</v>
      </c>
      <c r="I213" s="12">
        <f t="shared" ref="I213:AN213" si="520">I123+I159+I195</f>
        <v>0</v>
      </c>
      <c r="J213" s="12">
        <f t="shared" si="520"/>
        <v>0</v>
      </c>
      <c r="K213" s="12">
        <f t="shared" si="520"/>
        <v>0</v>
      </c>
      <c r="L213" s="12">
        <f t="shared" si="520"/>
        <v>0</v>
      </c>
      <c r="M213" s="12">
        <f t="shared" si="520"/>
        <v>0</v>
      </c>
      <c r="N213" s="12">
        <f t="shared" si="520"/>
        <v>0</v>
      </c>
      <c r="O213" s="12">
        <f t="shared" si="520"/>
        <v>-349.16</v>
      </c>
      <c r="P213" s="12">
        <f t="shared" si="520"/>
        <v>-349.16</v>
      </c>
      <c r="Q213" s="12">
        <f t="shared" si="520"/>
        <v>-349.16</v>
      </c>
      <c r="R213" s="12">
        <f t="shared" si="520"/>
        <v>-656.84888888888895</v>
      </c>
      <c r="S213" s="12">
        <f t="shared" si="520"/>
        <v>-656.84888888888895</v>
      </c>
      <c r="T213" s="12">
        <f t="shared" si="520"/>
        <v>-656.84888888888895</v>
      </c>
      <c r="U213" s="12">
        <f t="shared" si="520"/>
        <v>-656.84888888888895</v>
      </c>
      <c r="V213" s="12">
        <f t="shared" si="520"/>
        <v>-656.84888888888895</v>
      </c>
      <c r="W213" s="12">
        <f t="shared" si="520"/>
        <v>-656.84888888888895</v>
      </c>
      <c r="X213" s="12">
        <f t="shared" si="520"/>
        <v>-656.84888888888895</v>
      </c>
      <c r="Y213" s="12">
        <f t="shared" si="520"/>
        <v>-656.84888888888895</v>
      </c>
      <c r="Z213" s="12">
        <f t="shared" si="520"/>
        <v>-656.84888888888895</v>
      </c>
      <c r="AA213" s="12">
        <f t="shared" si="520"/>
        <v>-629.7014973580234</v>
      </c>
      <c r="AB213" s="12">
        <f t="shared" si="520"/>
        <v>-1193.9801504013767</v>
      </c>
      <c r="AC213" s="12">
        <f t="shared" si="520"/>
        <v>-1751.8088493904995</v>
      </c>
      <c r="AD213" s="12">
        <f t="shared" si="520"/>
        <v>-2298.9421810999065</v>
      </c>
      <c r="AE213" s="12">
        <f t="shared" si="520"/>
        <v>-2831.2161305071509</v>
      </c>
      <c r="AF213" s="12">
        <f t="shared" si="520"/>
        <v>-3344.5797714614455</v>
      </c>
      <c r="AG213" s="12">
        <f t="shared" si="520"/>
        <v>-3835.1260966776881</v>
      </c>
      <c r="AH213" s="12">
        <f t="shared" si="520"/>
        <v>-4299.1217524210106</v>
      </c>
      <c r="AI213" s="12">
        <f t="shared" si="520"/>
        <v>-4733.0354515829731</v>
      </c>
      <c r="AJ213" s="12">
        <f t="shared" si="520"/>
        <v>-4825.8759600198055</v>
      </c>
      <c r="AK213" s="12">
        <f t="shared" si="520"/>
        <v>-5189.9727849493765</v>
      </c>
      <c r="AL213" s="12">
        <f t="shared" si="520"/>
        <v>-5514.8660407974085</v>
      </c>
      <c r="AM213" s="12">
        <f t="shared" si="520"/>
        <v>-6182.1590937109877</v>
      </c>
      <c r="AN213" s="12">
        <f t="shared" si="520"/>
        <v>-6421.544490906309</v>
      </c>
      <c r="AO213" s="12">
        <f t="shared" ref="AO213:BT213" si="521">AO123+AO159+AO195</f>
        <v>-6615.2763649658609</v>
      </c>
      <c r="AP213" s="12">
        <f t="shared" si="521"/>
        <v>-7115.7225215717681</v>
      </c>
      <c r="AQ213" s="12">
        <f t="shared" si="521"/>
        <v>-7214.0827718170513</v>
      </c>
      <c r="AR213" s="12">
        <f t="shared" si="521"/>
        <v>-7263.4507570280239</v>
      </c>
      <c r="AS213" s="12">
        <f t="shared" si="521"/>
        <v>-7263.4507570280239</v>
      </c>
      <c r="AT213" s="12">
        <f t="shared" si="521"/>
        <v>-7214.0827718170513</v>
      </c>
      <c r="AU213" s="12">
        <f t="shared" si="521"/>
        <v>-7115.7225215717681</v>
      </c>
      <c r="AV213" s="12">
        <f t="shared" si="521"/>
        <v>-6969.1185871880825</v>
      </c>
      <c r="AW213" s="12">
        <f t="shared" si="521"/>
        <v>-6775.3867131285315</v>
      </c>
      <c r="AX213" s="12">
        <f t="shared" si="521"/>
        <v>-6536.0013159332102</v>
      </c>
      <c r="AY213" s="12">
        <f t="shared" si="521"/>
        <v>-6222.9221323356796</v>
      </c>
      <c r="AZ213" s="12">
        <f t="shared" si="521"/>
        <v>-6518.7353948353357</v>
      </c>
      <c r="BA213" s="12">
        <f t="shared" si="521"/>
        <v>-6768.2501387937991</v>
      </c>
      <c r="BB213" s="12">
        <f t="shared" si="521"/>
        <v>-6969.5674063484257</v>
      </c>
      <c r="BC213" s="12">
        <f t="shared" si="521"/>
        <v>-7121.1550515344343</v>
      </c>
      <c r="BD213" s="12">
        <f t="shared" si="521"/>
        <v>-7221.8594008408345</v>
      </c>
      <c r="BE213" s="12">
        <f t="shared" si="521"/>
        <v>-7270.9140333624582</v>
      </c>
      <c r="BF213" s="12">
        <f t="shared" si="521"/>
        <v>-7267.9456137258176</v>
      </c>
      <c r="BG213" s="12">
        <f t="shared" si="521"/>
        <v>-7212.9767333967338</v>
      </c>
      <c r="BH213" s="12">
        <f t="shared" si="521"/>
        <v>-6752.5835165233984</v>
      </c>
      <c r="BI213" s="12">
        <f t="shared" si="521"/>
        <v>-6595.2613249568021</v>
      </c>
      <c r="BJ213" s="12">
        <f t="shared" si="521"/>
        <v>-6388.3652533462837</v>
      </c>
      <c r="BK213" s="12">
        <f t="shared" si="521"/>
        <v>-6795.462403082086</v>
      </c>
      <c r="BL213" s="12">
        <f t="shared" si="521"/>
        <v>-7058.7863399969392</v>
      </c>
      <c r="BM213" s="12">
        <f t="shared" si="521"/>
        <v>-7271.8914014624461</v>
      </c>
      <c r="BN213" s="12">
        <f t="shared" si="521"/>
        <v>-7835.3426737289437</v>
      </c>
      <c r="BO213" s="12">
        <f t="shared" si="521"/>
        <v>-7943.5389489987565</v>
      </c>
      <c r="BP213" s="12">
        <f t="shared" si="521"/>
        <v>-7997.8437327308247</v>
      </c>
      <c r="BQ213" s="12">
        <f t="shared" si="521"/>
        <v>-7997.8437327308247</v>
      </c>
      <c r="BR213" s="12">
        <f t="shared" si="521"/>
        <v>-7943.5389489987565</v>
      </c>
      <c r="BS213" s="12">
        <f t="shared" si="521"/>
        <v>-7835.3426737289446</v>
      </c>
      <c r="BT213" s="12">
        <f t="shared" si="521"/>
        <v>-7674.0783459068907</v>
      </c>
      <c r="BU213" s="12">
        <f t="shared" ref="BU213:CZ213" si="522">BU123+BU159+BU195</f>
        <v>-7460.9732844413838</v>
      </c>
      <c r="BV213" s="12">
        <f t="shared" si="522"/>
        <v>-7197.6493475265306</v>
      </c>
      <c r="BW213" s="12">
        <f t="shared" si="522"/>
        <v>-6853.7780523369775</v>
      </c>
      <c r="BX213" s="12">
        <f t="shared" si="522"/>
        <v>-7171.5000515564907</v>
      </c>
      <c r="BY213" s="12">
        <f t="shared" si="522"/>
        <v>-7438.381381465395</v>
      </c>
      <c r="BZ213" s="12">
        <f t="shared" si="522"/>
        <v>-7652.3909139957304</v>
      </c>
      <c r="CA213" s="12">
        <f t="shared" si="522"/>
        <v>-7811.8999073824516</v>
      </c>
      <c r="CB213" s="12">
        <f t="shared" si="522"/>
        <v>-7915.6944018717231</v>
      </c>
      <c r="CC213" s="12">
        <f t="shared" si="522"/>
        <v>-7962.9844586876497</v>
      </c>
      <c r="CD213" s="12">
        <f t="shared" si="522"/>
        <v>-7953.4101719433474</v>
      </c>
      <c r="CE213" s="12">
        <f t="shared" si="522"/>
        <v>-7887.0444077420552</v>
      </c>
      <c r="CF213" s="12">
        <f t="shared" si="522"/>
        <v>-7362.2053051776402</v>
      </c>
      <c r="CG213" s="12">
        <f t="shared" si="522"/>
        <v>-7184.2002101216822</v>
      </c>
      <c r="CH213" s="12">
        <f t="shared" si="522"/>
        <v>-6952.1969043855297</v>
      </c>
      <c r="CI213" s="12">
        <f t="shared" si="522"/>
        <v>-6936.8247203070869</v>
      </c>
      <c r="CJ213" s="12">
        <f t="shared" si="522"/>
        <v>-7223.2260883478993</v>
      </c>
      <c r="CK213" s="12">
        <f t="shared" si="522"/>
        <v>-7455.0074518472538</v>
      </c>
      <c r="CL213" s="12">
        <f t="shared" si="522"/>
        <v>-7630.4048146755049</v>
      </c>
      <c r="CM213" s="12">
        <f t="shared" si="522"/>
        <v>-7748.0832969937092</v>
      </c>
      <c r="CN213" s="12">
        <f t="shared" si="522"/>
        <v>-7807.1472944952129</v>
      </c>
      <c r="CO213" s="12">
        <f t="shared" si="522"/>
        <v>-7807.1472944952129</v>
      </c>
      <c r="CP213" s="12">
        <f t="shared" si="522"/>
        <v>-7748.0832969937092</v>
      </c>
      <c r="CQ213" s="12">
        <f t="shared" si="522"/>
        <v>-7630.4048146755067</v>
      </c>
      <c r="CR213" s="12">
        <f t="shared" si="522"/>
        <v>-7455.0074518472538</v>
      </c>
      <c r="CS213" s="12">
        <f t="shared" si="522"/>
        <v>-7223.2260883478993</v>
      </c>
      <c r="CT213" s="12">
        <f t="shared" si="522"/>
        <v>-6936.8247203070869</v>
      </c>
      <c r="CU213" s="12">
        <f t="shared" si="522"/>
        <v>-6597.983035069482</v>
      </c>
      <c r="CV213" s="12">
        <f t="shared" si="522"/>
        <v>-6209.2798224579456</v>
      </c>
      <c r="CW213" s="12">
        <f t="shared" si="522"/>
        <v>-5773.6733486258663</v>
      </c>
      <c r="CX213" s="12">
        <f t="shared" si="522"/>
        <v>-5294.4788418654907</v>
      </c>
      <c r="CY213" s="12">
        <f t="shared" si="522"/>
        <v>-4775.3432617188173</v>
      </c>
      <c r="CZ213" s="12">
        <f t="shared" si="522"/>
        <v>-4220.2175434133942</v>
      </c>
      <c r="DA213" s="12">
        <f t="shared" ref="DA213:EF213" si="523">DA123+DA159+DA195</f>
        <v>-3633.3265288595981</v>
      </c>
      <c r="DB213" s="12">
        <f t="shared" si="523"/>
        <v>-3019.1368130526726</v>
      </c>
      <c r="DC213" s="12">
        <f t="shared" si="523"/>
        <v>-2382.3227505877949</v>
      </c>
      <c r="DD213" s="12">
        <f t="shared" si="523"/>
        <v>-1727.7308809991666</v>
      </c>
      <c r="DE213" s="12">
        <f t="shared" si="523"/>
        <v>-1060.343043667732</v>
      </c>
      <c r="DF213" s="12">
        <f t="shared" si="523"/>
        <v>-385.23846301538373</v>
      </c>
      <c r="DG213" s="12">
        <f t="shared" si="523"/>
        <v>0</v>
      </c>
      <c r="DH213" s="12">
        <f t="shared" si="523"/>
        <v>0</v>
      </c>
      <c r="DI213" s="12">
        <f t="shared" si="523"/>
        <v>0</v>
      </c>
      <c r="DJ213" s="12">
        <f t="shared" si="523"/>
        <v>0</v>
      </c>
      <c r="DK213" s="12">
        <f t="shared" si="523"/>
        <v>0</v>
      </c>
      <c r="DL213" s="12">
        <f t="shared" si="523"/>
        <v>0</v>
      </c>
      <c r="DM213" s="12">
        <f t="shared" si="523"/>
        <v>0</v>
      </c>
      <c r="DN213" s="12">
        <f t="shared" si="523"/>
        <v>0</v>
      </c>
      <c r="DO213" s="12">
        <f t="shared" si="523"/>
        <v>0</v>
      </c>
      <c r="DP213" s="12">
        <f t="shared" si="523"/>
        <v>0</v>
      </c>
      <c r="DQ213" s="12">
        <f t="shared" si="523"/>
        <v>0</v>
      </c>
      <c r="DR213" s="12">
        <f t="shared" si="523"/>
        <v>0</v>
      </c>
      <c r="DS213" s="12">
        <f t="shared" si="523"/>
        <v>0</v>
      </c>
      <c r="DT213" s="12">
        <f t="shared" si="523"/>
        <v>0</v>
      </c>
      <c r="DU213" s="12">
        <f t="shared" si="523"/>
        <v>0</v>
      </c>
      <c r="DV213" s="12">
        <f t="shared" si="523"/>
        <v>0</v>
      </c>
      <c r="DW213" s="12">
        <f t="shared" si="523"/>
        <v>0</v>
      </c>
      <c r="DX213" s="12">
        <f t="shared" si="523"/>
        <v>0</v>
      </c>
      <c r="DY213" s="12">
        <f t="shared" si="523"/>
        <v>0</v>
      </c>
      <c r="DZ213" s="12">
        <f t="shared" si="523"/>
        <v>0</v>
      </c>
      <c r="EA213" s="12">
        <f t="shared" si="523"/>
        <v>0</v>
      </c>
      <c r="EB213" s="12">
        <f t="shared" si="523"/>
        <v>0</v>
      </c>
      <c r="EC213" s="12">
        <f t="shared" si="523"/>
        <v>0</v>
      </c>
      <c r="ED213" s="12">
        <f t="shared" si="523"/>
        <v>0</v>
      </c>
      <c r="EE213" s="12">
        <f t="shared" si="523"/>
        <v>0</v>
      </c>
      <c r="EF213" s="12">
        <f t="shared" si="523"/>
        <v>0</v>
      </c>
      <c r="EG213" s="12">
        <f t="shared" ref="EG213:FH213" si="524">EG123+EG159+EG195</f>
        <v>0</v>
      </c>
      <c r="EH213" s="12">
        <f t="shared" si="524"/>
        <v>0</v>
      </c>
      <c r="EI213" s="12">
        <f t="shared" si="524"/>
        <v>0</v>
      </c>
      <c r="EJ213" s="12">
        <f t="shared" si="524"/>
        <v>0</v>
      </c>
      <c r="EK213" s="12">
        <f t="shared" si="524"/>
        <v>0</v>
      </c>
      <c r="EL213" s="12">
        <f t="shared" si="524"/>
        <v>0</v>
      </c>
      <c r="EM213" s="12">
        <f t="shared" si="524"/>
        <v>0</v>
      </c>
      <c r="EN213" s="12">
        <f t="shared" si="524"/>
        <v>0</v>
      </c>
      <c r="EO213" s="12">
        <f t="shared" si="524"/>
        <v>0</v>
      </c>
      <c r="EP213" s="12">
        <f t="shared" si="524"/>
        <v>0</v>
      </c>
      <c r="EQ213" s="12">
        <f t="shared" si="524"/>
        <v>0</v>
      </c>
      <c r="ER213" s="12">
        <f t="shared" si="524"/>
        <v>0</v>
      </c>
      <c r="ES213" s="12">
        <f t="shared" si="524"/>
        <v>0</v>
      </c>
      <c r="ET213" s="12">
        <f t="shared" si="524"/>
        <v>0</v>
      </c>
      <c r="EU213" s="12">
        <f t="shared" si="524"/>
        <v>0</v>
      </c>
      <c r="EV213" s="12">
        <f t="shared" si="524"/>
        <v>0</v>
      </c>
      <c r="EW213" s="12">
        <f t="shared" si="524"/>
        <v>0</v>
      </c>
      <c r="EX213" s="12">
        <f t="shared" si="524"/>
        <v>0</v>
      </c>
      <c r="EY213" s="12">
        <f t="shared" si="524"/>
        <v>0</v>
      </c>
      <c r="EZ213" s="12">
        <f t="shared" si="524"/>
        <v>0</v>
      </c>
      <c r="FA213" s="12">
        <f t="shared" si="524"/>
        <v>0</v>
      </c>
      <c r="FB213" s="12">
        <f t="shared" si="524"/>
        <v>0</v>
      </c>
      <c r="FC213" s="12">
        <f t="shared" si="524"/>
        <v>0</v>
      </c>
      <c r="FD213" s="12">
        <f t="shared" si="524"/>
        <v>0</v>
      </c>
      <c r="FE213" s="12">
        <f t="shared" si="524"/>
        <v>0</v>
      </c>
      <c r="FF213" s="12">
        <f t="shared" si="524"/>
        <v>0</v>
      </c>
      <c r="FG213" s="12">
        <f t="shared" si="524"/>
        <v>0</v>
      </c>
      <c r="FH213" s="12">
        <f t="shared" si="524"/>
        <v>0</v>
      </c>
    </row>
    <row r="214" spans="1:164" x14ac:dyDescent="0.2">
      <c r="A214" s="10"/>
      <c r="B214" s="31" t="s">
        <v>915</v>
      </c>
      <c r="C214" s="31"/>
      <c r="D214" s="31"/>
      <c r="E214" s="31"/>
      <c r="F214" s="31"/>
      <c r="G214" s="31"/>
      <c r="H214" s="32">
        <f>SUM(I214:FH214)</f>
        <v>306563.60900000005</v>
      </c>
      <c r="I214" s="32">
        <f t="shared" ref="I214:AN214" si="525">I124+I160+I196</f>
        <v>0</v>
      </c>
      <c r="J214" s="32">
        <f t="shared" si="525"/>
        <v>0</v>
      </c>
      <c r="K214" s="32">
        <f t="shared" si="525"/>
        <v>0</v>
      </c>
      <c r="L214" s="32">
        <f t="shared" si="525"/>
        <v>0</v>
      </c>
      <c r="M214" s="32">
        <f t="shared" si="525"/>
        <v>0</v>
      </c>
      <c r="N214" s="32">
        <f t="shared" si="525"/>
        <v>0</v>
      </c>
      <c r="O214" s="32">
        <f t="shared" si="525"/>
        <v>-349.16</v>
      </c>
      <c r="P214" s="32">
        <f t="shared" si="525"/>
        <v>-349.16</v>
      </c>
      <c r="Q214" s="32">
        <f t="shared" si="525"/>
        <v>-349.16</v>
      </c>
      <c r="R214" s="32">
        <f t="shared" si="525"/>
        <v>-656.84888888888895</v>
      </c>
      <c r="S214" s="32">
        <f t="shared" si="525"/>
        <v>-656.84888888888895</v>
      </c>
      <c r="T214" s="32">
        <f t="shared" si="525"/>
        <v>-656.84888888888895</v>
      </c>
      <c r="U214" s="32">
        <f t="shared" si="525"/>
        <v>43.363111111111039</v>
      </c>
      <c r="V214" s="32">
        <f t="shared" si="525"/>
        <v>136.57033062330606</v>
      </c>
      <c r="W214" s="32">
        <f t="shared" si="525"/>
        <v>232.10773062330622</v>
      </c>
      <c r="X214" s="32">
        <f t="shared" si="525"/>
        <v>330.09480754638298</v>
      </c>
      <c r="Y214" s="32">
        <f t="shared" si="525"/>
        <v>430.66049175690932</v>
      </c>
      <c r="Z214" s="32">
        <f t="shared" si="525"/>
        <v>533.94416743258512</v>
      </c>
      <c r="AA214" s="32">
        <f t="shared" si="525"/>
        <v>190.32644785233936</v>
      </c>
      <c r="AB214" s="32">
        <f t="shared" si="525"/>
        <v>-337.5570051910139</v>
      </c>
      <c r="AC214" s="32">
        <f t="shared" si="525"/>
        <v>-857.92005712131299</v>
      </c>
      <c r="AD214" s="32">
        <f t="shared" si="525"/>
        <v>-1366.4524191337503</v>
      </c>
      <c r="AE214" s="32">
        <f t="shared" si="525"/>
        <v>-1858.919118540995</v>
      </c>
      <c r="AF214" s="32">
        <f t="shared" si="525"/>
        <v>-2331.1914046565798</v>
      </c>
      <c r="AG214" s="32">
        <f t="shared" si="525"/>
        <v>-2779.2766632061557</v>
      </c>
      <c r="AH214" s="32">
        <f t="shared" si="525"/>
        <v>-3199.347077570168</v>
      </c>
      <c r="AI214" s="32">
        <f t="shared" si="525"/>
        <v>-3587.7667767321304</v>
      </c>
      <c r="AJ214" s="32">
        <f t="shared" si="525"/>
        <v>-3633.4283222059994</v>
      </c>
      <c r="AK214" s="32">
        <f t="shared" si="525"/>
        <v>-3948.5316086740322</v>
      </c>
      <c r="AL214" s="32">
        <f t="shared" si="525"/>
        <v>-4222.4715845220644</v>
      </c>
      <c r="AM214" s="32">
        <f t="shared" si="525"/>
        <v>-4836.6883041023102</v>
      </c>
      <c r="AN214" s="32">
        <f t="shared" si="525"/>
        <v>-5020.6897012976315</v>
      </c>
      <c r="AO214" s="32">
        <f t="shared" ref="AO214:BT214" si="526">AO124+AO160+AO196</f>
        <v>-5156.5201208117287</v>
      </c>
      <c r="AP214" s="32">
        <f t="shared" si="526"/>
        <v>-5596.3076107509696</v>
      </c>
      <c r="AQ214" s="32">
        <f t="shared" si="526"/>
        <v>-5630.9762609962527</v>
      </c>
      <c r="AR214" s="32">
        <f t="shared" si="526"/>
        <v>-5613.3004567335411</v>
      </c>
      <c r="AS214" s="32">
        <f t="shared" si="526"/>
        <v>-4737.288212289096</v>
      </c>
      <c r="AT214" s="32">
        <f t="shared" si="526"/>
        <v>-4505.8006305214531</v>
      </c>
      <c r="AU214" s="32">
        <f t="shared" si="526"/>
        <v>-4217.9578702761692</v>
      </c>
      <c r="AV214" s="32">
        <f t="shared" si="526"/>
        <v>-3873.7466640976127</v>
      </c>
      <c r="AW214" s="32">
        <f t="shared" si="526"/>
        <v>-3473.3762531959551</v>
      </c>
      <c r="AX214" s="32">
        <f t="shared" si="526"/>
        <v>-3017.2275520505295</v>
      </c>
      <c r="AY214" s="32">
        <f t="shared" si="526"/>
        <v>-3024.3755795641109</v>
      </c>
      <c r="AZ214" s="32">
        <f t="shared" si="526"/>
        <v>-3162.5314529728566</v>
      </c>
      <c r="BA214" s="32">
        <f t="shared" si="526"/>
        <v>-3241.5775028136741</v>
      </c>
      <c r="BB214" s="32">
        <f t="shared" si="526"/>
        <v>-3256.9667663278974</v>
      </c>
      <c r="BC214" s="32">
        <f t="shared" si="526"/>
        <v>-3203.5470740139058</v>
      </c>
      <c r="BD214" s="32">
        <f t="shared" si="526"/>
        <v>-3075.0203652557902</v>
      </c>
      <c r="BE214" s="32">
        <f t="shared" si="526"/>
        <v>-2862.9394377774133</v>
      </c>
      <c r="BF214" s="32">
        <f t="shared" si="526"/>
        <v>-2554.6905905545659</v>
      </c>
      <c r="BG214" s="32">
        <f t="shared" si="526"/>
        <v>-2128.9456102254812</v>
      </c>
      <c r="BH214" s="32">
        <f t="shared" si="526"/>
        <v>-1189.6859192780721</v>
      </c>
      <c r="BI214" s="32">
        <f t="shared" si="526"/>
        <v>-339.10515848070645</v>
      </c>
      <c r="BJ214" s="32">
        <f t="shared" si="526"/>
        <v>1200.2191851298121</v>
      </c>
      <c r="BK214" s="32">
        <f t="shared" si="526"/>
        <v>17680.805004967911</v>
      </c>
      <c r="BL214" s="32">
        <f t="shared" si="526"/>
        <v>-4497.044665280293</v>
      </c>
      <c r="BM214" s="32">
        <f t="shared" si="526"/>
        <v>-4643.5630540185284</v>
      </c>
      <c r="BN214" s="32">
        <f t="shared" si="526"/>
        <v>-5137.2568596183582</v>
      </c>
      <c r="BO214" s="32">
        <f t="shared" si="526"/>
        <v>-5172.2077948881715</v>
      </c>
      <c r="BP214" s="32">
        <f t="shared" si="526"/>
        <v>-5149.4122207255032</v>
      </c>
      <c r="BQ214" s="32">
        <f t="shared" si="526"/>
        <v>-4152.7659346143919</v>
      </c>
      <c r="BR214" s="32">
        <f t="shared" si="526"/>
        <v>-3890.4569467933716</v>
      </c>
      <c r="BS214" s="32">
        <f t="shared" si="526"/>
        <v>-3565.8249502735589</v>
      </c>
      <c r="BT214" s="32">
        <f t="shared" si="526"/>
        <v>-3178.8190960412494</v>
      </c>
      <c r="BU214" s="32">
        <f t="shared" ref="BU214:CZ214" si="527">BU124+BU160+BU196</f>
        <v>-2729.6262069441627</v>
      </c>
      <c r="BV214" s="32">
        <f t="shared" si="527"/>
        <v>-2218.612757243447</v>
      </c>
      <c r="BW214" s="32">
        <f t="shared" si="527"/>
        <v>-2237.3011634427826</v>
      </c>
      <c r="BX214" s="32">
        <f t="shared" si="527"/>
        <v>124058.16448612571</v>
      </c>
      <c r="BY214" s="32">
        <f t="shared" si="527"/>
        <v>-3396.4539887833212</v>
      </c>
      <c r="BZ214" s="32">
        <f t="shared" si="527"/>
        <v>-3397.2399187884043</v>
      </c>
      <c r="CA214" s="32">
        <f t="shared" si="527"/>
        <v>-3321.6026262376258</v>
      </c>
      <c r="CB214" s="32">
        <f t="shared" si="527"/>
        <v>-3162.4133029849613</v>
      </c>
      <c r="CC214" s="32">
        <f t="shared" si="527"/>
        <v>-2910.0504281342214</v>
      </c>
      <c r="CD214" s="32">
        <f t="shared" si="527"/>
        <v>-2550.0791279416435</v>
      </c>
      <c r="CE214" s="32">
        <f t="shared" si="527"/>
        <v>-2058.0204512403507</v>
      </c>
      <c r="CF214" s="32">
        <f t="shared" si="527"/>
        <v>-983.21041719445384</v>
      </c>
      <c r="CG214" s="32">
        <f t="shared" si="527"/>
        <v>-8.7113856000341912</v>
      </c>
      <c r="CH214" s="32">
        <f t="shared" si="527"/>
        <v>1754.8008781361177</v>
      </c>
      <c r="CI214" s="32">
        <f t="shared" si="527"/>
        <v>21190.192274307865</v>
      </c>
      <c r="CJ214" s="32">
        <f t="shared" si="527"/>
        <v>-4298.7653770662855</v>
      </c>
      <c r="CK214" s="32">
        <f t="shared" si="527"/>
        <v>-4454.8624701110948</v>
      </c>
      <c r="CL214" s="32">
        <f t="shared" si="527"/>
        <v>-4550.9715496060126</v>
      </c>
      <c r="CM214" s="32">
        <f t="shared" si="527"/>
        <v>-4585.3973344242168</v>
      </c>
      <c r="CN214" s="32">
        <f t="shared" si="527"/>
        <v>-4556.8269135046685</v>
      </c>
      <c r="CO214" s="32">
        <f t="shared" si="527"/>
        <v>-4464.3239162824466</v>
      </c>
      <c r="CP214" s="32">
        <f t="shared" si="527"/>
        <v>-4307.3155687809431</v>
      </c>
      <c r="CQ214" s="32">
        <f t="shared" si="527"/>
        <v>-4085.571214587741</v>
      </c>
      <c r="CR214" s="32">
        <f t="shared" si="527"/>
        <v>-3799.1702550928208</v>
      </c>
      <c r="CS214" s="32">
        <f t="shared" si="527"/>
        <v>-3448.4564665934663</v>
      </c>
      <c r="CT214" s="32">
        <f t="shared" si="527"/>
        <v>-3033.9740254757312</v>
      </c>
      <c r="CU214" s="32">
        <f t="shared" si="527"/>
        <v>-2556.377844404793</v>
      </c>
      <c r="CV214" s="32">
        <f t="shared" si="527"/>
        <v>143381.00144244911</v>
      </c>
      <c r="CW214" s="32">
        <f t="shared" si="527"/>
        <v>-2507.5666887187526</v>
      </c>
      <c r="CX214" s="32">
        <f t="shared" si="527"/>
        <v>-1843.3661875139328</v>
      </c>
      <c r="CY214" s="32">
        <f t="shared" si="527"/>
        <v>-1116.0988636172588</v>
      </c>
      <c r="CZ214" s="32">
        <f t="shared" si="527"/>
        <v>-323.10829531183572</v>
      </c>
      <c r="DA214" s="32">
        <f t="shared" ref="DA214:EF214" si="528">DA124+DA160+DA196</f>
        <v>541.29171090862701</v>
      </c>
      <c r="DB214" s="32">
        <f t="shared" si="528"/>
        <v>1488.4922167155528</v>
      </c>
      <c r="DC214" s="32">
        <f t="shared" si="528"/>
        <v>2541.5697666804299</v>
      </c>
      <c r="DD214" s="32">
        <f t="shared" si="528"/>
        <v>3751.1796196023915</v>
      </c>
      <c r="DE214" s="32">
        <f t="shared" si="528"/>
        <v>5251.0944319338259</v>
      </c>
      <c r="DF214" s="32">
        <f t="shared" si="528"/>
        <v>7591.2529625861744</v>
      </c>
      <c r="DG214" s="32">
        <f t="shared" si="528"/>
        <v>29970.971099999973</v>
      </c>
      <c r="DH214" s="32">
        <f t="shared" si="528"/>
        <v>1242.7576583333332</v>
      </c>
      <c r="DI214" s="32">
        <f t="shared" si="528"/>
        <v>1242.7576583333332</v>
      </c>
      <c r="DJ214" s="32">
        <f t="shared" si="528"/>
        <v>1242.7576583333332</v>
      </c>
      <c r="DK214" s="32">
        <f t="shared" si="528"/>
        <v>1242.7576583333332</v>
      </c>
      <c r="DL214" s="32">
        <f t="shared" si="528"/>
        <v>1242.7576583333332</v>
      </c>
      <c r="DM214" s="32">
        <f t="shared" si="528"/>
        <v>1242.7576583333332</v>
      </c>
      <c r="DN214" s="32">
        <f t="shared" si="528"/>
        <v>1242.7576583333332</v>
      </c>
      <c r="DO214" s="32">
        <f t="shared" si="528"/>
        <v>1242.7576583333332</v>
      </c>
      <c r="DP214" s="32">
        <f t="shared" si="528"/>
        <v>1242.7576583333332</v>
      </c>
      <c r="DQ214" s="32">
        <f t="shared" si="528"/>
        <v>1242.7576583333332</v>
      </c>
      <c r="DR214" s="32">
        <f t="shared" si="528"/>
        <v>1242.7576583333332</v>
      </c>
      <c r="DS214" s="32">
        <f t="shared" si="528"/>
        <v>1242.7576583333332</v>
      </c>
      <c r="DT214" s="32">
        <f t="shared" si="528"/>
        <v>166505.39499999996</v>
      </c>
      <c r="DU214" s="32">
        <f t="shared" si="528"/>
        <v>0</v>
      </c>
      <c r="DV214" s="32">
        <f t="shared" si="528"/>
        <v>0</v>
      </c>
      <c r="DW214" s="32">
        <f t="shared" si="528"/>
        <v>0</v>
      </c>
      <c r="DX214" s="32">
        <f t="shared" si="528"/>
        <v>0</v>
      </c>
      <c r="DY214" s="32">
        <f t="shared" si="528"/>
        <v>0</v>
      </c>
      <c r="DZ214" s="32">
        <f t="shared" si="528"/>
        <v>0</v>
      </c>
      <c r="EA214" s="32">
        <f t="shared" si="528"/>
        <v>0</v>
      </c>
      <c r="EB214" s="32">
        <f t="shared" si="528"/>
        <v>0</v>
      </c>
      <c r="EC214" s="32">
        <f t="shared" si="528"/>
        <v>0</v>
      </c>
      <c r="ED214" s="32">
        <f t="shared" si="528"/>
        <v>0</v>
      </c>
      <c r="EE214" s="32">
        <f t="shared" si="528"/>
        <v>0</v>
      </c>
      <c r="EF214" s="32">
        <f t="shared" si="528"/>
        <v>0</v>
      </c>
      <c r="EG214" s="32">
        <f t="shared" ref="EG214:FH214" si="529">EG124+EG160+EG196</f>
        <v>0</v>
      </c>
      <c r="EH214" s="32">
        <f t="shared" si="529"/>
        <v>0</v>
      </c>
      <c r="EI214" s="32">
        <f t="shared" si="529"/>
        <v>0</v>
      </c>
      <c r="EJ214" s="32">
        <f t="shared" si="529"/>
        <v>0</v>
      </c>
      <c r="EK214" s="32">
        <f t="shared" si="529"/>
        <v>0</v>
      </c>
      <c r="EL214" s="32">
        <f t="shared" si="529"/>
        <v>0</v>
      </c>
      <c r="EM214" s="32">
        <f t="shared" si="529"/>
        <v>0</v>
      </c>
      <c r="EN214" s="32">
        <f t="shared" si="529"/>
        <v>0</v>
      </c>
      <c r="EO214" s="32">
        <f t="shared" si="529"/>
        <v>0</v>
      </c>
      <c r="EP214" s="32">
        <f t="shared" si="529"/>
        <v>0</v>
      </c>
      <c r="EQ214" s="32">
        <f t="shared" si="529"/>
        <v>0</v>
      </c>
      <c r="ER214" s="32">
        <f t="shared" si="529"/>
        <v>0</v>
      </c>
      <c r="ES214" s="32">
        <f t="shared" si="529"/>
        <v>0</v>
      </c>
      <c r="ET214" s="32">
        <f t="shared" si="529"/>
        <v>0</v>
      </c>
      <c r="EU214" s="32">
        <f t="shared" si="529"/>
        <v>0</v>
      </c>
      <c r="EV214" s="32">
        <f t="shared" si="529"/>
        <v>0</v>
      </c>
      <c r="EW214" s="32">
        <f t="shared" si="529"/>
        <v>0</v>
      </c>
      <c r="EX214" s="32">
        <f t="shared" si="529"/>
        <v>0</v>
      </c>
      <c r="EY214" s="32">
        <f t="shared" si="529"/>
        <v>0</v>
      </c>
      <c r="EZ214" s="32">
        <f t="shared" si="529"/>
        <v>0</v>
      </c>
      <c r="FA214" s="32">
        <f t="shared" si="529"/>
        <v>0</v>
      </c>
      <c r="FB214" s="32">
        <f t="shared" si="529"/>
        <v>0</v>
      </c>
      <c r="FC214" s="32">
        <f t="shared" si="529"/>
        <v>0</v>
      </c>
      <c r="FD214" s="32">
        <f t="shared" si="529"/>
        <v>0</v>
      </c>
      <c r="FE214" s="32">
        <f t="shared" si="529"/>
        <v>0</v>
      </c>
      <c r="FF214" s="32">
        <f t="shared" si="529"/>
        <v>0</v>
      </c>
      <c r="FG214" s="32">
        <f t="shared" si="529"/>
        <v>0</v>
      </c>
      <c r="FH214" s="32">
        <f t="shared" si="529"/>
        <v>0</v>
      </c>
    </row>
    <row r="215" spans="1:164" x14ac:dyDescent="0.2">
      <c r="A215" s="10"/>
      <c r="B215" s="10"/>
      <c r="C215" s="10" t="s">
        <v>916</v>
      </c>
      <c r="D215" s="10"/>
      <c r="E215" s="10"/>
      <c r="F215" s="10"/>
      <c r="G215" s="10"/>
      <c r="H215" s="12"/>
      <c r="I215" s="12">
        <f>I214</f>
        <v>0</v>
      </c>
      <c r="J215" s="12">
        <f t="shared" ref="J215:AO215" si="530">I215+J214</f>
        <v>0</v>
      </c>
      <c r="K215" s="12">
        <f t="shared" si="530"/>
        <v>0</v>
      </c>
      <c r="L215" s="12">
        <f t="shared" si="530"/>
        <v>0</v>
      </c>
      <c r="M215" s="12">
        <f t="shared" si="530"/>
        <v>0</v>
      </c>
      <c r="N215" s="12">
        <f t="shared" si="530"/>
        <v>0</v>
      </c>
      <c r="O215" s="12">
        <f t="shared" si="530"/>
        <v>-349.16</v>
      </c>
      <c r="P215" s="12">
        <f t="shared" si="530"/>
        <v>-698.32</v>
      </c>
      <c r="Q215" s="12">
        <f t="shared" si="530"/>
        <v>-1047.48</v>
      </c>
      <c r="R215" s="12">
        <f t="shared" si="530"/>
        <v>-1704.328888888889</v>
      </c>
      <c r="S215" s="12">
        <f t="shared" si="530"/>
        <v>-2361.1777777777779</v>
      </c>
      <c r="T215" s="12">
        <f t="shared" si="530"/>
        <v>-3018.0266666666666</v>
      </c>
      <c r="U215" s="12">
        <f t="shared" si="530"/>
        <v>-2974.6635555555558</v>
      </c>
      <c r="V215" s="12">
        <f t="shared" si="530"/>
        <v>-2838.0932249322495</v>
      </c>
      <c r="W215" s="12">
        <f t="shared" si="530"/>
        <v>-2605.9854943089431</v>
      </c>
      <c r="X215" s="12">
        <f t="shared" si="530"/>
        <v>-2275.8906867625601</v>
      </c>
      <c r="Y215" s="12">
        <f t="shared" si="530"/>
        <v>-1845.2301950056508</v>
      </c>
      <c r="Z215" s="12">
        <f t="shared" si="530"/>
        <v>-1311.2860275730657</v>
      </c>
      <c r="AA215" s="12">
        <f t="shared" si="530"/>
        <v>-1120.9595797207262</v>
      </c>
      <c r="AB215" s="12">
        <f t="shared" si="530"/>
        <v>-1458.5165849117402</v>
      </c>
      <c r="AC215" s="12">
        <f t="shared" si="530"/>
        <v>-2316.4366420330534</v>
      </c>
      <c r="AD215" s="12">
        <f t="shared" si="530"/>
        <v>-3682.8890611668039</v>
      </c>
      <c r="AE215" s="12">
        <f t="shared" si="530"/>
        <v>-5541.8081797077994</v>
      </c>
      <c r="AF215" s="12">
        <f t="shared" si="530"/>
        <v>-7872.9995843643792</v>
      </c>
      <c r="AG215" s="12">
        <f t="shared" si="530"/>
        <v>-10652.276247570535</v>
      </c>
      <c r="AH215" s="12">
        <f t="shared" si="530"/>
        <v>-13851.623325140703</v>
      </c>
      <c r="AI215" s="12">
        <f t="shared" si="530"/>
        <v>-17439.390101872832</v>
      </c>
      <c r="AJ215" s="12">
        <f t="shared" si="530"/>
        <v>-21072.818424078832</v>
      </c>
      <c r="AK215" s="12">
        <f t="shared" si="530"/>
        <v>-25021.350032752864</v>
      </c>
      <c r="AL215" s="12">
        <f t="shared" si="530"/>
        <v>-29243.821617274927</v>
      </c>
      <c r="AM215" s="12">
        <f t="shared" si="530"/>
        <v>-34080.509921377234</v>
      </c>
      <c r="AN215" s="12">
        <f t="shared" si="530"/>
        <v>-39101.199622674867</v>
      </c>
      <c r="AO215" s="12">
        <f t="shared" si="530"/>
        <v>-44257.719743486596</v>
      </c>
      <c r="AP215" s="12">
        <f t="shared" ref="AP215:BU215" si="531">AO215+AP214</f>
        <v>-49854.027354237565</v>
      </c>
      <c r="AQ215" s="12">
        <f t="shared" si="531"/>
        <v>-55485.003615233814</v>
      </c>
      <c r="AR215" s="12">
        <f t="shared" si="531"/>
        <v>-61098.304071967359</v>
      </c>
      <c r="AS215" s="12">
        <f t="shared" si="531"/>
        <v>-65835.592284256461</v>
      </c>
      <c r="AT215" s="12">
        <f t="shared" si="531"/>
        <v>-70341.392914777913</v>
      </c>
      <c r="AU215" s="12">
        <f t="shared" si="531"/>
        <v>-74559.350785054077</v>
      </c>
      <c r="AV215" s="12">
        <f t="shared" si="531"/>
        <v>-78433.097449151683</v>
      </c>
      <c r="AW215" s="12">
        <f t="shared" si="531"/>
        <v>-81906.473702347634</v>
      </c>
      <c r="AX215" s="12">
        <f t="shared" si="531"/>
        <v>-84923.701254398169</v>
      </c>
      <c r="AY215" s="12">
        <f t="shared" si="531"/>
        <v>-87948.076833962274</v>
      </c>
      <c r="AZ215" s="12">
        <f t="shared" si="531"/>
        <v>-91110.608286935138</v>
      </c>
      <c r="BA215" s="12">
        <f t="shared" si="531"/>
        <v>-94352.185789748808</v>
      </c>
      <c r="BB215" s="12">
        <f t="shared" si="531"/>
        <v>-97609.152556076704</v>
      </c>
      <c r="BC215" s="12">
        <f t="shared" si="531"/>
        <v>-100812.6996300906</v>
      </c>
      <c r="BD215" s="12">
        <f t="shared" si="531"/>
        <v>-103887.71999534639</v>
      </c>
      <c r="BE215" s="12">
        <f t="shared" si="531"/>
        <v>-106750.6594331238</v>
      </c>
      <c r="BF215" s="12">
        <f t="shared" si="531"/>
        <v>-109305.35002367837</v>
      </c>
      <c r="BG215" s="12">
        <f t="shared" si="531"/>
        <v>-111434.29563390385</v>
      </c>
      <c r="BH215" s="12">
        <f t="shared" si="531"/>
        <v>-112623.98155318192</v>
      </c>
      <c r="BI215" s="12">
        <f t="shared" si="531"/>
        <v>-112963.08671166262</v>
      </c>
      <c r="BJ215" s="12">
        <f t="shared" si="531"/>
        <v>-111762.86752653281</v>
      </c>
      <c r="BK215" s="12">
        <f t="shared" si="531"/>
        <v>-94082.062521564891</v>
      </c>
      <c r="BL215" s="12">
        <f t="shared" si="531"/>
        <v>-98579.107186845184</v>
      </c>
      <c r="BM215" s="12">
        <f t="shared" si="531"/>
        <v>-103222.67024086371</v>
      </c>
      <c r="BN215" s="12">
        <f t="shared" si="531"/>
        <v>-108359.92710048206</v>
      </c>
      <c r="BO215" s="12">
        <f t="shared" si="531"/>
        <v>-113532.13489537024</v>
      </c>
      <c r="BP215" s="12">
        <f t="shared" si="531"/>
        <v>-118681.54711609574</v>
      </c>
      <c r="BQ215" s="12">
        <f t="shared" si="531"/>
        <v>-122834.31305071013</v>
      </c>
      <c r="BR215" s="12">
        <f t="shared" si="531"/>
        <v>-126724.76999750351</v>
      </c>
      <c r="BS215" s="12">
        <f t="shared" si="531"/>
        <v>-130290.59494777706</v>
      </c>
      <c r="BT215" s="12">
        <f t="shared" si="531"/>
        <v>-133469.41404381831</v>
      </c>
      <c r="BU215" s="12">
        <f t="shared" si="531"/>
        <v>-136199.04025076248</v>
      </c>
      <c r="BV215" s="12">
        <f t="shared" ref="BV215:DA215" si="532">BU215+BV214</f>
        <v>-138417.65300800593</v>
      </c>
      <c r="BW215" s="12">
        <f t="shared" si="532"/>
        <v>-140654.95417144871</v>
      </c>
      <c r="BX215" s="12">
        <f t="shared" si="532"/>
        <v>-16596.789685323005</v>
      </c>
      <c r="BY215" s="12">
        <f t="shared" si="532"/>
        <v>-19993.243674106325</v>
      </c>
      <c r="BZ215" s="12">
        <f t="shared" si="532"/>
        <v>-23390.483592894729</v>
      </c>
      <c r="CA215" s="12">
        <f t="shared" si="532"/>
        <v>-26712.086219132354</v>
      </c>
      <c r="CB215" s="12">
        <f t="shared" si="532"/>
        <v>-29874.499522117316</v>
      </c>
      <c r="CC215" s="12">
        <f t="shared" si="532"/>
        <v>-32784.549950251538</v>
      </c>
      <c r="CD215" s="12">
        <f t="shared" si="532"/>
        <v>-35334.629078193182</v>
      </c>
      <c r="CE215" s="12">
        <f t="shared" si="532"/>
        <v>-37392.649529433533</v>
      </c>
      <c r="CF215" s="12">
        <f t="shared" si="532"/>
        <v>-38375.859946627985</v>
      </c>
      <c r="CG215" s="12">
        <f t="shared" si="532"/>
        <v>-38384.571332228021</v>
      </c>
      <c r="CH215" s="12">
        <f t="shared" si="532"/>
        <v>-36629.7704540919</v>
      </c>
      <c r="CI215" s="12">
        <f t="shared" si="532"/>
        <v>-15439.578179784035</v>
      </c>
      <c r="CJ215" s="12">
        <f t="shared" si="532"/>
        <v>-19738.343556850319</v>
      </c>
      <c r="CK215" s="12">
        <f t="shared" si="532"/>
        <v>-24193.206026961416</v>
      </c>
      <c r="CL215" s="12">
        <f t="shared" si="532"/>
        <v>-28744.177576567428</v>
      </c>
      <c r="CM215" s="12">
        <f t="shared" si="532"/>
        <v>-33329.574910991643</v>
      </c>
      <c r="CN215" s="12">
        <f t="shared" si="532"/>
        <v>-37886.401824496308</v>
      </c>
      <c r="CO215" s="12">
        <f t="shared" si="532"/>
        <v>-42350.725740778755</v>
      </c>
      <c r="CP215" s="12">
        <f t="shared" si="532"/>
        <v>-46658.041309559696</v>
      </c>
      <c r="CQ215" s="12">
        <f t="shared" si="532"/>
        <v>-50743.612524147436</v>
      </c>
      <c r="CR215" s="12">
        <f t="shared" si="532"/>
        <v>-54542.78277924026</v>
      </c>
      <c r="CS215" s="12">
        <f t="shared" si="532"/>
        <v>-57991.239245833727</v>
      </c>
      <c r="CT215" s="12">
        <f t="shared" si="532"/>
        <v>-61025.213271309462</v>
      </c>
      <c r="CU215" s="12">
        <f t="shared" si="532"/>
        <v>-63581.591115714255</v>
      </c>
      <c r="CV215" s="12">
        <f t="shared" si="532"/>
        <v>79799.410326734855</v>
      </c>
      <c r="CW215" s="12">
        <f t="shared" si="532"/>
        <v>77291.8436380161</v>
      </c>
      <c r="CX215" s="12">
        <f t="shared" si="532"/>
        <v>75448.477450502163</v>
      </c>
      <c r="CY215" s="12">
        <f t="shared" si="532"/>
        <v>74332.378586884908</v>
      </c>
      <c r="CZ215" s="12">
        <f t="shared" si="532"/>
        <v>74009.270291573077</v>
      </c>
      <c r="DA215" s="12">
        <f t="shared" si="532"/>
        <v>74550.562002481704</v>
      </c>
      <c r="DB215" s="12">
        <f t="shared" ref="DB215:EG215" si="533">DA215+DB214</f>
        <v>76039.054219197249</v>
      </c>
      <c r="DC215" s="12">
        <f t="shared" si="533"/>
        <v>78580.623985877683</v>
      </c>
      <c r="DD215" s="12">
        <f t="shared" si="533"/>
        <v>82331.803605480076</v>
      </c>
      <c r="DE215" s="12">
        <f t="shared" si="533"/>
        <v>87582.898037413906</v>
      </c>
      <c r="DF215" s="12">
        <f t="shared" si="533"/>
        <v>95174.151000000085</v>
      </c>
      <c r="DG215" s="12">
        <f t="shared" si="533"/>
        <v>125145.12210000007</v>
      </c>
      <c r="DH215" s="12">
        <f t="shared" si="533"/>
        <v>126387.87975833339</v>
      </c>
      <c r="DI215" s="12">
        <f t="shared" si="533"/>
        <v>127630.63741666672</v>
      </c>
      <c r="DJ215" s="12">
        <f t="shared" si="533"/>
        <v>128873.39507500005</v>
      </c>
      <c r="DK215" s="12">
        <f t="shared" si="533"/>
        <v>130116.15273333338</v>
      </c>
      <c r="DL215" s="12">
        <f t="shared" si="533"/>
        <v>131358.91039166672</v>
      </c>
      <c r="DM215" s="12">
        <f t="shared" si="533"/>
        <v>132601.66805000007</v>
      </c>
      <c r="DN215" s="12">
        <f t="shared" si="533"/>
        <v>133844.42570833341</v>
      </c>
      <c r="DO215" s="12">
        <f t="shared" si="533"/>
        <v>135087.18336666675</v>
      </c>
      <c r="DP215" s="12">
        <f t="shared" si="533"/>
        <v>136329.94102500009</v>
      </c>
      <c r="DQ215" s="12">
        <f t="shared" si="533"/>
        <v>137572.69868333344</v>
      </c>
      <c r="DR215" s="12">
        <f t="shared" si="533"/>
        <v>138815.45634166678</v>
      </c>
      <c r="DS215" s="12">
        <f t="shared" si="533"/>
        <v>140058.21400000012</v>
      </c>
      <c r="DT215" s="12">
        <f t="shared" si="533"/>
        <v>306563.60900000005</v>
      </c>
      <c r="DU215" s="12">
        <f t="shared" si="533"/>
        <v>306563.60900000005</v>
      </c>
      <c r="DV215" s="12">
        <f t="shared" si="533"/>
        <v>306563.60900000005</v>
      </c>
      <c r="DW215" s="12">
        <f t="shared" si="533"/>
        <v>306563.60900000005</v>
      </c>
      <c r="DX215" s="12">
        <f t="shared" si="533"/>
        <v>306563.60900000005</v>
      </c>
      <c r="DY215" s="12">
        <f t="shared" si="533"/>
        <v>306563.60900000005</v>
      </c>
      <c r="DZ215" s="12">
        <f t="shared" si="533"/>
        <v>306563.60900000005</v>
      </c>
      <c r="EA215" s="12">
        <f t="shared" si="533"/>
        <v>306563.60900000005</v>
      </c>
      <c r="EB215" s="12">
        <f t="shared" si="533"/>
        <v>306563.60900000005</v>
      </c>
      <c r="EC215" s="12">
        <f t="shared" si="533"/>
        <v>306563.60900000005</v>
      </c>
      <c r="ED215" s="12">
        <f t="shared" si="533"/>
        <v>306563.60900000005</v>
      </c>
      <c r="EE215" s="12">
        <f t="shared" si="533"/>
        <v>306563.60900000005</v>
      </c>
      <c r="EF215" s="12">
        <f t="shared" si="533"/>
        <v>306563.60900000005</v>
      </c>
      <c r="EG215" s="12">
        <f t="shared" si="533"/>
        <v>306563.60900000005</v>
      </c>
      <c r="EH215" s="12">
        <f t="shared" ref="EH215:FH215" si="534">EG215+EH214</f>
        <v>306563.60900000005</v>
      </c>
      <c r="EI215" s="12">
        <f t="shared" si="534"/>
        <v>306563.60900000005</v>
      </c>
      <c r="EJ215" s="12">
        <f t="shared" si="534"/>
        <v>306563.60900000005</v>
      </c>
      <c r="EK215" s="12">
        <f t="shared" si="534"/>
        <v>306563.60900000005</v>
      </c>
      <c r="EL215" s="12">
        <f t="shared" si="534"/>
        <v>306563.60900000005</v>
      </c>
      <c r="EM215" s="12">
        <f t="shared" si="534"/>
        <v>306563.60900000005</v>
      </c>
      <c r="EN215" s="12">
        <f t="shared" si="534"/>
        <v>306563.60900000005</v>
      </c>
      <c r="EO215" s="12">
        <f t="shared" si="534"/>
        <v>306563.60900000005</v>
      </c>
      <c r="EP215" s="12">
        <f t="shared" si="534"/>
        <v>306563.60900000005</v>
      </c>
      <c r="EQ215" s="12">
        <f t="shared" si="534"/>
        <v>306563.60900000005</v>
      </c>
      <c r="ER215" s="12">
        <f t="shared" si="534"/>
        <v>306563.60900000005</v>
      </c>
      <c r="ES215" s="12">
        <f t="shared" si="534"/>
        <v>306563.60900000005</v>
      </c>
      <c r="ET215" s="12">
        <f t="shared" si="534"/>
        <v>306563.60900000005</v>
      </c>
      <c r="EU215" s="12">
        <f t="shared" si="534"/>
        <v>306563.60900000005</v>
      </c>
      <c r="EV215" s="12">
        <f t="shared" si="534"/>
        <v>306563.60900000005</v>
      </c>
      <c r="EW215" s="12">
        <f t="shared" si="534"/>
        <v>306563.60900000005</v>
      </c>
      <c r="EX215" s="12">
        <f t="shared" si="534"/>
        <v>306563.60900000005</v>
      </c>
      <c r="EY215" s="12">
        <f t="shared" si="534"/>
        <v>306563.60900000005</v>
      </c>
      <c r="EZ215" s="12">
        <f t="shared" si="534"/>
        <v>306563.60900000005</v>
      </c>
      <c r="FA215" s="12">
        <f t="shared" si="534"/>
        <v>306563.60900000005</v>
      </c>
      <c r="FB215" s="12">
        <f t="shared" si="534"/>
        <v>306563.60900000005</v>
      </c>
      <c r="FC215" s="12">
        <f t="shared" si="534"/>
        <v>306563.60900000005</v>
      </c>
      <c r="FD215" s="12">
        <f t="shared" si="534"/>
        <v>306563.60900000005</v>
      </c>
      <c r="FE215" s="12">
        <f t="shared" si="534"/>
        <v>306563.60900000005</v>
      </c>
      <c r="FF215" s="12">
        <f t="shared" si="534"/>
        <v>306563.60900000005</v>
      </c>
      <c r="FG215" s="12">
        <f t="shared" si="534"/>
        <v>306563.60900000005</v>
      </c>
      <c r="FH215" s="12">
        <f t="shared" si="534"/>
        <v>306563.60900000005</v>
      </c>
    </row>
    <row r="216" spans="1:164" x14ac:dyDescent="0.2">
      <c r="A216" s="10"/>
      <c r="B216" s="10"/>
      <c r="C216" s="10" t="s">
        <v>925</v>
      </c>
      <c r="D216" s="10"/>
      <c r="E216" s="10"/>
      <c r="F216" s="10"/>
      <c r="G216" s="10"/>
      <c r="H216" s="12">
        <f>SUM(I216:FH216)</f>
        <v>-68775.063411481213</v>
      </c>
      <c r="I216" s="12">
        <f t="shared" ref="I216:AN216" si="535">I130+I166+I202</f>
        <v>0</v>
      </c>
      <c r="J216" s="12">
        <f t="shared" si="535"/>
        <v>0</v>
      </c>
      <c r="K216" s="12">
        <f t="shared" si="535"/>
        <v>0</v>
      </c>
      <c r="L216" s="12">
        <f t="shared" si="535"/>
        <v>0</v>
      </c>
      <c r="M216" s="12">
        <f t="shared" si="535"/>
        <v>0</v>
      </c>
      <c r="N216" s="12">
        <f t="shared" si="535"/>
        <v>0</v>
      </c>
      <c r="O216" s="12">
        <f t="shared" si="535"/>
        <v>0</v>
      </c>
      <c r="P216" s="12">
        <f t="shared" si="535"/>
        <v>0</v>
      </c>
      <c r="Q216" s="12">
        <f t="shared" si="535"/>
        <v>0</v>
      </c>
      <c r="R216" s="12">
        <f t="shared" si="535"/>
        <v>0</v>
      </c>
      <c r="S216" s="12">
        <f t="shared" si="535"/>
        <v>0</v>
      </c>
      <c r="T216" s="12">
        <f t="shared" si="535"/>
        <v>0</v>
      </c>
      <c r="U216" s="12">
        <f t="shared" si="535"/>
        <v>0</v>
      </c>
      <c r="V216" s="12">
        <f t="shared" si="535"/>
        <v>0</v>
      </c>
      <c r="W216" s="12">
        <f t="shared" si="535"/>
        <v>0</v>
      </c>
      <c r="X216" s="12">
        <f t="shared" si="535"/>
        <v>0</v>
      </c>
      <c r="Y216" s="12">
        <f t="shared" si="535"/>
        <v>0</v>
      </c>
      <c r="Z216" s="12">
        <f t="shared" si="535"/>
        <v>0</v>
      </c>
      <c r="AA216" s="12">
        <f t="shared" si="535"/>
        <v>0</v>
      </c>
      <c r="AB216" s="12">
        <f t="shared" si="535"/>
        <v>0</v>
      </c>
      <c r="AC216" s="12">
        <f t="shared" si="535"/>
        <v>0</v>
      </c>
      <c r="AD216" s="12">
        <f t="shared" si="535"/>
        <v>0</v>
      </c>
      <c r="AE216" s="12">
        <f t="shared" si="535"/>
        <v>0</v>
      </c>
      <c r="AF216" s="12">
        <f t="shared" si="535"/>
        <v>0</v>
      </c>
      <c r="AG216" s="12">
        <f t="shared" si="535"/>
        <v>0</v>
      </c>
      <c r="AH216" s="12">
        <f t="shared" si="535"/>
        <v>0</v>
      </c>
      <c r="AI216" s="12">
        <f t="shared" si="535"/>
        <v>0</v>
      </c>
      <c r="AJ216" s="12">
        <f t="shared" si="535"/>
        <v>0</v>
      </c>
      <c r="AK216" s="12">
        <f t="shared" si="535"/>
        <v>0</v>
      </c>
      <c r="AL216" s="12">
        <f t="shared" si="535"/>
        <v>0</v>
      </c>
      <c r="AM216" s="12">
        <f t="shared" si="535"/>
        <v>0</v>
      </c>
      <c r="AN216" s="12">
        <f t="shared" si="535"/>
        <v>0</v>
      </c>
      <c r="AO216" s="12">
        <f t="shared" ref="AO216:BT216" si="536">AO130+AO166+AO202</f>
        <v>0</v>
      </c>
      <c r="AP216" s="12">
        <f t="shared" si="536"/>
        <v>0</v>
      </c>
      <c r="AQ216" s="12">
        <f t="shared" si="536"/>
        <v>-17.46128109614396</v>
      </c>
      <c r="AR216" s="12">
        <f t="shared" si="536"/>
        <v>-74.773018391825147</v>
      </c>
      <c r="AS216" s="12">
        <f t="shared" si="536"/>
        <v>-132.52427764156059</v>
      </c>
      <c r="AT216" s="12">
        <f t="shared" si="536"/>
        <v>-190.27553689129596</v>
      </c>
      <c r="AU216" s="12">
        <f t="shared" si="536"/>
        <v>-247.58727418697717</v>
      </c>
      <c r="AV216" s="12">
        <f t="shared" si="536"/>
        <v>-304.023312602011</v>
      </c>
      <c r="AW216" s="12">
        <f t="shared" si="536"/>
        <v>-359.15413980704699</v>
      </c>
      <c r="AX216" s="12">
        <f t="shared" si="536"/>
        <v>-412.56017691815151</v>
      </c>
      <c r="AY216" s="12">
        <f t="shared" si="536"/>
        <v>-463.8349717454621</v>
      </c>
      <c r="AZ216" s="12">
        <f t="shared" si="536"/>
        <v>-512.58829213977526</v>
      </c>
      <c r="BA216" s="12">
        <f t="shared" si="536"/>
        <v>-558.44909589483063</v>
      </c>
      <c r="BB216" s="12">
        <f t="shared" si="536"/>
        <v>-601.06835460254194</v>
      </c>
      <c r="BC216" s="12">
        <f t="shared" si="536"/>
        <v>-640.1217099699312</v>
      </c>
      <c r="BD216" s="12">
        <f t="shared" si="536"/>
        <v>-675.31194238159208</v>
      </c>
      <c r="BE216" s="12">
        <f t="shared" si="536"/>
        <v>-706.3712329204285</v>
      </c>
      <c r="BF216" s="12">
        <f t="shared" si="536"/>
        <v>-733.06320163132762</v>
      </c>
      <c r="BG216" s="12">
        <f t="shared" si="536"/>
        <v>-755.18470651534767</v>
      </c>
      <c r="BH216" s="12">
        <f t="shared" si="536"/>
        <v>-772.56738956299216</v>
      </c>
      <c r="BI216" s="12">
        <f t="shared" si="536"/>
        <v>-785.07895806031718</v>
      </c>
      <c r="BJ216" s="12">
        <f t="shared" si="536"/>
        <v>-792.6241914163661</v>
      </c>
      <c r="BK216" s="12">
        <f t="shared" si="536"/>
        <v>-795.14566584936358</v>
      </c>
      <c r="BL216" s="12">
        <f t="shared" si="536"/>
        <v>-795.14566584936358</v>
      </c>
      <c r="BM216" s="12">
        <f t="shared" si="536"/>
        <v>-795.14566584936358</v>
      </c>
      <c r="BN216" s="12">
        <f t="shared" si="536"/>
        <v>-795.14566584936358</v>
      </c>
      <c r="BO216" s="12">
        <f t="shared" si="536"/>
        <v>-814.35307505512196</v>
      </c>
      <c r="BP216" s="12">
        <f t="shared" si="536"/>
        <v>-877.39598608037136</v>
      </c>
      <c r="BQ216" s="12">
        <f t="shared" si="536"/>
        <v>-940.92237125508018</v>
      </c>
      <c r="BR216" s="12">
        <f t="shared" si="536"/>
        <v>-1004.4487564297891</v>
      </c>
      <c r="BS216" s="12">
        <f t="shared" si="536"/>
        <v>-1067.4916674550386</v>
      </c>
      <c r="BT216" s="12">
        <f t="shared" si="536"/>
        <v>-1129.5713097115756</v>
      </c>
      <c r="BU216" s="12">
        <f t="shared" ref="BU216:CZ216" si="537">BU130+BU166+BU202</f>
        <v>-1190.2152196371153</v>
      </c>
      <c r="BV216" s="12">
        <f t="shared" si="537"/>
        <v>-1248.9618604593302</v>
      </c>
      <c r="BW216" s="12">
        <f t="shared" si="537"/>
        <v>-1305.3641347693717</v>
      </c>
      <c r="BX216" s="12">
        <f t="shared" si="537"/>
        <v>-1358.9927872031162</v>
      </c>
      <c r="BY216" s="12">
        <f t="shared" si="537"/>
        <v>-614.29400548431374</v>
      </c>
      <c r="BZ216" s="12">
        <f t="shared" si="537"/>
        <v>-661.1751900627961</v>
      </c>
      <c r="CA216" s="12">
        <f t="shared" si="537"/>
        <v>-704.13388096692415</v>
      </c>
      <c r="CB216" s="12">
        <f t="shared" si="537"/>
        <v>-742.84313661975114</v>
      </c>
      <c r="CC216" s="12">
        <f t="shared" si="537"/>
        <v>-777.00835621247143</v>
      </c>
      <c r="CD216" s="12">
        <f t="shared" si="537"/>
        <v>-806.36952179446007</v>
      </c>
      <c r="CE216" s="12">
        <f t="shared" si="537"/>
        <v>-830.7031771668826</v>
      </c>
      <c r="CF216" s="12">
        <f t="shared" si="537"/>
        <v>-849.82412851929132</v>
      </c>
      <c r="CG216" s="12">
        <f t="shared" si="537"/>
        <v>-863.58685386634886</v>
      </c>
      <c r="CH216" s="12">
        <f t="shared" si="537"/>
        <v>-871.88661055800276</v>
      </c>
      <c r="CI216" s="12">
        <f t="shared" si="537"/>
        <v>-874.66023243429993</v>
      </c>
      <c r="CJ216" s="12">
        <f t="shared" si="537"/>
        <v>-874.66023243429993</v>
      </c>
      <c r="CK216" s="12">
        <f t="shared" si="537"/>
        <v>-874.66023243429993</v>
      </c>
      <c r="CL216" s="12">
        <f t="shared" si="537"/>
        <v>-874.66023243429993</v>
      </c>
      <c r="CM216" s="12">
        <f t="shared" si="537"/>
        <v>-895.54270639637446</v>
      </c>
      <c r="CN216" s="12">
        <f t="shared" si="537"/>
        <v>-964.08354570870949</v>
      </c>
      <c r="CO216" s="12">
        <f t="shared" si="537"/>
        <v>-1033.1500226137709</v>
      </c>
      <c r="CP216" s="12">
        <f t="shared" si="537"/>
        <v>-1102.2164995188325</v>
      </c>
      <c r="CQ216" s="12">
        <f t="shared" si="537"/>
        <v>-1170.7573388311675</v>
      </c>
      <c r="CR216" s="12">
        <f t="shared" si="537"/>
        <v>-1238.2509033775189</v>
      </c>
      <c r="CS216" s="12">
        <f t="shared" si="537"/>
        <v>-1304.1835263779601</v>
      </c>
      <c r="CT216" s="12">
        <f t="shared" si="537"/>
        <v>-1368.053420760252</v>
      </c>
      <c r="CU216" s="12">
        <f t="shared" si="537"/>
        <v>-1429.3744980624483</v>
      </c>
      <c r="CV216" s="12">
        <f t="shared" si="537"/>
        <v>-1487.680067859601</v>
      </c>
      <c r="CW216" s="12">
        <f t="shared" si="537"/>
        <v>-667.86615712538764</v>
      </c>
      <c r="CX216" s="12">
        <f t="shared" si="537"/>
        <v>-718.83581710315616</v>
      </c>
      <c r="CY216" s="12">
        <f t="shared" si="537"/>
        <v>-765.54090546985367</v>
      </c>
      <c r="CZ216" s="12">
        <f t="shared" si="537"/>
        <v>-807.62596830170639</v>
      </c>
      <c r="DA216" s="12">
        <f t="shared" ref="DA216:EF216" si="538">DA130+DA166+DA202</f>
        <v>-844.77071285890781</v>
      </c>
      <c r="DB216" s="12">
        <f t="shared" si="538"/>
        <v>-876.69244520676773</v>
      </c>
      <c r="DC216" s="12">
        <f t="shared" si="538"/>
        <v>-903.14822168725016</v>
      </c>
      <c r="DD216" s="12">
        <f t="shared" si="538"/>
        <v>-923.93669786690396</v>
      </c>
      <c r="DE216" s="12">
        <f t="shared" si="538"/>
        <v>-938.89966088957681</v>
      </c>
      <c r="DF216" s="12">
        <f t="shared" si="538"/>
        <v>-947.92323357178202</v>
      </c>
      <c r="DG216" s="12">
        <f t="shared" si="538"/>
        <v>-950.93874107682609</v>
      </c>
      <c r="DH216" s="12">
        <f t="shared" si="538"/>
        <v>-950.93874107682609</v>
      </c>
      <c r="DI216" s="12">
        <f t="shared" si="538"/>
        <v>-950.93874107682609</v>
      </c>
      <c r="DJ216" s="12">
        <f t="shared" si="538"/>
        <v>-950.93874107682609</v>
      </c>
      <c r="DK216" s="12">
        <f t="shared" si="538"/>
        <v>-950.93874107682609</v>
      </c>
      <c r="DL216" s="12">
        <f t="shared" si="538"/>
        <v>-950.93874107682609</v>
      </c>
      <c r="DM216" s="12">
        <f t="shared" si="538"/>
        <v>-950.93874107682609</v>
      </c>
      <c r="DN216" s="12">
        <f t="shared" si="538"/>
        <v>-950.93874107682609</v>
      </c>
      <c r="DO216" s="12">
        <f t="shared" si="538"/>
        <v>-950.93874107682609</v>
      </c>
      <c r="DP216" s="12">
        <f t="shared" si="538"/>
        <v>-950.93874107682609</v>
      </c>
      <c r="DQ216" s="12">
        <f t="shared" si="538"/>
        <v>-950.93874107682609</v>
      </c>
      <c r="DR216" s="12">
        <f t="shared" si="538"/>
        <v>-950.93874107682609</v>
      </c>
      <c r="DS216" s="12">
        <f t="shared" si="538"/>
        <v>-950.93874107682609</v>
      </c>
      <c r="DT216" s="12">
        <f t="shared" si="538"/>
        <v>-950.93874107682609</v>
      </c>
      <c r="DU216" s="12">
        <f t="shared" si="538"/>
        <v>0</v>
      </c>
      <c r="DV216" s="12">
        <f t="shared" si="538"/>
        <v>0</v>
      </c>
      <c r="DW216" s="12">
        <f t="shared" si="538"/>
        <v>0</v>
      </c>
      <c r="DX216" s="12">
        <f t="shared" si="538"/>
        <v>0</v>
      </c>
      <c r="DY216" s="12">
        <f t="shared" si="538"/>
        <v>0</v>
      </c>
      <c r="DZ216" s="12">
        <f t="shared" si="538"/>
        <v>0</v>
      </c>
      <c r="EA216" s="12">
        <f t="shared" si="538"/>
        <v>0</v>
      </c>
      <c r="EB216" s="12">
        <f t="shared" si="538"/>
        <v>0</v>
      </c>
      <c r="EC216" s="12">
        <f t="shared" si="538"/>
        <v>0</v>
      </c>
      <c r="ED216" s="12">
        <f t="shared" si="538"/>
        <v>0</v>
      </c>
      <c r="EE216" s="12">
        <f t="shared" si="538"/>
        <v>0</v>
      </c>
      <c r="EF216" s="12">
        <f t="shared" si="538"/>
        <v>0</v>
      </c>
      <c r="EG216" s="12">
        <f t="shared" ref="EG216:FH216" si="539">EG130+EG166+EG202</f>
        <v>0</v>
      </c>
      <c r="EH216" s="12">
        <f t="shared" si="539"/>
        <v>0</v>
      </c>
      <c r="EI216" s="12">
        <f t="shared" si="539"/>
        <v>0</v>
      </c>
      <c r="EJ216" s="12">
        <f t="shared" si="539"/>
        <v>0</v>
      </c>
      <c r="EK216" s="12">
        <f t="shared" si="539"/>
        <v>0</v>
      </c>
      <c r="EL216" s="12">
        <f t="shared" si="539"/>
        <v>0</v>
      </c>
      <c r="EM216" s="12">
        <f t="shared" si="539"/>
        <v>0</v>
      </c>
      <c r="EN216" s="12">
        <f t="shared" si="539"/>
        <v>0</v>
      </c>
      <c r="EO216" s="12">
        <f t="shared" si="539"/>
        <v>0</v>
      </c>
      <c r="EP216" s="12">
        <f t="shared" si="539"/>
        <v>0</v>
      </c>
      <c r="EQ216" s="12">
        <f t="shared" si="539"/>
        <v>0</v>
      </c>
      <c r="ER216" s="12">
        <f t="shared" si="539"/>
        <v>0</v>
      </c>
      <c r="ES216" s="12">
        <f t="shared" si="539"/>
        <v>0</v>
      </c>
      <c r="ET216" s="12">
        <f t="shared" si="539"/>
        <v>0</v>
      </c>
      <c r="EU216" s="12">
        <f t="shared" si="539"/>
        <v>0</v>
      </c>
      <c r="EV216" s="12">
        <f t="shared" si="539"/>
        <v>0</v>
      </c>
      <c r="EW216" s="12">
        <f t="shared" si="539"/>
        <v>0</v>
      </c>
      <c r="EX216" s="12">
        <f t="shared" si="539"/>
        <v>0</v>
      </c>
      <c r="EY216" s="12">
        <f t="shared" si="539"/>
        <v>0</v>
      </c>
      <c r="EZ216" s="12">
        <f t="shared" si="539"/>
        <v>0</v>
      </c>
      <c r="FA216" s="12">
        <f t="shared" si="539"/>
        <v>0</v>
      </c>
      <c r="FB216" s="12">
        <f t="shared" si="539"/>
        <v>0</v>
      </c>
      <c r="FC216" s="12">
        <f t="shared" si="539"/>
        <v>0</v>
      </c>
      <c r="FD216" s="12">
        <f t="shared" si="539"/>
        <v>0</v>
      </c>
      <c r="FE216" s="12">
        <f t="shared" si="539"/>
        <v>0</v>
      </c>
      <c r="FF216" s="12">
        <f t="shared" si="539"/>
        <v>0</v>
      </c>
      <c r="FG216" s="12">
        <f t="shared" si="539"/>
        <v>0</v>
      </c>
      <c r="FH216" s="12">
        <f t="shared" si="539"/>
        <v>0</v>
      </c>
    </row>
    <row r="217" spans="1:164" x14ac:dyDescent="0.2">
      <c r="A217" s="10"/>
      <c r="B217" s="31" t="s">
        <v>917</v>
      </c>
      <c r="C217" s="31"/>
      <c r="D217" s="31"/>
      <c r="E217" s="31"/>
      <c r="F217" s="31"/>
      <c r="G217" s="31"/>
      <c r="H217" s="32">
        <f>SUM(I217:FH217)</f>
        <v>237788.54558851884</v>
      </c>
      <c r="I217" s="32">
        <f t="shared" ref="I217:AN217" si="540">I133+I169+I205</f>
        <v>0</v>
      </c>
      <c r="J217" s="32">
        <f t="shared" si="540"/>
        <v>0</v>
      </c>
      <c r="K217" s="32">
        <f t="shared" si="540"/>
        <v>0</v>
      </c>
      <c r="L217" s="32">
        <f t="shared" si="540"/>
        <v>0</v>
      </c>
      <c r="M217" s="32">
        <f t="shared" si="540"/>
        <v>0</v>
      </c>
      <c r="N217" s="32">
        <f t="shared" si="540"/>
        <v>0</v>
      </c>
      <c r="O217" s="32">
        <f t="shared" si="540"/>
        <v>-349.16</v>
      </c>
      <c r="P217" s="32">
        <f t="shared" si="540"/>
        <v>-349.16</v>
      </c>
      <c r="Q217" s="32">
        <f t="shared" si="540"/>
        <v>-349.16</v>
      </c>
      <c r="R217" s="32">
        <f t="shared" si="540"/>
        <v>-656.84888888888895</v>
      </c>
      <c r="S217" s="32">
        <f t="shared" si="540"/>
        <v>-656.84888888888895</v>
      </c>
      <c r="T217" s="32">
        <f t="shared" si="540"/>
        <v>-656.84888888888895</v>
      </c>
      <c r="U217" s="32">
        <f t="shared" si="540"/>
        <v>43.363111111111039</v>
      </c>
      <c r="V217" s="32">
        <f t="shared" si="540"/>
        <v>136.57033062330606</v>
      </c>
      <c r="W217" s="32">
        <f t="shared" si="540"/>
        <v>232.10773062330622</v>
      </c>
      <c r="X217" s="32">
        <f t="shared" si="540"/>
        <v>330.09480754638298</v>
      </c>
      <c r="Y217" s="32">
        <f t="shared" si="540"/>
        <v>430.66049175690932</v>
      </c>
      <c r="Z217" s="32">
        <f t="shared" si="540"/>
        <v>533.94416743258512</v>
      </c>
      <c r="AA217" s="32">
        <f t="shared" si="540"/>
        <v>190.32644785233936</v>
      </c>
      <c r="AB217" s="32">
        <f t="shared" si="540"/>
        <v>-337.5570051910139</v>
      </c>
      <c r="AC217" s="32">
        <f t="shared" si="540"/>
        <v>-857.92005712131299</v>
      </c>
      <c r="AD217" s="32">
        <f t="shared" si="540"/>
        <v>-1366.4524191337503</v>
      </c>
      <c r="AE217" s="32">
        <f t="shared" si="540"/>
        <v>-1858.919118540995</v>
      </c>
      <c r="AF217" s="32">
        <f t="shared" si="540"/>
        <v>-2331.1914046565798</v>
      </c>
      <c r="AG217" s="32">
        <f t="shared" si="540"/>
        <v>-2779.2766632061557</v>
      </c>
      <c r="AH217" s="32">
        <f t="shared" si="540"/>
        <v>-3199.347077570168</v>
      </c>
      <c r="AI217" s="32">
        <f t="shared" si="540"/>
        <v>-3587.7667767321304</v>
      </c>
      <c r="AJ217" s="32">
        <f t="shared" si="540"/>
        <v>-3633.4283222059994</v>
      </c>
      <c r="AK217" s="32">
        <f t="shared" si="540"/>
        <v>-3948.5316086740322</v>
      </c>
      <c r="AL217" s="32">
        <f t="shared" si="540"/>
        <v>-4222.4715845220644</v>
      </c>
      <c r="AM217" s="32">
        <f t="shared" si="540"/>
        <v>-4836.6883041023102</v>
      </c>
      <c r="AN217" s="32">
        <f t="shared" si="540"/>
        <v>-5020.6897012976315</v>
      </c>
      <c r="AO217" s="32">
        <f t="shared" ref="AO217:BT217" si="541">AO133+AO169+AO205</f>
        <v>-5156.5201208117287</v>
      </c>
      <c r="AP217" s="32">
        <f t="shared" si="541"/>
        <v>-3756.1071535880542</v>
      </c>
      <c r="AQ217" s="32">
        <f t="shared" si="541"/>
        <v>391.50217319021613</v>
      </c>
      <c r="AR217" s="32">
        <f t="shared" si="541"/>
        <v>398.18635242910022</v>
      </c>
      <c r="AS217" s="32">
        <f t="shared" si="541"/>
        <v>1216.4473376238022</v>
      </c>
      <c r="AT217" s="32">
        <f t="shared" si="541"/>
        <v>1343.8635478698641</v>
      </c>
      <c r="AU217" s="32">
        <f t="shared" si="541"/>
        <v>1482.1068702990169</v>
      </c>
      <c r="AV217" s="32">
        <f t="shared" si="541"/>
        <v>1632.3291144192328</v>
      </c>
      <c r="AW217" s="32">
        <f t="shared" si="541"/>
        <v>1795.7974121554182</v>
      </c>
      <c r="AX217" s="32">
        <f t="shared" si="541"/>
        <v>1973.9338171547927</v>
      </c>
      <c r="AY217" s="32">
        <f t="shared" si="541"/>
        <v>1649.7791519566683</v>
      </c>
      <c r="AZ217" s="32">
        <f t="shared" si="541"/>
        <v>1158.0349112515287</v>
      </c>
      <c r="BA217" s="32">
        <f t="shared" si="541"/>
        <v>691.50978548007993</v>
      </c>
      <c r="BB217" s="32">
        <f t="shared" si="541"/>
        <v>257.69968713503795</v>
      </c>
      <c r="BC217" s="32">
        <f t="shared" si="541"/>
        <v>-135.05877907943341</v>
      </c>
      <c r="BD217" s="32">
        <f t="shared" si="541"/>
        <v>-477.071867351337</v>
      </c>
      <c r="BE217" s="32">
        <f t="shared" si="541"/>
        <v>-756.31128342941383</v>
      </c>
      <c r="BF217" s="32">
        <f t="shared" si="541"/>
        <v>-956.42408180769826</v>
      </c>
      <c r="BG217" s="32">
        <f t="shared" si="541"/>
        <v>-1052.2131100441579</v>
      </c>
      <c r="BH217" s="32">
        <f t="shared" si="541"/>
        <v>-643.69060191076323</v>
      </c>
      <c r="BI217" s="32">
        <f t="shared" si="541"/>
        <v>-329.01096774677853</v>
      </c>
      <c r="BJ217" s="32">
        <f t="shared" si="541"/>
        <v>673.32683657067901</v>
      </c>
      <c r="BK217" s="32">
        <f t="shared" si="541"/>
        <v>16885.659339118549</v>
      </c>
      <c r="BL217" s="32">
        <f t="shared" si="541"/>
        <v>-5292.1903311296564</v>
      </c>
      <c r="BM217" s="32">
        <f t="shared" si="541"/>
        <v>-5438.7087198678919</v>
      </c>
      <c r="BN217" s="32">
        <f t="shared" si="541"/>
        <v>-3908.1820225885131</v>
      </c>
      <c r="BO217" s="32">
        <f t="shared" si="541"/>
        <v>657.37281686758706</v>
      </c>
      <c r="BP217" s="32">
        <f t="shared" si="541"/>
        <v>668.07760350403032</v>
      </c>
      <c r="BQ217" s="32">
        <f t="shared" si="541"/>
        <v>1601.1975044404326</v>
      </c>
      <c r="BR217" s="32">
        <f t="shared" si="541"/>
        <v>1749.0279835877193</v>
      </c>
      <c r="BS217" s="32">
        <f t="shared" si="541"/>
        <v>1909.1005985097643</v>
      </c>
      <c r="BT217" s="32">
        <f t="shared" si="541"/>
        <v>2082.7185944779362</v>
      </c>
      <c r="BU217" s="32">
        <f t="shared" ref="BU217:CZ217" si="542">BU133+BU169+BU205</f>
        <v>2271.3191590929755</v>
      </c>
      <c r="BV217" s="32">
        <f t="shared" si="542"/>
        <v>2476.519083033038</v>
      </c>
      <c r="BW217" s="32">
        <f t="shared" si="542"/>
        <v>2109.1233753807223</v>
      </c>
      <c r="BX217" s="32">
        <f t="shared" si="542"/>
        <v>44217.241820923191</v>
      </c>
      <c r="BY217" s="32">
        <f t="shared" si="542"/>
        <v>929.9420283398008</v>
      </c>
      <c r="BZ217" s="32">
        <f t="shared" si="542"/>
        <v>468.89318002080881</v>
      </c>
      <c r="CA217" s="32">
        <f t="shared" si="542"/>
        <v>53.73449819030111</v>
      </c>
      <c r="CB217" s="32">
        <f t="shared" si="542"/>
        <v>-304.66995529004225</v>
      </c>
      <c r="CC217" s="32">
        <f t="shared" si="542"/>
        <v>-592.75945835145831</v>
      </c>
      <c r="CD217" s="32">
        <f t="shared" si="542"/>
        <v>-791.98596832005978</v>
      </c>
      <c r="CE217" s="32">
        <f t="shared" si="542"/>
        <v>-873.61470104090949</v>
      </c>
      <c r="CF217" s="32">
        <f t="shared" si="542"/>
        <v>-382.6155680904053</v>
      </c>
      <c r="CG217" s="32">
        <f t="shared" si="542"/>
        <v>2.3922242072894733</v>
      </c>
      <c r="CH217" s="32">
        <f t="shared" si="542"/>
        <v>1175.2192947210679</v>
      </c>
      <c r="CI217" s="32">
        <f t="shared" si="542"/>
        <v>20315.532041873565</v>
      </c>
      <c r="CJ217" s="32">
        <f t="shared" si="542"/>
        <v>-5173.4256095005858</v>
      </c>
      <c r="CK217" s="32">
        <f t="shared" si="542"/>
        <v>-5329.5227025453951</v>
      </c>
      <c r="CL217" s="32">
        <f t="shared" si="542"/>
        <v>-3224.880421351867</v>
      </c>
      <c r="CM217" s="32">
        <f t="shared" si="542"/>
        <v>1742.4064675144832</v>
      </c>
      <c r="CN217" s="32">
        <f t="shared" si="542"/>
        <v>1757.8316717630973</v>
      </c>
      <c r="CO217" s="32">
        <f t="shared" si="542"/>
        <v>1781.2681920802588</v>
      </c>
      <c r="CP217" s="32">
        <f t="shared" si="542"/>
        <v>1813.8144400352999</v>
      </c>
      <c r="CQ217" s="32">
        <f t="shared" si="542"/>
        <v>1856.6483037704716</v>
      </c>
      <c r="CR217" s="32">
        <f t="shared" si="542"/>
        <v>1911.051998757282</v>
      </c>
      <c r="CS217" s="32">
        <f t="shared" si="542"/>
        <v>1978.4473879651318</v>
      </c>
      <c r="CT217" s="32">
        <f t="shared" si="542"/>
        <v>2060.4465190988826</v>
      </c>
      <c r="CU217" s="32">
        <f t="shared" si="542"/>
        <v>2158.9248782412892</v>
      </c>
      <c r="CV217" s="32">
        <f t="shared" si="542"/>
        <v>55495.197146764578</v>
      </c>
      <c r="CW217" s="32">
        <f t="shared" si="542"/>
        <v>2196.1313066418415</v>
      </c>
      <c r="CX217" s="32">
        <f t="shared" si="542"/>
        <v>2359.9296815402831</v>
      </c>
      <c r="CY217" s="32">
        <f t="shared" si="542"/>
        <v>2553.5990565456705</v>
      </c>
      <c r="CZ217" s="32">
        <f t="shared" si="542"/>
        <v>2783.8568559611026</v>
      </c>
      <c r="DA217" s="32">
        <f t="shared" ref="DA217:EF217" si="543">DA133+DA169+DA205</f>
        <v>3060.6720094515358</v>
      </c>
      <c r="DB217" s="32">
        <f t="shared" si="543"/>
        <v>3399.9074542110911</v>
      </c>
      <c r="DC217" s="32">
        <f t="shared" si="543"/>
        <v>3829.2667160251876</v>
      </c>
      <c r="DD217" s="32">
        <f t="shared" si="543"/>
        <v>4404.1519264771268</v>
      </c>
      <c r="DE217" s="32">
        <f t="shared" si="543"/>
        <v>5263.1663798057434</v>
      </c>
      <c r="DF217" s="32">
        <f t="shared" si="543"/>
        <v>6961.1264736407575</v>
      </c>
      <c r="DG217" s="32">
        <f t="shared" si="543"/>
        <v>29020.032358923148</v>
      </c>
      <c r="DH217" s="32">
        <f t="shared" si="543"/>
        <v>291.81891725650712</v>
      </c>
      <c r="DI217" s="32">
        <f t="shared" si="543"/>
        <v>291.81891725650712</v>
      </c>
      <c r="DJ217" s="32">
        <f t="shared" si="543"/>
        <v>291.81891725650712</v>
      </c>
      <c r="DK217" s="32">
        <f t="shared" si="543"/>
        <v>291.81891725650712</v>
      </c>
      <c r="DL217" s="32">
        <f t="shared" si="543"/>
        <v>291.81891725650712</v>
      </c>
      <c r="DM217" s="32">
        <f t="shared" si="543"/>
        <v>291.81891725650712</v>
      </c>
      <c r="DN217" s="32">
        <f t="shared" si="543"/>
        <v>291.81891725650712</v>
      </c>
      <c r="DO217" s="32">
        <f t="shared" si="543"/>
        <v>291.81891725650712</v>
      </c>
      <c r="DP217" s="32">
        <f t="shared" si="543"/>
        <v>291.81891725650712</v>
      </c>
      <c r="DQ217" s="32">
        <f t="shared" si="543"/>
        <v>291.81891725650712</v>
      </c>
      <c r="DR217" s="32">
        <f t="shared" si="543"/>
        <v>291.81891725650712</v>
      </c>
      <c r="DS217" s="32">
        <f t="shared" si="543"/>
        <v>291.81891725650712</v>
      </c>
      <c r="DT217" s="32">
        <f t="shared" si="543"/>
        <v>65337.416258923171</v>
      </c>
      <c r="DU217" s="32">
        <f t="shared" si="543"/>
        <v>0</v>
      </c>
      <c r="DV217" s="32">
        <f t="shared" si="543"/>
        <v>0</v>
      </c>
      <c r="DW217" s="32">
        <f t="shared" si="543"/>
        <v>0</v>
      </c>
      <c r="DX217" s="32">
        <f t="shared" si="543"/>
        <v>0</v>
      </c>
      <c r="DY217" s="32">
        <f t="shared" si="543"/>
        <v>0</v>
      </c>
      <c r="DZ217" s="32">
        <f t="shared" si="543"/>
        <v>0</v>
      </c>
      <c r="EA217" s="32">
        <f t="shared" si="543"/>
        <v>0</v>
      </c>
      <c r="EB217" s="32">
        <f t="shared" si="543"/>
        <v>0</v>
      </c>
      <c r="EC217" s="32">
        <f t="shared" si="543"/>
        <v>0</v>
      </c>
      <c r="ED217" s="32">
        <f t="shared" si="543"/>
        <v>0</v>
      </c>
      <c r="EE217" s="32">
        <f t="shared" si="543"/>
        <v>0</v>
      </c>
      <c r="EF217" s="32">
        <f t="shared" si="543"/>
        <v>0</v>
      </c>
      <c r="EG217" s="32">
        <f t="shared" ref="EG217:FH217" si="544">EG133+EG169+EG205</f>
        <v>0</v>
      </c>
      <c r="EH217" s="32">
        <f t="shared" si="544"/>
        <v>0</v>
      </c>
      <c r="EI217" s="32">
        <f t="shared" si="544"/>
        <v>0</v>
      </c>
      <c r="EJ217" s="32">
        <f t="shared" si="544"/>
        <v>0</v>
      </c>
      <c r="EK217" s="32">
        <f t="shared" si="544"/>
        <v>0</v>
      </c>
      <c r="EL217" s="32">
        <f t="shared" si="544"/>
        <v>0</v>
      </c>
      <c r="EM217" s="32">
        <f t="shared" si="544"/>
        <v>0</v>
      </c>
      <c r="EN217" s="32">
        <f t="shared" si="544"/>
        <v>0</v>
      </c>
      <c r="EO217" s="32">
        <f t="shared" si="544"/>
        <v>0</v>
      </c>
      <c r="EP217" s="32">
        <f t="shared" si="544"/>
        <v>0</v>
      </c>
      <c r="EQ217" s="32">
        <f t="shared" si="544"/>
        <v>0</v>
      </c>
      <c r="ER217" s="32">
        <f t="shared" si="544"/>
        <v>0</v>
      </c>
      <c r="ES217" s="32">
        <f t="shared" si="544"/>
        <v>0</v>
      </c>
      <c r="ET217" s="32">
        <f t="shared" si="544"/>
        <v>0</v>
      </c>
      <c r="EU217" s="32">
        <f t="shared" si="544"/>
        <v>0</v>
      </c>
      <c r="EV217" s="32">
        <f t="shared" si="544"/>
        <v>0</v>
      </c>
      <c r="EW217" s="32">
        <f t="shared" si="544"/>
        <v>0</v>
      </c>
      <c r="EX217" s="32">
        <f t="shared" si="544"/>
        <v>0</v>
      </c>
      <c r="EY217" s="32">
        <f t="shared" si="544"/>
        <v>0</v>
      </c>
      <c r="EZ217" s="32">
        <f t="shared" si="544"/>
        <v>0</v>
      </c>
      <c r="FA217" s="32">
        <f t="shared" si="544"/>
        <v>0</v>
      </c>
      <c r="FB217" s="32">
        <f t="shared" si="544"/>
        <v>0</v>
      </c>
      <c r="FC217" s="32">
        <f t="shared" si="544"/>
        <v>0</v>
      </c>
      <c r="FD217" s="32">
        <f t="shared" si="544"/>
        <v>0</v>
      </c>
      <c r="FE217" s="32">
        <f t="shared" si="544"/>
        <v>0</v>
      </c>
      <c r="FF217" s="32">
        <f t="shared" si="544"/>
        <v>0</v>
      </c>
      <c r="FG217" s="32">
        <f t="shared" si="544"/>
        <v>0</v>
      </c>
      <c r="FH217" s="32">
        <f t="shared" si="544"/>
        <v>0</v>
      </c>
    </row>
    <row r="218" spans="1:164" x14ac:dyDescent="0.2">
      <c r="A218" s="10"/>
      <c r="B218" s="10"/>
      <c r="C218" s="10" t="s">
        <v>918</v>
      </c>
      <c r="D218" s="10"/>
      <c r="E218" s="10"/>
      <c r="F218" s="10"/>
      <c r="G218" s="10"/>
      <c r="H218" s="12"/>
      <c r="I218" s="12">
        <f>I217</f>
        <v>0</v>
      </c>
      <c r="J218" s="12">
        <f t="shared" ref="J218:AO218" si="545">I218+J217</f>
        <v>0</v>
      </c>
      <c r="K218" s="12">
        <f t="shared" si="545"/>
        <v>0</v>
      </c>
      <c r="L218" s="12">
        <f t="shared" si="545"/>
        <v>0</v>
      </c>
      <c r="M218" s="12">
        <f t="shared" si="545"/>
        <v>0</v>
      </c>
      <c r="N218" s="12">
        <f t="shared" si="545"/>
        <v>0</v>
      </c>
      <c r="O218" s="12">
        <f t="shared" si="545"/>
        <v>-349.16</v>
      </c>
      <c r="P218" s="12">
        <f t="shared" si="545"/>
        <v>-698.32</v>
      </c>
      <c r="Q218" s="12">
        <f t="shared" si="545"/>
        <v>-1047.48</v>
      </c>
      <c r="R218" s="12">
        <f t="shared" si="545"/>
        <v>-1704.328888888889</v>
      </c>
      <c r="S218" s="12">
        <f t="shared" si="545"/>
        <v>-2361.1777777777779</v>
      </c>
      <c r="T218" s="12">
        <f t="shared" si="545"/>
        <v>-3018.0266666666666</v>
      </c>
      <c r="U218" s="12">
        <f t="shared" si="545"/>
        <v>-2974.6635555555558</v>
      </c>
      <c r="V218" s="12">
        <f t="shared" si="545"/>
        <v>-2838.0932249322495</v>
      </c>
      <c r="W218" s="12">
        <f t="shared" si="545"/>
        <v>-2605.9854943089431</v>
      </c>
      <c r="X218" s="12">
        <f t="shared" si="545"/>
        <v>-2275.8906867625601</v>
      </c>
      <c r="Y218" s="12">
        <f t="shared" si="545"/>
        <v>-1845.2301950056508</v>
      </c>
      <c r="Z218" s="12">
        <f t="shared" si="545"/>
        <v>-1311.2860275730657</v>
      </c>
      <c r="AA218" s="12">
        <f t="shared" si="545"/>
        <v>-1120.9595797207262</v>
      </c>
      <c r="AB218" s="12">
        <f t="shared" si="545"/>
        <v>-1458.5165849117402</v>
      </c>
      <c r="AC218" s="12">
        <f t="shared" si="545"/>
        <v>-2316.4366420330534</v>
      </c>
      <c r="AD218" s="12">
        <f t="shared" si="545"/>
        <v>-3682.8890611668039</v>
      </c>
      <c r="AE218" s="12">
        <f t="shared" si="545"/>
        <v>-5541.8081797077994</v>
      </c>
      <c r="AF218" s="12">
        <f t="shared" si="545"/>
        <v>-7872.9995843643792</v>
      </c>
      <c r="AG218" s="12">
        <f t="shared" si="545"/>
        <v>-10652.276247570535</v>
      </c>
      <c r="AH218" s="12">
        <f t="shared" si="545"/>
        <v>-13851.623325140703</v>
      </c>
      <c r="AI218" s="12">
        <f t="shared" si="545"/>
        <v>-17439.390101872832</v>
      </c>
      <c r="AJ218" s="12">
        <f t="shared" si="545"/>
        <v>-21072.818424078832</v>
      </c>
      <c r="AK218" s="12">
        <f t="shared" si="545"/>
        <v>-25021.350032752864</v>
      </c>
      <c r="AL218" s="12">
        <f t="shared" si="545"/>
        <v>-29243.821617274927</v>
      </c>
      <c r="AM218" s="12">
        <f t="shared" si="545"/>
        <v>-34080.509921377234</v>
      </c>
      <c r="AN218" s="12">
        <f t="shared" si="545"/>
        <v>-39101.199622674867</v>
      </c>
      <c r="AO218" s="12">
        <f t="shared" si="545"/>
        <v>-44257.719743486596</v>
      </c>
      <c r="AP218" s="12">
        <f t="shared" ref="AP218:BU218" si="546">AO218+AP217</f>
        <v>-48013.82689707465</v>
      </c>
      <c r="AQ218" s="12">
        <f t="shared" si="546"/>
        <v>-47622.324723884434</v>
      </c>
      <c r="AR218" s="12">
        <f t="shared" si="546"/>
        <v>-47224.138371455338</v>
      </c>
      <c r="AS218" s="12">
        <f t="shared" si="546"/>
        <v>-46007.691033831536</v>
      </c>
      <c r="AT218" s="12">
        <f t="shared" si="546"/>
        <v>-44663.827485961672</v>
      </c>
      <c r="AU218" s="12">
        <f t="shared" si="546"/>
        <v>-43181.720615662656</v>
      </c>
      <c r="AV218" s="12">
        <f t="shared" si="546"/>
        <v>-41549.391501243423</v>
      </c>
      <c r="AW218" s="12">
        <f t="shared" si="546"/>
        <v>-39753.594089088001</v>
      </c>
      <c r="AX218" s="12">
        <f t="shared" si="546"/>
        <v>-37779.660271933208</v>
      </c>
      <c r="AY218" s="12">
        <f t="shared" si="546"/>
        <v>-36129.881119976541</v>
      </c>
      <c r="AZ218" s="12">
        <f t="shared" si="546"/>
        <v>-34971.846208725008</v>
      </c>
      <c r="BA218" s="12">
        <f t="shared" si="546"/>
        <v>-34280.336423244931</v>
      </c>
      <c r="BB218" s="12">
        <f t="shared" si="546"/>
        <v>-34022.636736109896</v>
      </c>
      <c r="BC218" s="12">
        <f t="shared" si="546"/>
        <v>-34157.695515189327</v>
      </c>
      <c r="BD218" s="12">
        <f t="shared" si="546"/>
        <v>-34634.767382540667</v>
      </c>
      <c r="BE218" s="12">
        <f t="shared" si="546"/>
        <v>-35391.078665970083</v>
      </c>
      <c r="BF218" s="12">
        <f t="shared" si="546"/>
        <v>-36347.502747777784</v>
      </c>
      <c r="BG218" s="12">
        <f t="shared" si="546"/>
        <v>-37399.715857821939</v>
      </c>
      <c r="BH218" s="12">
        <f t="shared" si="546"/>
        <v>-38043.406459732701</v>
      </c>
      <c r="BI218" s="12">
        <f t="shared" si="546"/>
        <v>-38372.417427479479</v>
      </c>
      <c r="BJ218" s="12">
        <f t="shared" si="546"/>
        <v>-37699.090590908803</v>
      </c>
      <c r="BK218" s="12">
        <f t="shared" si="546"/>
        <v>-20813.431251790254</v>
      </c>
      <c r="BL218" s="12">
        <f t="shared" si="546"/>
        <v>-26105.62158291991</v>
      </c>
      <c r="BM218" s="12">
        <f t="shared" si="546"/>
        <v>-31544.330302787803</v>
      </c>
      <c r="BN218" s="12">
        <f t="shared" si="546"/>
        <v>-35452.512325376316</v>
      </c>
      <c r="BO218" s="12">
        <f t="shared" si="546"/>
        <v>-34795.139508508728</v>
      </c>
      <c r="BP218" s="12">
        <f t="shared" si="546"/>
        <v>-34127.061905004695</v>
      </c>
      <c r="BQ218" s="12">
        <f t="shared" si="546"/>
        <v>-32525.864400564264</v>
      </c>
      <c r="BR218" s="12">
        <f t="shared" si="546"/>
        <v>-30776.836416976545</v>
      </c>
      <c r="BS218" s="12">
        <f t="shared" si="546"/>
        <v>-28867.735818466779</v>
      </c>
      <c r="BT218" s="12">
        <f t="shared" si="546"/>
        <v>-26785.017223988842</v>
      </c>
      <c r="BU218" s="12">
        <f t="shared" si="546"/>
        <v>-24513.698064895867</v>
      </c>
      <c r="BV218" s="12">
        <f t="shared" ref="BV218:DA218" si="547">BU218+BV217</f>
        <v>-22037.178981862828</v>
      </c>
      <c r="BW218" s="12">
        <f t="shared" si="547"/>
        <v>-19928.055606482107</v>
      </c>
      <c r="BX218" s="12">
        <f t="shared" si="547"/>
        <v>24289.186214441084</v>
      </c>
      <c r="BY218" s="12">
        <f t="shared" si="547"/>
        <v>25219.128242780884</v>
      </c>
      <c r="BZ218" s="12">
        <f t="shared" si="547"/>
        <v>25688.021422801692</v>
      </c>
      <c r="CA218" s="12">
        <f t="shared" si="547"/>
        <v>25741.755920991993</v>
      </c>
      <c r="CB218" s="12">
        <f t="shared" si="547"/>
        <v>25437.08596570195</v>
      </c>
      <c r="CC218" s="12">
        <f t="shared" si="547"/>
        <v>24844.326507350492</v>
      </c>
      <c r="CD218" s="12">
        <f t="shared" si="547"/>
        <v>24052.340539030432</v>
      </c>
      <c r="CE218" s="12">
        <f t="shared" si="547"/>
        <v>23178.725837989521</v>
      </c>
      <c r="CF218" s="12">
        <f t="shared" si="547"/>
        <v>22796.110269899116</v>
      </c>
      <c r="CG218" s="12">
        <f t="shared" si="547"/>
        <v>22798.502494106404</v>
      </c>
      <c r="CH218" s="12">
        <f t="shared" si="547"/>
        <v>23973.721788827472</v>
      </c>
      <c r="CI218" s="12">
        <f t="shared" si="547"/>
        <v>44289.25383070104</v>
      </c>
      <c r="CJ218" s="12">
        <f t="shared" si="547"/>
        <v>39115.828221200456</v>
      </c>
      <c r="CK218" s="12">
        <f t="shared" si="547"/>
        <v>33786.305518655063</v>
      </c>
      <c r="CL218" s="12">
        <f t="shared" si="547"/>
        <v>30561.425097303196</v>
      </c>
      <c r="CM218" s="12">
        <f t="shared" si="547"/>
        <v>32303.831564817679</v>
      </c>
      <c r="CN218" s="12">
        <f t="shared" si="547"/>
        <v>34061.663236580775</v>
      </c>
      <c r="CO218" s="12">
        <f t="shared" si="547"/>
        <v>35842.931428661032</v>
      </c>
      <c r="CP218" s="12">
        <f t="shared" si="547"/>
        <v>37656.745868696329</v>
      </c>
      <c r="CQ218" s="12">
        <f t="shared" si="547"/>
        <v>39513.394172466804</v>
      </c>
      <c r="CR218" s="12">
        <f t="shared" si="547"/>
        <v>41424.446171224088</v>
      </c>
      <c r="CS218" s="12">
        <f t="shared" si="547"/>
        <v>43402.893559189222</v>
      </c>
      <c r="CT218" s="12">
        <f t="shared" si="547"/>
        <v>45463.340078288107</v>
      </c>
      <c r="CU218" s="12">
        <f t="shared" si="547"/>
        <v>47622.264956529398</v>
      </c>
      <c r="CV218" s="12">
        <f t="shared" si="547"/>
        <v>103117.46210329398</v>
      </c>
      <c r="CW218" s="12">
        <f t="shared" si="547"/>
        <v>105313.59340993581</v>
      </c>
      <c r="CX218" s="12">
        <f t="shared" si="547"/>
        <v>107673.52309147609</v>
      </c>
      <c r="CY218" s="12">
        <f t="shared" si="547"/>
        <v>110227.12214802176</v>
      </c>
      <c r="CZ218" s="12">
        <f t="shared" si="547"/>
        <v>113010.97900398287</v>
      </c>
      <c r="DA218" s="12">
        <f t="shared" si="547"/>
        <v>116071.6510134344</v>
      </c>
      <c r="DB218" s="12">
        <f t="shared" ref="DB218:EG218" si="548">DA218+DB217</f>
        <v>119471.55846764549</v>
      </c>
      <c r="DC218" s="12">
        <f t="shared" si="548"/>
        <v>123300.82518367068</v>
      </c>
      <c r="DD218" s="12">
        <f t="shared" si="548"/>
        <v>127704.9771101478</v>
      </c>
      <c r="DE218" s="12">
        <f t="shared" si="548"/>
        <v>132968.14348995354</v>
      </c>
      <c r="DF218" s="12">
        <f t="shared" si="548"/>
        <v>139929.2699635943</v>
      </c>
      <c r="DG218" s="12">
        <f t="shared" si="548"/>
        <v>168949.30232251744</v>
      </c>
      <c r="DH218" s="12">
        <f t="shared" si="548"/>
        <v>169241.12123977396</v>
      </c>
      <c r="DI218" s="12">
        <f t="shared" si="548"/>
        <v>169532.94015703048</v>
      </c>
      <c r="DJ218" s="12">
        <f t="shared" si="548"/>
        <v>169824.75907428699</v>
      </c>
      <c r="DK218" s="12">
        <f t="shared" si="548"/>
        <v>170116.57799154351</v>
      </c>
      <c r="DL218" s="12">
        <f t="shared" si="548"/>
        <v>170408.39690880003</v>
      </c>
      <c r="DM218" s="12">
        <f t="shared" si="548"/>
        <v>170700.21582605655</v>
      </c>
      <c r="DN218" s="12">
        <f t="shared" si="548"/>
        <v>170992.03474331307</v>
      </c>
      <c r="DO218" s="12">
        <f t="shared" si="548"/>
        <v>171283.85366056958</v>
      </c>
      <c r="DP218" s="12">
        <f t="shared" si="548"/>
        <v>171575.6725778261</v>
      </c>
      <c r="DQ218" s="12">
        <f t="shared" si="548"/>
        <v>171867.49149508262</v>
      </c>
      <c r="DR218" s="12">
        <f t="shared" si="548"/>
        <v>172159.31041233914</v>
      </c>
      <c r="DS218" s="12">
        <f t="shared" si="548"/>
        <v>172451.12932959566</v>
      </c>
      <c r="DT218" s="12">
        <f t="shared" si="548"/>
        <v>237788.54558851884</v>
      </c>
      <c r="DU218" s="12">
        <f t="shared" si="548"/>
        <v>237788.54558851884</v>
      </c>
      <c r="DV218" s="12">
        <f t="shared" si="548"/>
        <v>237788.54558851884</v>
      </c>
      <c r="DW218" s="12">
        <f t="shared" si="548"/>
        <v>237788.54558851884</v>
      </c>
      <c r="DX218" s="12">
        <f t="shared" si="548"/>
        <v>237788.54558851884</v>
      </c>
      <c r="DY218" s="12">
        <f t="shared" si="548"/>
        <v>237788.54558851884</v>
      </c>
      <c r="DZ218" s="12">
        <f t="shared" si="548"/>
        <v>237788.54558851884</v>
      </c>
      <c r="EA218" s="12">
        <f t="shared" si="548"/>
        <v>237788.54558851884</v>
      </c>
      <c r="EB218" s="12">
        <f t="shared" si="548"/>
        <v>237788.54558851884</v>
      </c>
      <c r="EC218" s="12">
        <f t="shared" si="548"/>
        <v>237788.54558851884</v>
      </c>
      <c r="ED218" s="12">
        <f t="shared" si="548"/>
        <v>237788.54558851884</v>
      </c>
      <c r="EE218" s="12">
        <f t="shared" si="548"/>
        <v>237788.54558851884</v>
      </c>
      <c r="EF218" s="12">
        <f t="shared" si="548"/>
        <v>237788.54558851884</v>
      </c>
      <c r="EG218" s="12">
        <f t="shared" si="548"/>
        <v>237788.54558851884</v>
      </c>
      <c r="EH218" s="12">
        <f t="shared" ref="EH218:FH218" si="549">EG218+EH217</f>
        <v>237788.54558851884</v>
      </c>
      <c r="EI218" s="12">
        <f t="shared" si="549"/>
        <v>237788.54558851884</v>
      </c>
      <c r="EJ218" s="12">
        <f t="shared" si="549"/>
        <v>237788.54558851884</v>
      </c>
      <c r="EK218" s="12">
        <f t="shared" si="549"/>
        <v>237788.54558851884</v>
      </c>
      <c r="EL218" s="12">
        <f t="shared" si="549"/>
        <v>237788.54558851884</v>
      </c>
      <c r="EM218" s="12">
        <f t="shared" si="549"/>
        <v>237788.54558851884</v>
      </c>
      <c r="EN218" s="12">
        <f t="shared" si="549"/>
        <v>237788.54558851884</v>
      </c>
      <c r="EO218" s="12">
        <f t="shared" si="549"/>
        <v>237788.54558851884</v>
      </c>
      <c r="EP218" s="12">
        <f t="shared" si="549"/>
        <v>237788.54558851884</v>
      </c>
      <c r="EQ218" s="12">
        <f t="shared" si="549"/>
        <v>237788.54558851884</v>
      </c>
      <c r="ER218" s="12">
        <f t="shared" si="549"/>
        <v>237788.54558851884</v>
      </c>
      <c r="ES218" s="12">
        <f t="shared" si="549"/>
        <v>237788.54558851884</v>
      </c>
      <c r="ET218" s="12">
        <f t="shared" si="549"/>
        <v>237788.54558851884</v>
      </c>
      <c r="EU218" s="12">
        <f t="shared" si="549"/>
        <v>237788.54558851884</v>
      </c>
      <c r="EV218" s="12">
        <f t="shared" si="549"/>
        <v>237788.54558851884</v>
      </c>
      <c r="EW218" s="12">
        <f t="shared" si="549"/>
        <v>237788.54558851884</v>
      </c>
      <c r="EX218" s="12">
        <f t="shared" si="549"/>
        <v>237788.54558851884</v>
      </c>
      <c r="EY218" s="12">
        <f t="shared" si="549"/>
        <v>237788.54558851884</v>
      </c>
      <c r="EZ218" s="12">
        <f t="shared" si="549"/>
        <v>237788.54558851884</v>
      </c>
      <c r="FA218" s="12">
        <f t="shared" si="549"/>
        <v>237788.54558851884</v>
      </c>
      <c r="FB218" s="12">
        <f t="shared" si="549"/>
        <v>237788.54558851884</v>
      </c>
      <c r="FC218" s="12">
        <f t="shared" si="549"/>
        <v>237788.54558851884</v>
      </c>
      <c r="FD218" s="12">
        <f t="shared" si="549"/>
        <v>237788.54558851884</v>
      </c>
      <c r="FE218" s="12">
        <f t="shared" si="549"/>
        <v>237788.54558851884</v>
      </c>
      <c r="FF218" s="12">
        <f t="shared" si="549"/>
        <v>237788.54558851884</v>
      </c>
      <c r="FG218" s="12">
        <f t="shared" si="549"/>
        <v>237788.54558851884</v>
      </c>
      <c r="FH218" s="12">
        <f t="shared" si="549"/>
        <v>237788.54558851884</v>
      </c>
    </row>
    <row r="219" spans="1:164" x14ac:dyDescent="0.2">
      <c r="A219" s="10"/>
      <c r="B219" s="70" t="s">
        <v>926</v>
      </c>
      <c r="C219" s="70"/>
      <c r="D219" s="70"/>
      <c r="E219" s="70"/>
      <c r="F219" s="70"/>
      <c r="G219" s="70"/>
      <c r="H219" s="56">
        <f>SUM(I219:FH219)</f>
        <v>237788.54558851884</v>
      </c>
      <c r="I219" s="56">
        <f t="shared" ref="I219:AN219" si="550">I135+I171+I207</f>
        <v>0</v>
      </c>
      <c r="J219" s="56">
        <f t="shared" si="550"/>
        <v>0</v>
      </c>
      <c r="K219" s="56">
        <f t="shared" si="550"/>
        <v>0</v>
      </c>
      <c r="L219" s="56">
        <f t="shared" si="550"/>
        <v>0</v>
      </c>
      <c r="M219" s="56">
        <f t="shared" si="550"/>
        <v>0</v>
      </c>
      <c r="N219" s="56">
        <f t="shared" si="550"/>
        <v>0</v>
      </c>
      <c r="O219" s="56">
        <f t="shared" si="550"/>
        <v>-349.16</v>
      </c>
      <c r="P219" s="56">
        <f t="shared" si="550"/>
        <v>-349.16</v>
      </c>
      <c r="Q219" s="56">
        <f t="shared" si="550"/>
        <v>-349.16</v>
      </c>
      <c r="R219" s="56">
        <f t="shared" si="550"/>
        <v>-656.84888888888895</v>
      </c>
      <c r="S219" s="56">
        <f t="shared" si="550"/>
        <v>-656.84888888888895</v>
      </c>
      <c r="T219" s="56">
        <f t="shared" si="550"/>
        <v>-656.84888888888895</v>
      </c>
      <c r="U219" s="56">
        <f t="shared" si="550"/>
        <v>43.363111111111039</v>
      </c>
      <c r="V219" s="56">
        <f t="shared" si="550"/>
        <v>136.57033062330606</v>
      </c>
      <c r="W219" s="56">
        <f t="shared" si="550"/>
        <v>232.10773062330622</v>
      </c>
      <c r="X219" s="56">
        <f t="shared" si="550"/>
        <v>330.09480754638298</v>
      </c>
      <c r="Y219" s="56">
        <f t="shared" si="550"/>
        <v>430.66049175690932</v>
      </c>
      <c r="Z219" s="56">
        <f t="shared" si="550"/>
        <v>533.94416743258512</v>
      </c>
      <c r="AA219" s="56">
        <f t="shared" si="550"/>
        <v>190.32644785233936</v>
      </c>
      <c r="AB219" s="56">
        <f t="shared" si="550"/>
        <v>-337.5570051910139</v>
      </c>
      <c r="AC219" s="56">
        <f t="shared" si="550"/>
        <v>-857.92005712131299</v>
      </c>
      <c r="AD219" s="56">
        <f t="shared" si="550"/>
        <v>-1366.4524191337503</v>
      </c>
      <c r="AE219" s="56">
        <f t="shared" si="550"/>
        <v>-1858.919118540995</v>
      </c>
      <c r="AF219" s="56">
        <f t="shared" si="550"/>
        <v>-2331.1914046565798</v>
      </c>
      <c r="AG219" s="56">
        <f t="shared" si="550"/>
        <v>-2779.2766632061557</v>
      </c>
      <c r="AH219" s="56">
        <f t="shared" si="550"/>
        <v>-3199.347077570168</v>
      </c>
      <c r="AI219" s="56">
        <f t="shared" si="550"/>
        <v>-3587.7667767321304</v>
      </c>
      <c r="AJ219" s="56">
        <f t="shared" si="550"/>
        <v>-3633.4283222059994</v>
      </c>
      <c r="AK219" s="56">
        <f t="shared" si="550"/>
        <v>-3948.5316086740322</v>
      </c>
      <c r="AL219" s="56">
        <f t="shared" si="550"/>
        <v>-4222.4715845220644</v>
      </c>
      <c r="AM219" s="56">
        <f t="shared" si="550"/>
        <v>-4836.6883041023102</v>
      </c>
      <c r="AN219" s="56">
        <f t="shared" si="550"/>
        <v>-5020.6897012976315</v>
      </c>
      <c r="AO219" s="56">
        <f t="shared" ref="AO219:BT219" si="551">AO135+AO171+AO207</f>
        <v>-5156.5201208117287</v>
      </c>
      <c r="AP219" s="56">
        <f t="shared" si="551"/>
        <v>-3756.1071535880542</v>
      </c>
      <c r="AQ219" s="56">
        <f t="shared" si="551"/>
        <v>391.50217319021613</v>
      </c>
      <c r="AR219" s="56">
        <f t="shared" si="551"/>
        <v>398.18635242910022</v>
      </c>
      <c r="AS219" s="56">
        <f t="shared" si="551"/>
        <v>1216.4473376238022</v>
      </c>
      <c r="AT219" s="56">
        <f t="shared" si="551"/>
        <v>1343.8635478698641</v>
      </c>
      <c r="AU219" s="56">
        <f t="shared" si="551"/>
        <v>1482.1068702990169</v>
      </c>
      <c r="AV219" s="56">
        <f t="shared" si="551"/>
        <v>1632.3291144192328</v>
      </c>
      <c r="AW219" s="56">
        <f t="shared" si="551"/>
        <v>1795.7974121554182</v>
      </c>
      <c r="AX219" s="56">
        <f t="shared" si="551"/>
        <v>1973.9338171547927</v>
      </c>
      <c r="AY219" s="56">
        <f t="shared" si="551"/>
        <v>1649.7791519566683</v>
      </c>
      <c r="AZ219" s="56">
        <f t="shared" si="551"/>
        <v>1158.0349112515287</v>
      </c>
      <c r="BA219" s="56">
        <f t="shared" si="551"/>
        <v>691.50978548007993</v>
      </c>
      <c r="BB219" s="56">
        <f t="shared" si="551"/>
        <v>257.69968713503795</v>
      </c>
      <c r="BC219" s="56">
        <f t="shared" si="551"/>
        <v>-135.05877907943341</v>
      </c>
      <c r="BD219" s="56">
        <f t="shared" si="551"/>
        <v>-477.071867351337</v>
      </c>
      <c r="BE219" s="56">
        <f t="shared" si="551"/>
        <v>-756.31128342941383</v>
      </c>
      <c r="BF219" s="56">
        <f t="shared" si="551"/>
        <v>-956.42408180769826</v>
      </c>
      <c r="BG219" s="56">
        <f t="shared" si="551"/>
        <v>-1052.2131100441579</v>
      </c>
      <c r="BH219" s="56">
        <f t="shared" si="551"/>
        <v>-643.69060191076323</v>
      </c>
      <c r="BI219" s="56">
        <f t="shared" si="551"/>
        <v>-329.01096774677853</v>
      </c>
      <c r="BJ219" s="56">
        <f t="shared" si="551"/>
        <v>673.32683657067901</v>
      </c>
      <c r="BK219" s="56">
        <f t="shared" si="551"/>
        <v>16885.659339118549</v>
      </c>
      <c r="BL219" s="56">
        <f t="shared" si="551"/>
        <v>-5292.1903311296564</v>
      </c>
      <c r="BM219" s="56">
        <f t="shared" si="551"/>
        <v>-5438.7087198678919</v>
      </c>
      <c r="BN219" s="56">
        <f t="shared" si="551"/>
        <v>-3908.1820225885131</v>
      </c>
      <c r="BO219" s="56">
        <f t="shared" si="551"/>
        <v>657.37281686758706</v>
      </c>
      <c r="BP219" s="56">
        <f t="shared" si="551"/>
        <v>668.07760350403032</v>
      </c>
      <c r="BQ219" s="56">
        <f t="shared" si="551"/>
        <v>1601.1975044404326</v>
      </c>
      <c r="BR219" s="56">
        <f t="shared" si="551"/>
        <v>1749.0279835877193</v>
      </c>
      <c r="BS219" s="56">
        <f t="shared" si="551"/>
        <v>1909.1005985097643</v>
      </c>
      <c r="BT219" s="56">
        <f t="shared" si="551"/>
        <v>2082.7185944779362</v>
      </c>
      <c r="BU219" s="56">
        <f t="shared" ref="BU219:CZ219" si="552">BU135+BU171+BU207</f>
        <v>2271.3191590929755</v>
      </c>
      <c r="BV219" s="56">
        <f t="shared" si="552"/>
        <v>2476.519083033038</v>
      </c>
      <c r="BW219" s="56">
        <f t="shared" si="552"/>
        <v>2109.1233753807223</v>
      </c>
      <c r="BX219" s="56">
        <f t="shared" si="552"/>
        <v>44217.241820923191</v>
      </c>
      <c r="BY219" s="56">
        <f t="shared" si="552"/>
        <v>929.9420283398008</v>
      </c>
      <c r="BZ219" s="56">
        <f t="shared" si="552"/>
        <v>468.89318002080881</v>
      </c>
      <c r="CA219" s="56">
        <f t="shared" si="552"/>
        <v>53.73449819030111</v>
      </c>
      <c r="CB219" s="56">
        <f t="shared" si="552"/>
        <v>-304.66995529004225</v>
      </c>
      <c r="CC219" s="56">
        <f t="shared" si="552"/>
        <v>-592.75945835145831</v>
      </c>
      <c r="CD219" s="56">
        <f t="shared" si="552"/>
        <v>-791.98596832005978</v>
      </c>
      <c r="CE219" s="56">
        <f t="shared" si="552"/>
        <v>-873.61470104090949</v>
      </c>
      <c r="CF219" s="56">
        <f t="shared" si="552"/>
        <v>-382.6155680904053</v>
      </c>
      <c r="CG219" s="56">
        <f t="shared" si="552"/>
        <v>2.3922242072894733</v>
      </c>
      <c r="CH219" s="56">
        <f t="shared" si="552"/>
        <v>1175.2192947210679</v>
      </c>
      <c r="CI219" s="56">
        <f t="shared" si="552"/>
        <v>20315.532041873565</v>
      </c>
      <c r="CJ219" s="56">
        <f t="shared" si="552"/>
        <v>-5173.4256095005858</v>
      </c>
      <c r="CK219" s="56">
        <f t="shared" si="552"/>
        <v>-5329.5227025453951</v>
      </c>
      <c r="CL219" s="56">
        <f t="shared" si="552"/>
        <v>-3224.880421351867</v>
      </c>
      <c r="CM219" s="56">
        <f t="shared" si="552"/>
        <v>1742.4064675144832</v>
      </c>
      <c r="CN219" s="56">
        <f t="shared" si="552"/>
        <v>1757.8316717630973</v>
      </c>
      <c r="CO219" s="56">
        <f t="shared" si="552"/>
        <v>1781.2681920802588</v>
      </c>
      <c r="CP219" s="56">
        <f t="shared" si="552"/>
        <v>1813.8144400352999</v>
      </c>
      <c r="CQ219" s="56">
        <f t="shared" si="552"/>
        <v>1856.6483037704716</v>
      </c>
      <c r="CR219" s="56">
        <f t="shared" si="552"/>
        <v>1911.051998757282</v>
      </c>
      <c r="CS219" s="56">
        <f t="shared" si="552"/>
        <v>1978.4473879651318</v>
      </c>
      <c r="CT219" s="56">
        <f t="shared" si="552"/>
        <v>2060.4465190988826</v>
      </c>
      <c r="CU219" s="56">
        <f t="shared" si="552"/>
        <v>2158.9248782412892</v>
      </c>
      <c r="CV219" s="56">
        <f t="shared" si="552"/>
        <v>55495.197146764578</v>
      </c>
      <c r="CW219" s="56">
        <f t="shared" si="552"/>
        <v>2196.1313066418415</v>
      </c>
      <c r="CX219" s="56">
        <f t="shared" si="552"/>
        <v>2359.9296815402831</v>
      </c>
      <c r="CY219" s="56">
        <f t="shared" si="552"/>
        <v>2553.5990565456705</v>
      </c>
      <c r="CZ219" s="56">
        <f t="shared" si="552"/>
        <v>2783.8568559611026</v>
      </c>
      <c r="DA219" s="56">
        <f t="shared" ref="DA219:EF219" si="553">DA135+DA171+DA207</f>
        <v>3060.6720094515358</v>
      </c>
      <c r="DB219" s="56">
        <f t="shared" si="553"/>
        <v>3399.9074542110911</v>
      </c>
      <c r="DC219" s="56">
        <f t="shared" si="553"/>
        <v>3829.2667160251876</v>
      </c>
      <c r="DD219" s="56">
        <f t="shared" si="553"/>
        <v>4404.1519264771268</v>
      </c>
      <c r="DE219" s="56">
        <f t="shared" si="553"/>
        <v>5263.1663798057434</v>
      </c>
      <c r="DF219" s="56">
        <f t="shared" si="553"/>
        <v>6961.1264736407575</v>
      </c>
      <c r="DG219" s="56">
        <f t="shared" si="553"/>
        <v>29020.032358923148</v>
      </c>
      <c r="DH219" s="56">
        <f t="shared" si="553"/>
        <v>291.81891725650712</v>
      </c>
      <c r="DI219" s="56">
        <f t="shared" si="553"/>
        <v>291.81891725650712</v>
      </c>
      <c r="DJ219" s="56">
        <f t="shared" si="553"/>
        <v>291.81891725650712</v>
      </c>
      <c r="DK219" s="56">
        <f t="shared" si="553"/>
        <v>291.81891725650712</v>
      </c>
      <c r="DL219" s="56">
        <f t="shared" si="553"/>
        <v>291.81891725650712</v>
      </c>
      <c r="DM219" s="56">
        <f t="shared" si="553"/>
        <v>291.81891725650712</v>
      </c>
      <c r="DN219" s="56">
        <f t="shared" si="553"/>
        <v>291.81891725650712</v>
      </c>
      <c r="DO219" s="56">
        <f t="shared" si="553"/>
        <v>291.81891725650712</v>
      </c>
      <c r="DP219" s="56">
        <f t="shared" si="553"/>
        <v>291.81891725650712</v>
      </c>
      <c r="DQ219" s="56">
        <f t="shared" si="553"/>
        <v>291.81891725650712</v>
      </c>
      <c r="DR219" s="56">
        <f t="shared" si="553"/>
        <v>291.81891725650712</v>
      </c>
      <c r="DS219" s="56">
        <f t="shared" si="553"/>
        <v>291.81891725650712</v>
      </c>
      <c r="DT219" s="56">
        <f t="shared" si="553"/>
        <v>65337.416258923171</v>
      </c>
      <c r="DU219" s="56">
        <f t="shared" si="553"/>
        <v>0</v>
      </c>
      <c r="DV219" s="56">
        <f t="shared" si="553"/>
        <v>0</v>
      </c>
      <c r="DW219" s="56">
        <f t="shared" si="553"/>
        <v>0</v>
      </c>
      <c r="DX219" s="56">
        <f t="shared" si="553"/>
        <v>0</v>
      </c>
      <c r="DY219" s="56">
        <f t="shared" si="553"/>
        <v>0</v>
      </c>
      <c r="DZ219" s="56">
        <f t="shared" si="553"/>
        <v>0</v>
      </c>
      <c r="EA219" s="56">
        <f t="shared" si="553"/>
        <v>0</v>
      </c>
      <c r="EB219" s="56">
        <f t="shared" si="553"/>
        <v>0</v>
      </c>
      <c r="EC219" s="56">
        <f t="shared" si="553"/>
        <v>0</v>
      </c>
      <c r="ED219" s="56">
        <f t="shared" si="553"/>
        <v>0</v>
      </c>
      <c r="EE219" s="56">
        <f t="shared" si="553"/>
        <v>0</v>
      </c>
      <c r="EF219" s="56">
        <f t="shared" si="553"/>
        <v>0</v>
      </c>
      <c r="EG219" s="56">
        <f t="shared" ref="EG219:FH219" si="554">EG135+EG171+EG207</f>
        <v>0</v>
      </c>
      <c r="EH219" s="56">
        <f t="shared" si="554"/>
        <v>0</v>
      </c>
      <c r="EI219" s="56">
        <f t="shared" si="554"/>
        <v>0</v>
      </c>
      <c r="EJ219" s="56">
        <f t="shared" si="554"/>
        <v>0</v>
      </c>
      <c r="EK219" s="56">
        <f t="shared" si="554"/>
        <v>0</v>
      </c>
      <c r="EL219" s="56">
        <f t="shared" si="554"/>
        <v>0</v>
      </c>
      <c r="EM219" s="56">
        <f t="shared" si="554"/>
        <v>0</v>
      </c>
      <c r="EN219" s="56">
        <f t="shared" si="554"/>
        <v>0</v>
      </c>
      <c r="EO219" s="56">
        <f t="shared" si="554"/>
        <v>0</v>
      </c>
      <c r="EP219" s="56">
        <f t="shared" si="554"/>
        <v>0</v>
      </c>
      <c r="EQ219" s="56">
        <f t="shared" si="554"/>
        <v>0</v>
      </c>
      <c r="ER219" s="56">
        <f t="shared" si="554"/>
        <v>0</v>
      </c>
      <c r="ES219" s="56">
        <f t="shared" si="554"/>
        <v>0</v>
      </c>
      <c r="ET219" s="56">
        <f t="shared" si="554"/>
        <v>0</v>
      </c>
      <c r="EU219" s="56">
        <f t="shared" si="554"/>
        <v>0</v>
      </c>
      <c r="EV219" s="56">
        <f t="shared" si="554"/>
        <v>0</v>
      </c>
      <c r="EW219" s="56">
        <f t="shared" si="554"/>
        <v>0</v>
      </c>
      <c r="EX219" s="56">
        <f t="shared" si="554"/>
        <v>0</v>
      </c>
      <c r="EY219" s="56">
        <f t="shared" si="554"/>
        <v>0</v>
      </c>
      <c r="EZ219" s="56">
        <f t="shared" si="554"/>
        <v>0</v>
      </c>
      <c r="FA219" s="56">
        <f t="shared" si="554"/>
        <v>0</v>
      </c>
      <c r="FB219" s="56">
        <f t="shared" si="554"/>
        <v>0</v>
      </c>
      <c r="FC219" s="56">
        <f t="shared" si="554"/>
        <v>0</v>
      </c>
      <c r="FD219" s="56">
        <f t="shared" si="554"/>
        <v>0</v>
      </c>
      <c r="FE219" s="56">
        <f t="shared" si="554"/>
        <v>0</v>
      </c>
      <c r="FF219" s="56">
        <f t="shared" si="554"/>
        <v>0</v>
      </c>
      <c r="FG219" s="56">
        <f t="shared" si="554"/>
        <v>0</v>
      </c>
      <c r="FH219" s="56">
        <f t="shared" si="554"/>
        <v>0</v>
      </c>
    </row>
    <row r="220" spans="1:164" x14ac:dyDescent="0.2">
      <c r="A220" s="10"/>
      <c r="B220" s="10"/>
      <c r="C220" s="10" t="s">
        <v>927</v>
      </c>
      <c r="D220" s="10"/>
      <c r="E220" s="10"/>
      <c r="F220" s="10"/>
      <c r="G220" s="10"/>
      <c r="H220" s="12"/>
      <c r="I220" s="12">
        <f>I219</f>
        <v>0</v>
      </c>
      <c r="J220" s="12">
        <f t="shared" ref="J220:AO220" si="555">I220+J219</f>
        <v>0</v>
      </c>
      <c r="K220" s="12">
        <f t="shared" si="555"/>
        <v>0</v>
      </c>
      <c r="L220" s="12">
        <f t="shared" si="555"/>
        <v>0</v>
      </c>
      <c r="M220" s="12">
        <f t="shared" si="555"/>
        <v>0</v>
      </c>
      <c r="N220" s="12">
        <f t="shared" si="555"/>
        <v>0</v>
      </c>
      <c r="O220" s="12">
        <f t="shared" si="555"/>
        <v>-349.16</v>
      </c>
      <c r="P220" s="12">
        <f t="shared" si="555"/>
        <v>-698.32</v>
      </c>
      <c r="Q220" s="12">
        <f t="shared" si="555"/>
        <v>-1047.48</v>
      </c>
      <c r="R220" s="12">
        <f t="shared" si="555"/>
        <v>-1704.328888888889</v>
      </c>
      <c r="S220" s="12">
        <f t="shared" si="555"/>
        <v>-2361.1777777777779</v>
      </c>
      <c r="T220" s="12">
        <f t="shared" si="555"/>
        <v>-3018.0266666666666</v>
      </c>
      <c r="U220" s="12">
        <f t="shared" si="555"/>
        <v>-2974.6635555555558</v>
      </c>
      <c r="V220" s="12">
        <f t="shared" si="555"/>
        <v>-2838.0932249322495</v>
      </c>
      <c r="W220" s="12">
        <f t="shared" si="555"/>
        <v>-2605.9854943089431</v>
      </c>
      <c r="X220" s="12">
        <f t="shared" si="555"/>
        <v>-2275.8906867625601</v>
      </c>
      <c r="Y220" s="12">
        <f t="shared" si="555"/>
        <v>-1845.2301950056508</v>
      </c>
      <c r="Z220" s="12">
        <f t="shared" si="555"/>
        <v>-1311.2860275730657</v>
      </c>
      <c r="AA220" s="12">
        <f t="shared" si="555"/>
        <v>-1120.9595797207262</v>
      </c>
      <c r="AB220" s="12">
        <f t="shared" si="555"/>
        <v>-1458.5165849117402</v>
      </c>
      <c r="AC220" s="12">
        <f t="shared" si="555"/>
        <v>-2316.4366420330534</v>
      </c>
      <c r="AD220" s="12">
        <f t="shared" si="555"/>
        <v>-3682.8890611668039</v>
      </c>
      <c r="AE220" s="12">
        <f t="shared" si="555"/>
        <v>-5541.8081797077994</v>
      </c>
      <c r="AF220" s="12">
        <f t="shared" si="555"/>
        <v>-7872.9995843643792</v>
      </c>
      <c r="AG220" s="12">
        <f t="shared" si="555"/>
        <v>-10652.276247570535</v>
      </c>
      <c r="AH220" s="12">
        <f t="shared" si="555"/>
        <v>-13851.623325140703</v>
      </c>
      <c r="AI220" s="12">
        <f t="shared" si="555"/>
        <v>-17439.390101872832</v>
      </c>
      <c r="AJ220" s="12">
        <f t="shared" si="555"/>
        <v>-21072.818424078832</v>
      </c>
      <c r="AK220" s="12">
        <f t="shared" si="555"/>
        <v>-25021.350032752864</v>
      </c>
      <c r="AL220" s="12">
        <f t="shared" si="555"/>
        <v>-29243.821617274927</v>
      </c>
      <c r="AM220" s="12">
        <f t="shared" si="555"/>
        <v>-34080.509921377234</v>
      </c>
      <c r="AN220" s="12">
        <f t="shared" si="555"/>
        <v>-39101.199622674867</v>
      </c>
      <c r="AO220" s="12">
        <f t="shared" si="555"/>
        <v>-44257.719743486596</v>
      </c>
      <c r="AP220" s="12">
        <f t="shared" ref="AP220:BU220" si="556">AO220+AP219</f>
        <v>-48013.82689707465</v>
      </c>
      <c r="AQ220" s="12">
        <f t="shared" si="556"/>
        <v>-47622.324723884434</v>
      </c>
      <c r="AR220" s="12">
        <f t="shared" si="556"/>
        <v>-47224.138371455338</v>
      </c>
      <c r="AS220" s="12">
        <f t="shared" si="556"/>
        <v>-46007.691033831536</v>
      </c>
      <c r="AT220" s="12">
        <f t="shared" si="556"/>
        <v>-44663.827485961672</v>
      </c>
      <c r="AU220" s="12">
        <f t="shared" si="556"/>
        <v>-43181.720615662656</v>
      </c>
      <c r="AV220" s="12">
        <f t="shared" si="556"/>
        <v>-41549.391501243423</v>
      </c>
      <c r="AW220" s="12">
        <f t="shared" si="556"/>
        <v>-39753.594089088001</v>
      </c>
      <c r="AX220" s="12">
        <f t="shared" si="556"/>
        <v>-37779.660271933208</v>
      </c>
      <c r="AY220" s="12">
        <f t="shared" si="556"/>
        <v>-36129.881119976541</v>
      </c>
      <c r="AZ220" s="12">
        <f t="shared" si="556"/>
        <v>-34971.846208725008</v>
      </c>
      <c r="BA220" s="12">
        <f t="shared" si="556"/>
        <v>-34280.336423244931</v>
      </c>
      <c r="BB220" s="12">
        <f t="shared" si="556"/>
        <v>-34022.636736109896</v>
      </c>
      <c r="BC220" s="12">
        <f t="shared" si="556"/>
        <v>-34157.695515189327</v>
      </c>
      <c r="BD220" s="12">
        <f t="shared" si="556"/>
        <v>-34634.767382540667</v>
      </c>
      <c r="BE220" s="12">
        <f t="shared" si="556"/>
        <v>-35391.078665970083</v>
      </c>
      <c r="BF220" s="12">
        <f t="shared" si="556"/>
        <v>-36347.502747777784</v>
      </c>
      <c r="BG220" s="12">
        <f t="shared" si="556"/>
        <v>-37399.715857821939</v>
      </c>
      <c r="BH220" s="12">
        <f t="shared" si="556"/>
        <v>-38043.406459732701</v>
      </c>
      <c r="BI220" s="12">
        <f t="shared" si="556"/>
        <v>-38372.417427479479</v>
      </c>
      <c r="BJ220" s="12">
        <f t="shared" si="556"/>
        <v>-37699.090590908803</v>
      </c>
      <c r="BK220" s="12">
        <f t="shared" si="556"/>
        <v>-20813.431251790254</v>
      </c>
      <c r="BL220" s="12">
        <f t="shared" si="556"/>
        <v>-26105.62158291991</v>
      </c>
      <c r="BM220" s="12">
        <f t="shared" si="556"/>
        <v>-31544.330302787803</v>
      </c>
      <c r="BN220" s="12">
        <f t="shared" si="556"/>
        <v>-35452.512325376316</v>
      </c>
      <c r="BO220" s="12">
        <f t="shared" si="556"/>
        <v>-34795.139508508728</v>
      </c>
      <c r="BP220" s="12">
        <f t="shared" si="556"/>
        <v>-34127.061905004695</v>
      </c>
      <c r="BQ220" s="12">
        <f t="shared" si="556"/>
        <v>-32525.864400564264</v>
      </c>
      <c r="BR220" s="12">
        <f t="shared" si="556"/>
        <v>-30776.836416976545</v>
      </c>
      <c r="BS220" s="12">
        <f t="shared" si="556"/>
        <v>-28867.735818466779</v>
      </c>
      <c r="BT220" s="12">
        <f t="shared" si="556"/>
        <v>-26785.017223988842</v>
      </c>
      <c r="BU220" s="12">
        <f t="shared" si="556"/>
        <v>-24513.698064895867</v>
      </c>
      <c r="BV220" s="12">
        <f t="shared" ref="BV220:DA220" si="557">BU220+BV219</f>
        <v>-22037.178981862828</v>
      </c>
      <c r="BW220" s="12">
        <f t="shared" si="557"/>
        <v>-19928.055606482107</v>
      </c>
      <c r="BX220" s="12">
        <f t="shared" si="557"/>
        <v>24289.186214441084</v>
      </c>
      <c r="BY220" s="12">
        <f t="shared" si="557"/>
        <v>25219.128242780884</v>
      </c>
      <c r="BZ220" s="12">
        <f t="shared" si="557"/>
        <v>25688.021422801692</v>
      </c>
      <c r="CA220" s="12">
        <f t="shared" si="557"/>
        <v>25741.755920991993</v>
      </c>
      <c r="CB220" s="12">
        <f t="shared" si="557"/>
        <v>25437.08596570195</v>
      </c>
      <c r="CC220" s="12">
        <f t="shared" si="557"/>
        <v>24844.326507350492</v>
      </c>
      <c r="CD220" s="12">
        <f t="shared" si="557"/>
        <v>24052.340539030432</v>
      </c>
      <c r="CE220" s="12">
        <f t="shared" si="557"/>
        <v>23178.725837989521</v>
      </c>
      <c r="CF220" s="12">
        <f t="shared" si="557"/>
        <v>22796.110269899116</v>
      </c>
      <c r="CG220" s="12">
        <f t="shared" si="557"/>
        <v>22798.502494106404</v>
      </c>
      <c r="CH220" s="12">
        <f t="shared" si="557"/>
        <v>23973.721788827472</v>
      </c>
      <c r="CI220" s="12">
        <f t="shared" si="557"/>
        <v>44289.25383070104</v>
      </c>
      <c r="CJ220" s="12">
        <f t="shared" si="557"/>
        <v>39115.828221200456</v>
      </c>
      <c r="CK220" s="12">
        <f t="shared" si="557"/>
        <v>33786.305518655063</v>
      </c>
      <c r="CL220" s="12">
        <f t="shared" si="557"/>
        <v>30561.425097303196</v>
      </c>
      <c r="CM220" s="12">
        <f t="shared" si="557"/>
        <v>32303.831564817679</v>
      </c>
      <c r="CN220" s="12">
        <f t="shared" si="557"/>
        <v>34061.663236580775</v>
      </c>
      <c r="CO220" s="12">
        <f t="shared" si="557"/>
        <v>35842.931428661032</v>
      </c>
      <c r="CP220" s="12">
        <f t="shared" si="557"/>
        <v>37656.745868696329</v>
      </c>
      <c r="CQ220" s="12">
        <f t="shared" si="557"/>
        <v>39513.394172466804</v>
      </c>
      <c r="CR220" s="12">
        <f t="shared" si="557"/>
        <v>41424.446171224088</v>
      </c>
      <c r="CS220" s="12">
        <f t="shared" si="557"/>
        <v>43402.893559189222</v>
      </c>
      <c r="CT220" s="12">
        <f t="shared" si="557"/>
        <v>45463.340078288107</v>
      </c>
      <c r="CU220" s="12">
        <f t="shared" si="557"/>
        <v>47622.264956529398</v>
      </c>
      <c r="CV220" s="12">
        <f t="shared" si="557"/>
        <v>103117.46210329398</v>
      </c>
      <c r="CW220" s="12">
        <f t="shared" si="557"/>
        <v>105313.59340993581</v>
      </c>
      <c r="CX220" s="12">
        <f t="shared" si="557"/>
        <v>107673.52309147609</v>
      </c>
      <c r="CY220" s="12">
        <f t="shared" si="557"/>
        <v>110227.12214802176</v>
      </c>
      <c r="CZ220" s="12">
        <f t="shared" si="557"/>
        <v>113010.97900398287</v>
      </c>
      <c r="DA220" s="12">
        <f t="shared" si="557"/>
        <v>116071.6510134344</v>
      </c>
      <c r="DB220" s="12">
        <f t="shared" ref="DB220:EG220" si="558">DA220+DB219</f>
        <v>119471.55846764549</v>
      </c>
      <c r="DC220" s="12">
        <f t="shared" si="558"/>
        <v>123300.82518367068</v>
      </c>
      <c r="DD220" s="12">
        <f t="shared" si="558"/>
        <v>127704.9771101478</v>
      </c>
      <c r="DE220" s="12">
        <f t="shared" si="558"/>
        <v>132968.14348995354</v>
      </c>
      <c r="DF220" s="12">
        <f t="shared" si="558"/>
        <v>139929.2699635943</v>
      </c>
      <c r="DG220" s="12">
        <f t="shared" si="558"/>
        <v>168949.30232251744</v>
      </c>
      <c r="DH220" s="12">
        <f t="shared" si="558"/>
        <v>169241.12123977396</v>
      </c>
      <c r="DI220" s="12">
        <f t="shared" si="558"/>
        <v>169532.94015703048</v>
      </c>
      <c r="DJ220" s="12">
        <f t="shared" si="558"/>
        <v>169824.75907428699</v>
      </c>
      <c r="DK220" s="12">
        <f t="shared" si="558"/>
        <v>170116.57799154351</v>
      </c>
      <c r="DL220" s="12">
        <f t="shared" si="558"/>
        <v>170408.39690880003</v>
      </c>
      <c r="DM220" s="12">
        <f t="shared" si="558"/>
        <v>170700.21582605655</v>
      </c>
      <c r="DN220" s="12">
        <f t="shared" si="558"/>
        <v>170992.03474331307</v>
      </c>
      <c r="DO220" s="12">
        <f t="shared" si="558"/>
        <v>171283.85366056958</v>
      </c>
      <c r="DP220" s="12">
        <f t="shared" si="558"/>
        <v>171575.6725778261</v>
      </c>
      <c r="DQ220" s="12">
        <f t="shared" si="558"/>
        <v>171867.49149508262</v>
      </c>
      <c r="DR220" s="12">
        <f t="shared" si="558"/>
        <v>172159.31041233914</v>
      </c>
      <c r="DS220" s="12">
        <f t="shared" si="558"/>
        <v>172451.12932959566</v>
      </c>
      <c r="DT220" s="12">
        <f t="shared" si="558"/>
        <v>237788.54558851884</v>
      </c>
      <c r="DU220" s="12">
        <f t="shared" si="558"/>
        <v>237788.54558851884</v>
      </c>
      <c r="DV220" s="12">
        <f t="shared" si="558"/>
        <v>237788.54558851884</v>
      </c>
      <c r="DW220" s="12">
        <f t="shared" si="558"/>
        <v>237788.54558851884</v>
      </c>
      <c r="DX220" s="12">
        <f t="shared" si="558"/>
        <v>237788.54558851884</v>
      </c>
      <c r="DY220" s="12">
        <f t="shared" si="558"/>
        <v>237788.54558851884</v>
      </c>
      <c r="DZ220" s="12">
        <f t="shared" si="558"/>
        <v>237788.54558851884</v>
      </c>
      <c r="EA220" s="12">
        <f t="shared" si="558"/>
        <v>237788.54558851884</v>
      </c>
      <c r="EB220" s="12">
        <f t="shared" si="558"/>
        <v>237788.54558851884</v>
      </c>
      <c r="EC220" s="12">
        <f t="shared" si="558"/>
        <v>237788.54558851884</v>
      </c>
      <c r="ED220" s="12">
        <f t="shared" si="558"/>
        <v>237788.54558851884</v>
      </c>
      <c r="EE220" s="12">
        <f t="shared" si="558"/>
        <v>237788.54558851884</v>
      </c>
      <c r="EF220" s="12">
        <f t="shared" si="558"/>
        <v>237788.54558851884</v>
      </c>
      <c r="EG220" s="12">
        <f t="shared" si="558"/>
        <v>237788.54558851884</v>
      </c>
      <c r="EH220" s="12">
        <f t="shared" ref="EH220:FH220" si="559">EG220+EH219</f>
        <v>237788.54558851884</v>
      </c>
      <c r="EI220" s="12">
        <f t="shared" si="559"/>
        <v>237788.54558851884</v>
      </c>
      <c r="EJ220" s="12">
        <f t="shared" si="559"/>
        <v>237788.54558851884</v>
      </c>
      <c r="EK220" s="12">
        <f t="shared" si="559"/>
        <v>237788.54558851884</v>
      </c>
      <c r="EL220" s="12">
        <f t="shared" si="559"/>
        <v>237788.54558851884</v>
      </c>
      <c r="EM220" s="12">
        <f t="shared" si="559"/>
        <v>237788.54558851884</v>
      </c>
      <c r="EN220" s="12">
        <f t="shared" si="559"/>
        <v>237788.54558851884</v>
      </c>
      <c r="EO220" s="12">
        <f t="shared" si="559"/>
        <v>237788.54558851884</v>
      </c>
      <c r="EP220" s="12">
        <f t="shared" si="559"/>
        <v>237788.54558851884</v>
      </c>
      <c r="EQ220" s="12">
        <f t="shared" si="559"/>
        <v>237788.54558851884</v>
      </c>
      <c r="ER220" s="12">
        <f t="shared" si="559"/>
        <v>237788.54558851884</v>
      </c>
      <c r="ES220" s="12">
        <f t="shared" si="559"/>
        <v>237788.54558851884</v>
      </c>
      <c r="ET220" s="12">
        <f t="shared" si="559"/>
        <v>237788.54558851884</v>
      </c>
      <c r="EU220" s="12">
        <f t="shared" si="559"/>
        <v>237788.54558851884</v>
      </c>
      <c r="EV220" s="12">
        <f t="shared" si="559"/>
        <v>237788.54558851884</v>
      </c>
      <c r="EW220" s="12">
        <f t="shared" si="559"/>
        <v>237788.54558851884</v>
      </c>
      <c r="EX220" s="12">
        <f t="shared" si="559"/>
        <v>237788.54558851884</v>
      </c>
      <c r="EY220" s="12">
        <f t="shared" si="559"/>
        <v>237788.54558851884</v>
      </c>
      <c r="EZ220" s="12">
        <f t="shared" si="559"/>
        <v>237788.54558851884</v>
      </c>
      <c r="FA220" s="12">
        <f t="shared" si="559"/>
        <v>237788.54558851884</v>
      </c>
      <c r="FB220" s="12">
        <f t="shared" si="559"/>
        <v>237788.54558851884</v>
      </c>
      <c r="FC220" s="12">
        <f t="shared" si="559"/>
        <v>237788.54558851884</v>
      </c>
      <c r="FD220" s="12">
        <f t="shared" si="559"/>
        <v>237788.54558851884</v>
      </c>
      <c r="FE220" s="12">
        <f t="shared" si="559"/>
        <v>237788.54558851884</v>
      </c>
      <c r="FF220" s="12">
        <f t="shared" si="559"/>
        <v>237788.54558851884</v>
      </c>
      <c r="FG220" s="12">
        <f t="shared" si="559"/>
        <v>237788.54558851884</v>
      </c>
      <c r="FH220" s="12">
        <f t="shared" si="559"/>
        <v>237788.54558851884</v>
      </c>
    </row>
    <row r="221" spans="1:164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</row>
    <row r="222" spans="1:164" x14ac:dyDescent="0.2">
      <c r="A222" s="10"/>
      <c r="B222" s="24" t="s">
        <v>928</v>
      </c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</row>
    <row r="223" spans="1:164" x14ac:dyDescent="0.2">
      <c r="A223" s="10"/>
      <c r="B223" s="10"/>
      <c r="C223" s="10" t="s">
        <v>739</v>
      </c>
      <c r="D223" s="10"/>
      <c r="E223" s="10"/>
      <c r="F223" s="10"/>
      <c r="G223" s="10"/>
      <c r="H223" s="10"/>
      <c r="I223" s="240">
        <f>2026</f>
        <v>2026</v>
      </c>
      <c r="J223" s="240">
        <f t="shared" ref="J223:AB223" si="560">I223+1</f>
        <v>2027</v>
      </c>
      <c r="K223" s="240">
        <f t="shared" si="560"/>
        <v>2028</v>
      </c>
      <c r="L223" s="240">
        <f t="shared" si="560"/>
        <v>2029</v>
      </c>
      <c r="M223" s="240">
        <f t="shared" si="560"/>
        <v>2030</v>
      </c>
      <c r="N223" s="240">
        <f t="shared" si="560"/>
        <v>2031</v>
      </c>
      <c r="O223" s="240">
        <f t="shared" si="560"/>
        <v>2032</v>
      </c>
      <c r="P223" s="240">
        <f t="shared" si="560"/>
        <v>2033</v>
      </c>
      <c r="Q223" s="240">
        <f t="shared" si="560"/>
        <v>2034</v>
      </c>
      <c r="R223" s="240">
        <f t="shared" si="560"/>
        <v>2035</v>
      </c>
      <c r="S223" s="240">
        <f t="shared" si="560"/>
        <v>2036</v>
      </c>
      <c r="T223" s="240">
        <f t="shared" si="560"/>
        <v>2037</v>
      </c>
      <c r="U223" s="240">
        <f t="shared" si="560"/>
        <v>2038</v>
      </c>
      <c r="V223" s="240">
        <f t="shared" si="560"/>
        <v>2039</v>
      </c>
      <c r="W223" s="240">
        <f t="shared" si="560"/>
        <v>2040</v>
      </c>
      <c r="X223" s="240">
        <f t="shared" si="560"/>
        <v>2041</v>
      </c>
      <c r="Y223" s="240">
        <f t="shared" si="560"/>
        <v>2042</v>
      </c>
      <c r="Z223" s="240">
        <f t="shared" si="560"/>
        <v>2043</v>
      </c>
      <c r="AA223" s="240">
        <f t="shared" si="560"/>
        <v>2044</v>
      </c>
      <c r="AB223" s="240">
        <f t="shared" si="560"/>
        <v>2045</v>
      </c>
      <c r="AC223" s="101" t="s">
        <v>28</v>
      </c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</row>
    <row r="224" spans="1:164" x14ac:dyDescent="0.2">
      <c r="A224" s="10"/>
      <c r="B224" s="10"/>
      <c r="C224" s="10" t="s">
        <v>929</v>
      </c>
      <c r="D224" s="10"/>
      <c r="E224" s="10"/>
      <c r="F224" s="10"/>
      <c r="G224" s="10"/>
      <c r="H224" s="12">
        <f t="shared" ref="H224:H229" si="561">SUM(I224:AB224)</f>
        <v>60628.697613733108</v>
      </c>
      <c r="I224" s="12" cm="1">
        <f t="array" ref="I224">SUMPRODUCT(($I$7:$FH$7=I$223)*$I$135:$FH$135)</f>
        <v>0</v>
      </c>
      <c r="J224" s="12" cm="1">
        <f t="array" ref="J224">SUMPRODUCT(($I$7:$FH$7=J$223)*$I$135:$FH$135)</f>
        <v>-3018.0266666666666</v>
      </c>
      <c r="K224" s="12" cm="1">
        <f t="array" ref="K224">SUMPRODUCT(($I$7:$FH$7=K$223)*$I$135:$FH$135)</f>
        <v>-4854.9729176977125</v>
      </c>
      <c r="L224" s="12" cm="1">
        <f t="array" ref="L224">SUMPRODUCT(($I$7:$FH$7=L$223)*$I$135:$FH$135)</f>
        <v>-35985.156120424297</v>
      </c>
      <c r="M224" s="12" cm="1">
        <f t="array" ref="M224">SUMPRODUCT(($I$7:$FH$7=M$223)*$I$135:$FH$135)</f>
        <v>17557.637081922785</v>
      </c>
      <c r="N224" s="12" cm="1">
        <f t="array" ref="N224">SUMPRODUCT(($I$7:$FH$7=N$223)*$I$135:$FH$135)</f>
        <v>43050.270896727103</v>
      </c>
      <c r="O224" s="12" cm="1">
        <f t="array" ref="O224">SUMPRODUCT(($I$7:$FH$7=O$223)*$I$135:$FH$135)</f>
        <v>43878.945339871898</v>
      </c>
      <c r="P224" s="12" cm="1">
        <f t="array" ref="P224">SUMPRODUCT(($I$7:$FH$7=P$223)*$I$135:$FH$135)</f>
        <v>0</v>
      </c>
      <c r="Q224" s="12" cm="1">
        <f t="array" ref="Q224">SUMPRODUCT(($I$7:$FH$7=Q$223)*$I$135:$FH$135)</f>
        <v>0</v>
      </c>
      <c r="R224" s="12" cm="1">
        <f t="array" ref="R224">SUMPRODUCT(($I$7:$FH$7=R$223)*$I$135:$FH$135)</f>
        <v>0</v>
      </c>
      <c r="S224" s="12" cm="1">
        <f t="array" ref="S224">SUMPRODUCT(($I$7:$FH$7=S$223)*$I$135:$FH$135)</f>
        <v>0</v>
      </c>
      <c r="T224" s="12" cm="1">
        <f t="array" ref="T224">SUMPRODUCT(($I$7:$FH$7=T$223)*$I$135:$FH$135)</f>
        <v>0</v>
      </c>
      <c r="U224" s="12" cm="1">
        <f t="array" ref="U224">SUMPRODUCT(($I$7:$FH$7=U$223)*$I$135:$FH$135)</f>
        <v>0</v>
      </c>
      <c r="V224" s="12" cm="1">
        <f t="array" ref="V224">SUMPRODUCT(($I$7:$FH$7=V$223)*$I$135:$FH$135)</f>
        <v>0</v>
      </c>
      <c r="W224" s="12" cm="1">
        <f t="array" ref="W224">SUMPRODUCT(($I$7:$FH$7=W$223)*$I$135:$FH$135)</f>
        <v>0</v>
      </c>
      <c r="X224" s="12" cm="1">
        <f t="array" ref="X224">SUMPRODUCT(($I$7:$FH$7=X$223)*$I$135:$FH$135)</f>
        <v>0</v>
      </c>
      <c r="Y224" s="12" cm="1">
        <f t="array" ref="Y224">SUMPRODUCT(($I$7:$FH$7=Y$223)*$I$135:$FH$135)</f>
        <v>0</v>
      </c>
      <c r="Z224" s="12" cm="1">
        <f t="array" ref="Z224">SUMPRODUCT(($I$7:$FH$7=Z$223)*$I$135:$FH$135)</f>
        <v>0</v>
      </c>
      <c r="AA224" s="12" cm="1">
        <f t="array" ref="AA224">SUMPRODUCT(($I$7:$FH$7=AA$223)*$I$135:$FH$135)</f>
        <v>0</v>
      </c>
      <c r="AB224" s="12" cm="1">
        <f t="array" ref="AB224">SUMPRODUCT(($I$7:$FH$7=AB$223)*$I$135:$FH$135)</f>
        <v>0</v>
      </c>
      <c r="AC224" s="12">
        <f>0</f>
        <v>0</v>
      </c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</row>
    <row r="225" spans="1:164" x14ac:dyDescent="0.2">
      <c r="A225" s="10"/>
      <c r="B225" s="10"/>
      <c r="C225" s="10" t="s">
        <v>930</v>
      </c>
      <c r="D225" s="10"/>
      <c r="E225" s="10"/>
      <c r="F225" s="10"/>
      <c r="G225" s="10"/>
      <c r="H225" s="12">
        <f t="shared" si="561"/>
        <v>78488.3593751062</v>
      </c>
      <c r="I225" s="12" cm="1">
        <f t="array" ref="I225">SUMPRODUCT(($I$7:$FH$7=I$223)*$I$171:$FH$171)</f>
        <v>0</v>
      </c>
      <c r="J225" s="12" cm="1">
        <f t="array" ref="J225">SUMPRODUCT(($I$7:$FH$7=J$223)*$I$171:$FH$171)</f>
        <v>0</v>
      </c>
      <c r="K225" s="12" cm="1">
        <f t="array" ref="K225">SUMPRODUCT(($I$7:$FH$7=K$223)*$I$171:$FH$171)</f>
        <v>0</v>
      </c>
      <c r="L225" s="12" cm="1">
        <f t="array" ref="L225">SUMPRODUCT(($I$7:$FH$7=L$223)*$I$171:$FH$171)</f>
        <v>-3365.9826666666663</v>
      </c>
      <c r="M225" s="12" cm="1">
        <f t="array" ref="M225">SUMPRODUCT(($I$7:$FH$7=M$223)*$I$171:$FH$171)</f>
        <v>-4968.2660930081147</v>
      </c>
      <c r="N225" s="12" cm="1">
        <f t="array" ref="N225">SUMPRODUCT(($I$7:$FH$7=N$223)*$I$171:$FH$171)</f>
        <v>-38830.57858585778</v>
      </c>
      <c r="O225" s="12" cm="1">
        <f t="array" ref="O225">SUMPRODUCT(($I$7:$FH$7=O$223)*$I$171:$FH$171)</f>
        <v>20668.402536252281</v>
      </c>
      <c r="P225" s="12" cm="1">
        <f t="array" ref="P225">SUMPRODUCT(($I$7:$FH$7=P$223)*$I$171:$FH$171)</f>
        <v>50016.018777194251</v>
      </c>
      <c r="Q225" s="12" cm="1">
        <f t="array" ref="Q225">SUMPRODUCT(($I$7:$FH$7=Q$223)*$I$171:$FH$171)</f>
        <v>54968.76540719223</v>
      </c>
      <c r="R225" s="12" cm="1">
        <f t="array" ref="R225">SUMPRODUCT(($I$7:$FH$7=R$223)*$I$171:$FH$171)</f>
        <v>0</v>
      </c>
      <c r="S225" s="12" cm="1">
        <f t="array" ref="S225">SUMPRODUCT(($I$7:$FH$7=S$223)*$I$171:$FH$171)</f>
        <v>0</v>
      </c>
      <c r="T225" s="12" cm="1">
        <f t="array" ref="T225">SUMPRODUCT(($I$7:$FH$7=T$223)*$I$171:$FH$171)</f>
        <v>0</v>
      </c>
      <c r="U225" s="12" cm="1">
        <f t="array" ref="U225">SUMPRODUCT(($I$7:$FH$7=U$223)*$I$171:$FH$171)</f>
        <v>0</v>
      </c>
      <c r="V225" s="12" cm="1">
        <f t="array" ref="V225">SUMPRODUCT(($I$7:$FH$7=V$223)*$I$171:$FH$171)</f>
        <v>0</v>
      </c>
      <c r="W225" s="12" cm="1">
        <f t="array" ref="W225">SUMPRODUCT(($I$7:$FH$7=W$223)*$I$171:$FH$171)</f>
        <v>0</v>
      </c>
      <c r="X225" s="12" cm="1">
        <f t="array" ref="X225">SUMPRODUCT(($I$7:$FH$7=X$223)*$I$171:$FH$171)</f>
        <v>0</v>
      </c>
      <c r="Y225" s="12" cm="1">
        <f t="array" ref="Y225">SUMPRODUCT(($I$7:$FH$7=Y$223)*$I$171:$FH$171)</f>
        <v>0</v>
      </c>
      <c r="Z225" s="12" cm="1">
        <f t="array" ref="Z225">SUMPRODUCT(($I$7:$FH$7=Z$223)*$I$171:$FH$171)</f>
        <v>0</v>
      </c>
      <c r="AA225" s="12" cm="1">
        <f t="array" ref="AA225">SUMPRODUCT(($I$7:$FH$7=AA$223)*$I$171:$FH$171)</f>
        <v>0</v>
      </c>
      <c r="AB225" s="12" cm="1">
        <f t="array" ref="AB225">SUMPRODUCT(($I$7:$FH$7=AB$223)*$I$171:$FH$171)</f>
        <v>0</v>
      </c>
      <c r="AC225" s="12">
        <f>0</f>
        <v>0</v>
      </c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</row>
    <row r="226" spans="1:164" x14ac:dyDescent="0.2">
      <c r="A226" s="10"/>
      <c r="B226" s="10"/>
      <c r="C226" s="10" t="s">
        <v>931</v>
      </c>
      <c r="D226" s="10"/>
      <c r="E226" s="10"/>
      <c r="F226" s="10"/>
      <c r="G226" s="10"/>
      <c r="H226" s="12">
        <f t="shared" si="561"/>
        <v>98671.488599679389</v>
      </c>
      <c r="I226" s="12" cm="1">
        <f t="array" ref="I226">SUMPRODUCT(($I$7:$FH$7=I$223)*$I$207:$FH$207)</f>
        <v>0</v>
      </c>
      <c r="J226" s="12" cm="1">
        <f t="array" ref="J226">SUMPRODUCT(($I$7:$FH$7=J$223)*$I$207:$FH$207)</f>
        <v>0</v>
      </c>
      <c r="K226" s="12" cm="1">
        <f t="array" ref="K226">SUMPRODUCT(($I$7:$FH$7=K$223)*$I$207:$FH$207)</f>
        <v>0</v>
      </c>
      <c r="L226" s="12" cm="1">
        <f t="array" ref="L226">SUMPRODUCT(($I$7:$FH$7=L$223)*$I$207:$FH$207)</f>
        <v>0</v>
      </c>
      <c r="M226" s="12" cm="1">
        <f t="array" ref="M226">SUMPRODUCT(($I$7:$FH$7=M$223)*$I$207:$FH$207)</f>
        <v>0</v>
      </c>
      <c r="N226" s="12" cm="1">
        <f t="array" ref="N226">SUMPRODUCT(($I$7:$FH$7=N$223)*$I$207:$FH$207)</f>
        <v>-3711.9868333333334</v>
      </c>
      <c r="O226" s="12" cm="1">
        <f t="array" ref="O226">SUMPRODUCT(($I$7:$FH$7=O$223)*$I$207:$FH$207)</f>
        <v>-4983.2000054175332</v>
      </c>
      <c r="P226" s="12" cm="1">
        <f t="array" ref="P226">SUMPRODUCT(($I$7:$FH$7=P$223)*$I$207:$FH$207)</f>
        <v>-41391.441506315437</v>
      </c>
      <c r="Q226" s="12" cm="1">
        <f t="array" ref="Q226">SUMPRODUCT(($I$7:$FH$7=Q$223)*$I$207:$FH$207)</f>
        <v>23980.550360209865</v>
      </c>
      <c r="R226" s="12" cm="1">
        <f t="array" ref="R226">SUMPRODUCT(($I$7:$FH$7=R$223)*$I$207:$FH$207)</f>
        <v>57397.417904817106</v>
      </c>
      <c r="S226" s="12" cm="1">
        <f t="array" ref="S226">SUMPRODUCT(($I$7:$FH$7=S$223)*$I$207:$FH$207)</f>
        <v>67380.148679718724</v>
      </c>
      <c r="T226" s="12" cm="1">
        <f t="array" ref="T226">SUMPRODUCT(($I$7:$FH$7=T$223)*$I$207:$FH$207)</f>
        <v>0</v>
      </c>
      <c r="U226" s="12" cm="1">
        <f t="array" ref="U226">SUMPRODUCT(($I$7:$FH$7=U$223)*$I$207:$FH$207)</f>
        <v>0</v>
      </c>
      <c r="V226" s="12" cm="1">
        <f t="array" ref="V226">SUMPRODUCT(($I$7:$FH$7=V$223)*$I$207:$FH$207)</f>
        <v>0</v>
      </c>
      <c r="W226" s="12" cm="1">
        <f t="array" ref="W226">SUMPRODUCT(($I$7:$FH$7=W$223)*$I$207:$FH$207)</f>
        <v>0</v>
      </c>
      <c r="X226" s="12" cm="1">
        <f t="array" ref="X226">SUMPRODUCT(($I$7:$FH$7=X$223)*$I$207:$FH$207)</f>
        <v>0</v>
      </c>
      <c r="Y226" s="12" cm="1">
        <f t="array" ref="Y226">SUMPRODUCT(($I$7:$FH$7=Y$223)*$I$207:$FH$207)</f>
        <v>0</v>
      </c>
      <c r="Z226" s="12" cm="1">
        <f t="array" ref="Z226">SUMPRODUCT(($I$7:$FH$7=Z$223)*$I$207:$FH$207)</f>
        <v>0</v>
      </c>
      <c r="AA226" s="12" cm="1">
        <f t="array" ref="AA226">SUMPRODUCT(($I$7:$FH$7=AA$223)*$I$207:$FH$207)</f>
        <v>0</v>
      </c>
      <c r="AB226" s="12" cm="1">
        <f t="array" ref="AB226">SUMPRODUCT(($I$7:$FH$7=AB$223)*$I$207:$FH$207)</f>
        <v>0</v>
      </c>
      <c r="AC226" s="12">
        <f>0</f>
        <v>0</v>
      </c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</row>
    <row r="227" spans="1:164" x14ac:dyDescent="0.2">
      <c r="A227" s="10"/>
      <c r="B227" s="10"/>
      <c r="C227" s="70" t="s">
        <v>932</v>
      </c>
      <c r="D227" s="70"/>
      <c r="E227" s="70"/>
      <c r="F227" s="70"/>
      <c r="G227" s="70"/>
      <c r="H227" s="56">
        <f t="shared" si="561"/>
        <v>237788.5455885187</v>
      </c>
      <c r="I227" s="56">
        <f t="shared" ref="I227:AC227" si="562">SUM(I224:I226)</f>
        <v>0</v>
      </c>
      <c r="J227" s="56">
        <f t="shared" si="562"/>
        <v>-3018.0266666666666</v>
      </c>
      <c r="K227" s="56">
        <f t="shared" si="562"/>
        <v>-4854.9729176977125</v>
      </c>
      <c r="L227" s="56">
        <f t="shared" si="562"/>
        <v>-39351.13878709096</v>
      </c>
      <c r="M227" s="56">
        <f t="shared" si="562"/>
        <v>12589.37098891467</v>
      </c>
      <c r="N227" s="56">
        <f t="shared" si="562"/>
        <v>507.7054775359893</v>
      </c>
      <c r="O227" s="56">
        <f t="shared" si="562"/>
        <v>59564.147870706642</v>
      </c>
      <c r="P227" s="56">
        <f t="shared" si="562"/>
        <v>8624.5772708788136</v>
      </c>
      <c r="Q227" s="56">
        <f t="shared" si="562"/>
        <v>78949.315767402091</v>
      </c>
      <c r="R227" s="56">
        <f t="shared" si="562"/>
        <v>57397.417904817106</v>
      </c>
      <c r="S227" s="56">
        <f t="shared" si="562"/>
        <v>67380.148679718724</v>
      </c>
      <c r="T227" s="56">
        <f t="shared" si="562"/>
        <v>0</v>
      </c>
      <c r="U227" s="56">
        <f t="shared" si="562"/>
        <v>0</v>
      </c>
      <c r="V227" s="56">
        <f t="shared" si="562"/>
        <v>0</v>
      </c>
      <c r="W227" s="56">
        <f t="shared" si="562"/>
        <v>0</v>
      </c>
      <c r="X227" s="56">
        <f t="shared" si="562"/>
        <v>0</v>
      </c>
      <c r="Y227" s="56">
        <f t="shared" si="562"/>
        <v>0</v>
      </c>
      <c r="Z227" s="56">
        <f t="shared" si="562"/>
        <v>0</v>
      </c>
      <c r="AA227" s="56">
        <f t="shared" si="562"/>
        <v>0</v>
      </c>
      <c r="AB227" s="56">
        <f t="shared" si="562"/>
        <v>0</v>
      </c>
      <c r="AC227" s="56">
        <f t="shared" si="562"/>
        <v>0</v>
      </c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</row>
    <row r="228" spans="1:164" x14ac:dyDescent="0.2">
      <c r="A228" s="10"/>
      <c r="B228" s="10"/>
      <c r="C228" s="10" t="s">
        <v>933</v>
      </c>
      <c r="D228" s="10"/>
      <c r="E228" s="10"/>
      <c r="F228" s="10"/>
      <c r="G228" s="10"/>
      <c r="H228" s="12">
        <f t="shared" si="561"/>
        <v>306563.609</v>
      </c>
      <c r="I228" s="12" cm="1">
        <f t="array" ref="I228">SUMPRODUCT(($I$7:$FH$7=I$223)*$I$214:$FH$214)</f>
        <v>0</v>
      </c>
      <c r="J228" s="12" cm="1">
        <f t="array" ref="J228">SUMPRODUCT(($I$7:$FH$7=J$223)*$I$214:$FH$214)</f>
        <v>-3018.0266666666666</v>
      </c>
      <c r="K228" s="12" cm="1">
        <f t="array" ref="K228">SUMPRODUCT(($I$7:$FH$7=K$223)*$I$214:$FH$214)</f>
        <v>-4854.9729176977125</v>
      </c>
      <c r="L228" s="12" cm="1">
        <f t="array" ref="L228">SUMPRODUCT(($I$7:$FH$7=L$223)*$I$214:$FH$214)</f>
        <v>-53225.304487602989</v>
      </c>
      <c r="M228" s="12" cm="1">
        <f t="array" ref="M228">SUMPRODUCT(($I$7:$FH$7=M$223)*$I$214:$FH$214)</f>
        <v>-42789.415923379049</v>
      </c>
      <c r="N228" s="12" cm="1">
        <f t="array" ref="N228">SUMPRODUCT(($I$7:$FH$7=N$223)*$I$214:$FH$214)</f>
        <v>-14793.827120749371</v>
      </c>
      <c r="O228" s="12" cm="1">
        <f t="array" ref="O228">SUMPRODUCT(($I$7:$FH$7=O$223)*$I$214:$FH$214)</f>
        <v>88807.047593978437</v>
      </c>
      <c r="P228" s="12" cm="1">
        <f t="array" ref="P228">SUMPRODUCT(($I$7:$FH$7=P$223)*$I$214:$FH$214)</f>
        <v>-8011.9023023789978</v>
      </c>
      <c r="Q228" s="12" cm="1">
        <f t="array" ref="Q228">SUMPRODUCT(($I$7:$FH$7=Q$223)*$I$214:$FH$214)</f>
        <v>111895.67211606939</v>
      </c>
      <c r="R228" s="12" cm="1">
        <f t="array" ref="R228">SUMPRODUCT(($I$7:$FH$7=R$223)*$I$214:$FH$214)</f>
        <v>57349.640100093653</v>
      </c>
      <c r="S228" s="12" cm="1">
        <f t="array" ref="S228">SUMPRODUCT(($I$7:$FH$7=S$223)*$I$214:$FH$214)</f>
        <v>175204.6986083333</v>
      </c>
      <c r="T228" s="12" cm="1">
        <f t="array" ref="T228">SUMPRODUCT(($I$7:$FH$7=T$223)*$I$214:$FH$214)</f>
        <v>0</v>
      </c>
      <c r="U228" s="12" cm="1">
        <f t="array" ref="U228">SUMPRODUCT(($I$7:$FH$7=U$223)*$I$214:$FH$214)</f>
        <v>0</v>
      </c>
      <c r="V228" s="12" cm="1">
        <f t="array" ref="V228">SUMPRODUCT(($I$7:$FH$7=V$223)*$I$214:$FH$214)</f>
        <v>0</v>
      </c>
      <c r="W228" s="12" cm="1">
        <f t="array" ref="W228">SUMPRODUCT(($I$7:$FH$7=W$223)*$I$214:$FH$214)</f>
        <v>0</v>
      </c>
      <c r="X228" s="12" cm="1">
        <f t="array" ref="X228">SUMPRODUCT(($I$7:$FH$7=X$223)*$I$214:$FH$214)</f>
        <v>0</v>
      </c>
      <c r="Y228" s="12" cm="1">
        <f t="array" ref="Y228">SUMPRODUCT(($I$7:$FH$7=Y$223)*$I$214:$FH$214)</f>
        <v>0</v>
      </c>
      <c r="Z228" s="12" cm="1">
        <f t="array" ref="Z228">SUMPRODUCT(($I$7:$FH$7=Z$223)*$I$214:$FH$214)</f>
        <v>0</v>
      </c>
      <c r="AA228" s="12" cm="1">
        <f t="array" ref="AA228">SUMPRODUCT(($I$7:$FH$7=AA$223)*$I$214:$FH$214)</f>
        <v>0</v>
      </c>
      <c r="AB228" s="12" cm="1">
        <f t="array" ref="AB228">SUMPRODUCT(($I$7:$FH$7=AB$223)*$I$214:$FH$214)</f>
        <v>0</v>
      </c>
      <c r="AC228" s="12">
        <f>0</f>
        <v>0</v>
      </c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</row>
    <row r="229" spans="1:164" x14ac:dyDescent="0.2">
      <c r="A229" s="10"/>
      <c r="B229" s="10"/>
      <c r="C229" s="10" t="s">
        <v>934</v>
      </c>
      <c r="D229" s="10"/>
      <c r="E229" s="10"/>
      <c r="F229" s="10"/>
      <c r="G229" s="10"/>
      <c r="H229" s="12">
        <f t="shared" si="561"/>
        <v>237788.5455885187</v>
      </c>
      <c r="I229" s="12" cm="1">
        <f t="array" ref="I229">SUMPRODUCT(($I$7:$FH$7=I$223)*$I$217:$FH$217)</f>
        <v>0</v>
      </c>
      <c r="J229" s="12" cm="1">
        <f t="array" ref="J229">SUMPRODUCT(($I$7:$FH$7=J$223)*$I$217:$FH$217)</f>
        <v>-3018.0266666666666</v>
      </c>
      <c r="K229" s="12" cm="1">
        <f t="array" ref="K229">SUMPRODUCT(($I$7:$FH$7=K$223)*$I$217:$FH$217)</f>
        <v>-4854.9729176977125</v>
      </c>
      <c r="L229" s="12" cm="1">
        <f t="array" ref="L229">SUMPRODUCT(($I$7:$FH$7=L$223)*$I$217:$FH$217)</f>
        <v>-39351.138787090953</v>
      </c>
      <c r="M229" s="12" cm="1">
        <f t="array" ref="M229">SUMPRODUCT(($I$7:$FH$7=M$223)*$I$217:$FH$217)</f>
        <v>12589.370988914674</v>
      </c>
      <c r="N229" s="12" cm="1">
        <f t="array" ref="N229">SUMPRODUCT(($I$7:$FH$7=N$223)*$I$217:$FH$217)</f>
        <v>507.70547753597339</v>
      </c>
      <c r="O229" s="12" cm="1">
        <f t="array" ref="O229">SUMPRODUCT(($I$7:$FH$7=O$223)*$I$217:$FH$217)</f>
        <v>59564.147870706649</v>
      </c>
      <c r="P229" s="12" cm="1">
        <f t="array" ref="P229">SUMPRODUCT(($I$7:$FH$7=P$223)*$I$217:$FH$217)</f>
        <v>8624.5772708788227</v>
      </c>
      <c r="Q229" s="12" cm="1">
        <f t="array" ref="Q229">SUMPRODUCT(($I$7:$FH$7=Q$223)*$I$217:$FH$217)</f>
        <v>78949.315767402077</v>
      </c>
      <c r="R229" s="12" cm="1">
        <f t="array" ref="R229">SUMPRODUCT(($I$7:$FH$7=R$223)*$I$217:$FH$217)</f>
        <v>57397.417904817106</v>
      </c>
      <c r="S229" s="12" cm="1">
        <f t="array" ref="S229">SUMPRODUCT(($I$7:$FH$7=S$223)*$I$217:$FH$217)</f>
        <v>67380.148679718724</v>
      </c>
      <c r="T229" s="12" cm="1">
        <f t="array" ref="T229">SUMPRODUCT(($I$7:$FH$7=T$223)*$I$217:$FH$217)</f>
        <v>0</v>
      </c>
      <c r="U229" s="12" cm="1">
        <f t="array" ref="U229">SUMPRODUCT(($I$7:$FH$7=U$223)*$I$217:$FH$217)</f>
        <v>0</v>
      </c>
      <c r="V229" s="12" cm="1">
        <f t="array" ref="V229">SUMPRODUCT(($I$7:$FH$7=V$223)*$I$217:$FH$217)</f>
        <v>0</v>
      </c>
      <c r="W229" s="12" cm="1">
        <f t="array" ref="W229">SUMPRODUCT(($I$7:$FH$7=W$223)*$I$217:$FH$217)</f>
        <v>0</v>
      </c>
      <c r="X229" s="12" cm="1">
        <f t="array" ref="X229">SUMPRODUCT(($I$7:$FH$7=X$223)*$I$217:$FH$217)</f>
        <v>0</v>
      </c>
      <c r="Y229" s="12" cm="1">
        <f t="array" ref="Y229">SUMPRODUCT(($I$7:$FH$7=Y$223)*$I$217:$FH$217)</f>
        <v>0</v>
      </c>
      <c r="Z229" s="12" cm="1">
        <f t="array" ref="Z229">SUMPRODUCT(($I$7:$FH$7=Z$223)*$I$217:$FH$217)</f>
        <v>0</v>
      </c>
      <c r="AA229" s="12" cm="1">
        <f t="array" ref="AA229">SUMPRODUCT(($I$7:$FH$7=AA$223)*$I$217:$FH$217)</f>
        <v>0</v>
      </c>
      <c r="AB229" s="12" cm="1">
        <f t="array" ref="AB229">SUMPRODUCT(($I$7:$FH$7=AB$223)*$I$217:$FH$217)</f>
        <v>0</v>
      </c>
      <c r="AC229" s="12">
        <f>0</f>
        <v>0</v>
      </c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</row>
    <row r="230" spans="1:164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</row>
    <row r="231" spans="1:164" x14ac:dyDescent="0.2">
      <c r="A231" s="10"/>
      <c r="B231" s="24" t="s">
        <v>142</v>
      </c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</row>
    <row r="232" spans="1:164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</row>
    <row r="233" spans="1:164" x14ac:dyDescent="0.2">
      <c r="A233" s="10"/>
      <c r="B233" s="49" t="s">
        <v>935</v>
      </c>
      <c r="C233" s="49"/>
      <c r="D233" s="101" t="s">
        <v>820</v>
      </c>
      <c r="E233" s="101" t="s">
        <v>821</v>
      </c>
      <c r="F233" s="101" t="s">
        <v>822</v>
      </c>
      <c r="G233" s="101" t="s">
        <v>936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</row>
    <row r="234" spans="1:164" x14ac:dyDescent="0.2">
      <c r="A234" s="10"/>
      <c r="B234" s="10"/>
      <c r="C234" s="10" t="s">
        <v>429</v>
      </c>
      <c r="D234" s="219">
        <f>$D$23</f>
        <v>276920</v>
      </c>
      <c r="E234" s="219">
        <f>$E$23</f>
        <v>318457.99999999994</v>
      </c>
      <c r="F234" s="219">
        <f>$F$23</f>
        <v>361968.24999999994</v>
      </c>
      <c r="G234" s="73">
        <f>$G$23</f>
        <v>957346.25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</row>
    <row r="235" spans="1:164" x14ac:dyDescent="0.2">
      <c r="A235" s="10"/>
      <c r="B235" s="10"/>
      <c r="C235" s="10" t="s">
        <v>782</v>
      </c>
      <c r="D235" s="219">
        <f>$H$113</f>
        <v>241474.24000000011</v>
      </c>
      <c r="E235" s="219">
        <f>$H$149</f>
        <v>277695.37599999993</v>
      </c>
      <c r="F235" s="219">
        <f>$H$185</f>
        <v>315636.31400000001</v>
      </c>
      <c r="G235" s="73">
        <f>$H$212</f>
        <v>834805.92999999924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</row>
    <row r="236" spans="1:164" x14ac:dyDescent="0.2">
      <c r="A236" s="10"/>
      <c r="B236" s="10"/>
      <c r="C236" s="10" t="s">
        <v>783</v>
      </c>
      <c r="D236" s="219">
        <f>-$H$123</f>
        <v>159978.88</v>
      </c>
      <c r="E236" s="219">
        <f>-$H$159</f>
        <v>176253.68799999999</v>
      </c>
      <c r="F236" s="219">
        <f>-$H$195</f>
        <v>192009.753</v>
      </c>
      <c r="G236" s="73">
        <f>-$H$213</f>
        <v>528242.321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</row>
    <row r="237" spans="1:164" x14ac:dyDescent="0.2">
      <c r="A237" s="10"/>
      <c r="B237" s="10"/>
      <c r="C237" s="13" t="s">
        <v>784</v>
      </c>
      <c r="D237" s="73">
        <f>$H$124</f>
        <v>81495.360000000161</v>
      </c>
      <c r="E237" s="73">
        <f>$H$160</f>
        <v>101441.68799999995</v>
      </c>
      <c r="F237" s="73">
        <f>$H$196</f>
        <v>123626.56099999996</v>
      </c>
      <c r="G237" s="73">
        <f>$H$214</f>
        <v>306563.60900000005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</row>
    <row r="238" spans="1:164" x14ac:dyDescent="0.2">
      <c r="A238" s="10"/>
      <c r="B238" s="10"/>
      <c r="C238" s="10" t="s">
        <v>785</v>
      </c>
      <c r="D238" s="220">
        <f>IFERROR(D237/D234,0)</f>
        <v>0.2942920699118885</v>
      </c>
      <c r="E238" s="220">
        <f>IFERROR(E237/E234,0)</f>
        <v>0.31854024078528398</v>
      </c>
      <c r="F238" s="220">
        <f>IFERROR(F237/F234,0)</f>
        <v>0.34153979250942584</v>
      </c>
      <c r="G238" s="72">
        <f>IFERROR(G237/G234,0)</f>
        <v>0.32022229052445766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</row>
    <row r="239" spans="1:164" x14ac:dyDescent="0.2">
      <c r="A239" s="10"/>
      <c r="B239" s="10"/>
      <c r="C239" s="13" t="s">
        <v>111</v>
      </c>
      <c r="D239" s="72">
        <f>IFERROR((1+IRR($I$124:$FH$124,0.01))^12-1,"n/a")</f>
        <v>0.27202671484365082</v>
      </c>
      <c r="E239" s="72">
        <f>IFERROR((1+IRR($I$160:$FH$160,0.01))^12-1,"n/a")</f>
        <v>0.30707500636696272</v>
      </c>
      <c r="F239" s="72">
        <f>IFERROR((1+IRR($I$196:$FH$196,0.01))^12-1,"n/a")</f>
        <v>0.34345098245094952</v>
      </c>
      <c r="G239" s="72">
        <f>IFERROR((1+IRR($I$214:$FH$214,0.01))^12-1,"n/a")</f>
        <v>0.29757219325142326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</row>
    <row r="240" spans="1:164" x14ac:dyDescent="0.2">
      <c r="A240" s="10"/>
      <c r="B240" s="10"/>
      <c r="C240" s="10" t="s">
        <v>786</v>
      </c>
      <c r="D240" s="219">
        <f>NPV((1+$D$12)^(1/12)-1,$I$124:$FH$124)</f>
        <v>36506.698514666394</v>
      </c>
      <c r="E240" s="219">
        <f>NPV((1+$D$12)^(1/12)-1,$I$160:$FH$160)</f>
        <v>40370.136509831274</v>
      </c>
      <c r="F240" s="219">
        <f>NPV((1+$D$12)^(1/12)-1,$I$196:$FH$196)</f>
        <v>43189.421749295121</v>
      </c>
      <c r="G240" s="73">
        <f>NPV((1+$D$12)^(1/12)-1,$I$214:$FH$214)</f>
        <v>120066.25677379277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</row>
    <row r="241" spans="1:164" x14ac:dyDescent="0.2">
      <c r="A241" s="10"/>
      <c r="B241" s="10"/>
      <c r="C241" s="13" t="s">
        <v>159</v>
      </c>
      <c r="D241" s="73">
        <f>-MIN(0,MIN($I$125:$FH$125))</f>
        <v>95553.471235671634</v>
      </c>
      <c r="E241" s="73">
        <f>-MIN(0,MIN($I$161:$FH$161))</f>
        <v>102674.67268336663</v>
      </c>
      <c r="F241" s="73">
        <f>-MIN(0,MIN($I$197:$FH$197))</f>
        <v>108927.77770842703</v>
      </c>
      <c r="G241" s="73">
        <f>-MIN(0,MIN($I$215:$FH$215))</f>
        <v>140654.95417144871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</row>
    <row r="242" spans="1:164" x14ac:dyDescent="0.2">
      <c r="A242" s="10"/>
      <c r="B242" s="10"/>
      <c r="C242" s="10" t="s">
        <v>787</v>
      </c>
      <c r="D242" s="221">
        <f>INDEX($I$6:$FH$6,MATCH(MIN($I$125:$FH$125),$I$125:$FH$125,0))</f>
        <v>47818</v>
      </c>
      <c r="E242" s="221">
        <f>INDEX($I$6:$FH$6,MATCH(MIN($I$161:$FH$161),$I$161:$FH$161,0))</f>
        <v>48549</v>
      </c>
      <c r="F242" s="221">
        <f>INDEX($I$6:$FH$6,MATCH(MIN($I$197:$FH$197),$I$197:$FH$197,0))</f>
        <v>49279</v>
      </c>
      <c r="G242" s="241">
        <f>INDEX($I$6:$FH$6,MATCH(MIN($I$215:$FH$215),$I$215:$FH$215,0))</f>
        <v>48396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</row>
    <row r="243" spans="1:164" x14ac:dyDescent="0.2">
      <c r="A243" s="10"/>
      <c r="B243" s="10"/>
      <c r="C243" s="10" t="s">
        <v>1041</v>
      </c>
      <c r="D243" s="317">
        <f>IF(COUNTIF($I$125:$FH$125,"&lt;0")=COUNT($I$125:$FH$125),"n/a",COUNTIF($I$125:$FH$125,"&lt;0")/12)</f>
        <v>5.083333333333333</v>
      </c>
      <c r="E243" s="317">
        <f>IF(COUNTIF($I$161:$FH$161,"&lt;0")=COUNT($I$161:$FH$161),"n/a",COUNTIF($I$161:$FH$161,"&lt;0")/12)</f>
        <v>5.083333333333333</v>
      </c>
      <c r="F243" s="221"/>
      <c r="G243" s="241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</row>
    <row r="244" spans="1:164" x14ac:dyDescent="0.2">
      <c r="A244" s="10"/>
      <c r="B244" s="10"/>
      <c r="C244" s="10" t="s">
        <v>789</v>
      </c>
      <c r="D244" s="222">
        <f>IFERROR(D237/D241,0)</f>
        <v>0.85287702211258487</v>
      </c>
      <c r="E244" s="222">
        <f>IFERROR(E237/E241,0)</f>
        <v>0.98799134537132616</v>
      </c>
      <c r="F244" s="222">
        <f>IFERROR(F237/F241,0)</f>
        <v>1.1349406331497736</v>
      </c>
      <c r="G244" s="74">
        <f>IFERROR(G237/G241,0)</f>
        <v>2.1795436272107422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</row>
    <row r="245" spans="1:164" x14ac:dyDescent="0.2">
      <c r="A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</row>
    <row r="246" spans="1:164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</row>
    <row r="247" spans="1:164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</row>
    <row r="248" spans="1:164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</row>
    <row r="249" spans="1:164" x14ac:dyDescent="0.2">
      <c r="A249" s="10"/>
      <c r="B249" s="49" t="s">
        <v>937</v>
      </c>
      <c r="C249" s="49"/>
      <c r="D249" s="101" t="s">
        <v>820</v>
      </c>
      <c r="E249" s="101" t="s">
        <v>821</v>
      </c>
      <c r="F249" s="101" t="s">
        <v>822</v>
      </c>
      <c r="G249" s="101" t="s">
        <v>936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</row>
    <row r="250" spans="1:164" x14ac:dyDescent="0.2">
      <c r="A250" s="10"/>
      <c r="B250" s="10"/>
      <c r="C250" s="10" t="s">
        <v>429</v>
      </c>
      <c r="D250" s="219">
        <f>$D$23</f>
        <v>276920</v>
      </c>
      <c r="E250" s="219">
        <f>$E$23</f>
        <v>318457.99999999994</v>
      </c>
      <c r="F250" s="219">
        <f>$F$23</f>
        <v>361968.24999999994</v>
      </c>
      <c r="G250" s="73">
        <f>$G$23</f>
        <v>957346.25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</row>
    <row r="251" spans="1:164" x14ac:dyDescent="0.2">
      <c r="A251" s="10"/>
      <c r="B251" s="10"/>
      <c r="C251" s="10" t="s">
        <v>782</v>
      </c>
      <c r="D251" s="219">
        <f>$H$113</f>
        <v>241474.24000000011</v>
      </c>
      <c r="E251" s="219">
        <f>$H$149</f>
        <v>277695.37599999993</v>
      </c>
      <c r="F251" s="219">
        <f>$H$185</f>
        <v>315636.31400000001</v>
      </c>
      <c r="G251" s="73">
        <f>$H$212</f>
        <v>834805.92999999924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</row>
    <row r="252" spans="1:164" x14ac:dyDescent="0.2">
      <c r="A252" s="10"/>
      <c r="B252" s="10"/>
      <c r="C252" s="10" t="s">
        <v>938</v>
      </c>
      <c r="D252" s="219">
        <f>-$H$123-$H$130</f>
        <v>180845.54238626701</v>
      </c>
      <c r="E252" s="219">
        <f>-$H$159-$H$166</f>
        <v>199207.0166248937</v>
      </c>
      <c r="F252" s="219">
        <f>-$H$195-$H$202</f>
        <v>216964.82540032049</v>
      </c>
      <c r="G252" s="73">
        <f>-$H$213-$H$216</f>
        <v>597017.38441148121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</row>
    <row r="253" spans="1:164" x14ac:dyDescent="0.2">
      <c r="A253" s="10"/>
      <c r="B253" s="10"/>
      <c r="C253" s="13" t="s">
        <v>784</v>
      </c>
      <c r="D253" s="73">
        <f>$H$133</f>
        <v>60628.697613733093</v>
      </c>
      <c r="E253" s="73">
        <f>$H$169</f>
        <v>78488.359375106244</v>
      </c>
      <c r="F253" s="73">
        <f>$H$205</f>
        <v>98671.488599679389</v>
      </c>
      <c r="G253" s="73">
        <f>$H$217</f>
        <v>237788.54558851884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</row>
    <row r="254" spans="1:164" x14ac:dyDescent="0.2">
      <c r="A254" s="10"/>
      <c r="B254" s="10"/>
      <c r="C254" s="10" t="s">
        <v>785</v>
      </c>
      <c r="D254" s="220">
        <f>IFERROR(D253/D250,0)</f>
        <v>0.21893939626510578</v>
      </c>
      <c r="E254" s="220">
        <f>IFERROR(E253/E250,0)</f>
        <v>0.24646377034053552</v>
      </c>
      <c r="F254" s="220">
        <f>IFERROR(F253/F250,0)</f>
        <v>0.27259708164923141</v>
      </c>
      <c r="G254" s="72">
        <f>IFERROR(G253/G250,0)</f>
        <v>0.2483830125082945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</row>
    <row r="255" spans="1:164" x14ac:dyDescent="0.2">
      <c r="A255" s="10"/>
      <c r="B255" s="10"/>
      <c r="C255" s="13" t="s">
        <v>111</v>
      </c>
      <c r="D255" s="72">
        <f>IFERROR((1+IRR($I$133:$FH$133,0.01))^12-1,"n/a")</f>
        <v>0.4256327644647413</v>
      </c>
      <c r="E255" s="72">
        <f>IFERROR((1+IRR($I$169:$FH$169,0.01))^12-1,"n/a")</f>
        <v>0.48886310960987878</v>
      </c>
      <c r="F255" s="72">
        <f>IFERROR((1+IRR($I$205:$FH$205,0.01))^12-1,"n/a")</f>
        <v>0.55283595055686319</v>
      </c>
      <c r="G255" s="72">
        <f>IFERROR((1+IRR($I$217:$FH$217,0.01))^12-1,"n/a")</f>
        <v>0.46305824610911994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</row>
    <row r="256" spans="1:164" x14ac:dyDescent="0.2">
      <c r="A256" s="10"/>
      <c r="B256" s="10"/>
      <c r="C256" s="10" t="s">
        <v>786</v>
      </c>
      <c r="D256" s="219">
        <f>NPV((1+$D$12)^(1/12)-1,$I$133:$FH$133)</f>
        <v>33118.822689481953</v>
      </c>
      <c r="E256" s="219">
        <f>NPV((1+$D$12)^(1/12)-1,$I$169:$FH$169)</f>
        <v>37233.47847792918</v>
      </c>
      <c r="F256" s="219">
        <f>NPV((1+$D$12)^(1/12)-1,$I$205:$FH$205)</f>
        <v>40319.12144587098</v>
      </c>
      <c r="G256" s="73">
        <f>NPV((1+$D$12)^(1/12)-1,$I$217:$FH$217)</f>
        <v>110671.42261328211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</row>
    <row r="257" spans="1:164" x14ac:dyDescent="0.2">
      <c r="A257" s="10"/>
      <c r="B257" s="10"/>
      <c r="C257" s="13" t="s">
        <v>159</v>
      </c>
      <c r="D257" s="73">
        <f>-MIN(0,MIN($I$134:$FH$134))</f>
        <v>46123.680674852432</v>
      </c>
      <c r="E257" s="73">
        <f>-MIN(0,MIN($I$170:$FH$170))</f>
        <v>49818.567653158461</v>
      </c>
      <c r="F257" s="73">
        <f>-MIN(0,MIN($I$206:$FH$206))</f>
        <v>53149.442015879162</v>
      </c>
      <c r="G257" s="73">
        <f>-MIN(0,MIN($I$218:$FH$218))</f>
        <v>48013.82689707465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</row>
    <row r="258" spans="1:164" x14ac:dyDescent="0.2">
      <c r="A258" s="10"/>
      <c r="B258" s="10"/>
      <c r="C258" s="10" t="s">
        <v>787</v>
      </c>
      <c r="D258" s="221">
        <f>INDEX($I$6:$FH$6,MATCH(MIN($I$134:$FH$134),$I$134:$FH$134,0))</f>
        <v>47392</v>
      </c>
      <c r="E258" s="221">
        <f>INDEX($I$6:$FH$6,MATCH(MIN($I$170:$FH$170),$I$170:$FH$170,0))</f>
        <v>48122</v>
      </c>
      <c r="F258" s="221">
        <f>INDEX($I$6:$FH$6,MATCH(MIN($I$206:$FH$206),$I$206:$FH$206,0))</f>
        <v>48853</v>
      </c>
      <c r="G258" s="241">
        <f>INDEX($I$6:$FH$6,MATCH(MIN($I$218:$FH$218),$I$218:$FH$218,0))</f>
        <v>47392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</row>
    <row r="259" spans="1:164" x14ac:dyDescent="0.2">
      <c r="A259" s="10"/>
      <c r="B259" s="10"/>
      <c r="C259" s="10" t="s">
        <v>1041</v>
      </c>
      <c r="D259" s="317">
        <f>IF(COUNTIF($I$135:$FH$135,"&lt;0")=COUNT($I$135:$FH$135),"n/a",COUNTIF($I$135:$FH$135,"&lt;0")/12)</f>
        <v>1.75</v>
      </c>
      <c r="E259" s="317">
        <f>IF(COUNTIF($I$171:$FH$171,"&lt;0")=COUNT($I$171:$FH$171),"n/a",COUNTIF($I$171:$FH$171,"&lt;0")/12)</f>
        <v>1.75</v>
      </c>
      <c r="F259" s="221"/>
      <c r="G259" s="241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</row>
    <row r="260" spans="1:164" x14ac:dyDescent="0.2">
      <c r="A260" s="10"/>
      <c r="B260" s="10"/>
      <c r="C260" s="10" t="s">
        <v>789</v>
      </c>
      <c r="D260" s="222">
        <f>IFERROR(D253/D257,0)</f>
        <v>1.3144809071317045</v>
      </c>
      <c r="E260" s="222">
        <f>IFERROR(E253/E257,0)</f>
        <v>1.5754840629210691</v>
      </c>
      <c r="F260" s="222">
        <f>IFERROR(F253/F257,0)</f>
        <v>1.8564915238470399</v>
      </c>
      <c r="G260" s="74">
        <f>IFERROR(G253/G257,0)</f>
        <v>4.9525014137751775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</row>
    <row r="261" spans="1:164" x14ac:dyDescent="0.2">
      <c r="A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</row>
    <row r="262" spans="1:164" x14ac:dyDescent="0.2">
      <c r="A262" s="10"/>
      <c r="B262" s="10"/>
      <c r="C262" s="10" t="s">
        <v>790</v>
      </c>
      <c r="D262" s="219">
        <f>-$H$130</f>
        <v>20866.662386267017</v>
      </c>
      <c r="E262" s="219">
        <f>-$H$166</f>
        <v>22953.328624893722</v>
      </c>
      <c r="F262" s="219">
        <f>-$H$202</f>
        <v>24955.072400320485</v>
      </c>
      <c r="G262" s="73">
        <f>-$H$216</f>
        <v>68775.063411481213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</row>
    <row r="263" spans="1:164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</row>
    <row r="264" spans="1:164" x14ac:dyDescent="0.2">
      <c r="A264" s="10"/>
      <c r="B264" s="24" t="s">
        <v>791</v>
      </c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</row>
    <row r="265" spans="1:164" x14ac:dyDescent="0.2">
      <c r="A265" s="10"/>
      <c r="B265" s="10"/>
      <c r="C265" s="10" t="s">
        <v>939</v>
      </c>
      <c r="D265" s="16" t="str">
        <f>IF(AND(ABS(D38+D42+D40-1)&lt;0.0001,ABS(E38+E42+E40-1)&lt;0.0001,ABS(F38+F42+F40-1)&lt;0.0001,ABS(H102-1)&lt;0.0001,ABS(H138-1)&lt;0.0001,ABS(H174-1)&lt;0.0001),"OK","ERROR")</f>
        <v>OK</v>
      </c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</row>
    <row r="266" spans="1:164" x14ac:dyDescent="0.2">
      <c r="A266" s="10"/>
      <c r="B266" s="10"/>
      <c r="C266" s="10" t="s">
        <v>793</v>
      </c>
      <c r="D266" s="16" t="str">
        <f>IF(AND(ABS(D53-1)&lt;0.0001,ABS(E53-1)&lt;0.0001,ABS(F53-1)&lt;0.0001),"OK","ERROR")</f>
        <v>OK</v>
      </c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</row>
    <row r="267" spans="1:164" x14ac:dyDescent="0.2">
      <c r="A267" s="10"/>
      <c r="B267" s="10"/>
      <c r="C267" s="10" t="s">
        <v>794</v>
      </c>
      <c r="D267" s="16" t="str">
        <f>IF(ABS(H211-H210)&lt;1,"OK","ERROR")</f>
        <v>OK</v>
      </c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</row>
    <row r="268" spans="1:164" x14ac:dyDescent="0.2">
      <c r="A268" s="10"/>
      <c r="B268" s="10"/>
      <c r="C268" s="10" t="s">
        <v>940</v>
      </c>
      <c r="D268" s="16" t="str">
        <f>IF(ABS($FH$132)+ABS($FH$168)+ABS($FH$204)&lt;1,"OK","ERROR")</f>
        <v>OK</v>
      </c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</row>
    <row r="269" spans="1:164" x14ac:dyDescent="0.2">
      <c r="A269" s="10"/>
      <c r="B269" s="10"/>
      <c r="C269" s="10" t="s">
        <v>941</v>
      </c>
      <c r="D269" s="16" t="str">
        <f>IF(F46&lt;=$FH$6,"OK","ERROR")</f>
        <v>OK</v>
      </c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</row>
    <row r="270" spans="1:164" x14ac:dyDescent="0.2">
      <c r="A270" s="10"/>
      <c r="B270" s="10"/>
      <c r="C270" s="10" t="s">
        <v>942</v>
      </c>
      <c r="D270" s="16" t="str">
        <f>IF(ABS(H227-H219)&lt;1,"OK","ERROR")</f>
        <v>OK</v>
      </c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</row>
    <row r="271" spans="1:164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</row>
    <row r="272" spans="1:164" x14ac:dyDescent="0.2">
      <c r="A272" s="10"/>
      <c r="B272" s="23" t="s">
        <v>943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</row>
  </sheetData>
  <mergeCells count="1">
    <mergeCell ref="D14:F14"/>
  </mergeCells>
  <conditionalFormatting sqref="D265:D270">
    <cfRule type="containsText" dxfId="2" priority="1" operator="containsText" text="ERRO">
      <formula>NOT(ISERROR(SEARCH("ERRO",D265)))</formula>
    </cfRule>
  </conditionalFormatting>
  <dataValidations count="1">
    <dataValidation type="list" allowBlank="1" showInputMessage="1" showErrorMessage="1" sqref="D14:D16" xr:uid="{69A830A2-6DAD-FD41-B0FA-45E1A8D1DB7C}">
      <formula1>"Unlevered,Levered"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DE27C-E0D3-0B47-9552-AC9617FF80EA}">
  <dimension ref="A1:FH272"/>
  <sheetViews>
    <sheetView showGridLines="0" workbookViewId="0">
      <pane xSplit="8" ySplit="7" topLeftCell="I22" activePane="bottomRight" state="frozen"/>
      <selection pane="topRight" activeCell="I1" sqref="I1"/>
      <selection pane="bottomLeft" activeCell="A8" sqref="A8"/>
      <selection pane="bottomRight" activeCell="D27" sqref="D27"/>
    </sheetView>
  </sheetViews>
  <sheetFormatPr baseColWidth="10" defaultRowHeight="15" x14ac:dyDescent="0.2"/>
  <cols>
    <col min="1" max="1" width="1.6640625" customWidth="1"/>
    <col min="2" max="2" width="9" customWidth="1"/>
    <col min="3" max="3" width="55" customWidth="1"/>
    <col min="4" max="7" width="13" customWidth="1"/>
    <col min="8" max="8" width="13.33203125" customWidth="1"/>
    <col min="9" max="164" width="9.6640625" customWidth="1"/>
  </cols>
  <sheetData>
    <row r="1" spans="1:164" x14ac:dyDescent="0.2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</row>
    <row r="2" spans="1:164" ht="16" x14ac:dyDescent="0.2">
      <c r="A2" s="10"/>
      <c r="B2" s="5" t="s">
        <v>860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</row>
    <row r="3" spans="1:164" x14ac:dyDescent="0.2">
      <c r="A3" s="10"/>
      <c r="B3" s="23" t="s">
        <v>861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</row>
    <row r="4" spans="1:164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</row>
    <row r="5" spans="1:164" x14ac:dyDescent="0.2">
      <c r="A5" s="10"/>
      <c r="B5" s="10"/>
      <c r="C5" s="10" t="s">
        <v>738</v>
      </c>
      <c r="D5" s="10"/>
      <c r="E5" s="10"/>
      <c r="F5" s="10"/>
      <c r="G5" s="10"/>
      <c r="H5" s="10"/>
      <c r="I5" s="194">
        <f>1</f>
        <v>1</v>
      </c>
      <c r="J5" s="194">
        <f t="shared" ref="J5:AO5" si="0">I5+1</f>
        <v>2</v>
      </c>
      <c r="K5" s="194">
        <f t="shared" si="0"/>
        <v>3</v>
      </c>
      <c r="L5" s="194">
        <f t="shared" si="0"/>
        <v>4</v>
      </c>
      <c r="M5" s="194">
        <f t="shared" si="0"/>
        <v>5</v>
      </c>
      <c r="N5" s="194">
        <f t="shared" si="0"/>
        <v>6</v>
      </c>
      <c r="O5" s="194">
        <f t="shared" si="0"/>
        <v>7</v>
      </c>
      <c r="P5" s="194">
        <f t="shared" si="0"/>
        <v>8</v>
      </c>
      <c r="Q5" s="194">
        <f t="shared" si="0"/>
        <v>9</v>
      </c>
      <c r="R5" s="194">
        <f t="shared" si="0"/>
        <v>10</v>
      </c>
      <c r="S5" s="194">
        <f t="shared" si="0"/>
        <v>11</v>
      </c>
      <c r="T5" s="194">
        <f t="shared" si="0"/>
        <v>12</v>
      </c>
      <c r="U5" s="194">
        <f t="shared" si="0"/>
        <v>13</v>
      </c>
      <c r="V5" s="194">
        <f t="shared" si="0"/>
        <v>14</v>
      </c>
      <c r="W5" s="194">
        <f t="shared" si="0"/>
        <v>15</v>
      </c>
      <c r="X5" s="194">
        <f t="shared" si="0"/>
        <v>16</v>
      </c>
      <c r="Y5" s="194">
        <f t="shared" si="0"/>
        <v>17</v>
      </c>
      <c r="Z5" s="194">
        <f t="shared" si="0"/>
        <v>18</v>
      </c>
      <c r="AA5" s="194">
        <f t="shared" si="0"/>
        <v>19</v>
      </c>
      <c r="AB5" s="194">
        <f t="shared" si="0"/>
        <v>20</v>
      </c>
      <c r="AC5" s="194">
        <f t="shared" si="0"/>
        <v>21</v>
      </c>
      <c r="AD5" s="194">
        <f t="shared" si="0"/>
        <v>22</v>
      </c>
      <c r="AE5" s="194">
        <f t="shared" si="0"/>
        <v>23</v>
      </c>
      <c r="AF5" s="194">
        <f t="shared" si="0"/>
        <v>24</v>
      </c>
      <c r="AG5" s="194">
        <f t="shared" si="0"/>
        <v>25</v>
      </c>
      <c r="AH5" s="194">
        <f t="shared" si="0"/>
        <v>26</v>
      </c>
      <c r="AI5" s="194">
        <f t="shared" si="0"/>
        <v>27</v>
      </c>
      <c r="AJ5" s="194">
        <f t="shared" si="0"/>
        <v>28</v>
      </c>
      <c r="AK5" s="194">
        <f t="shared" si="0"/>
        <v>29</v>
      </c>
      <c r="AL5" s="194">
        <f t="shared" si="0"/>
        <v>30</v>
      </c>
      <c r="AM5" s="194">
        <f t="shared" si="0"/>
        <v>31</v>
      </c>
      <c r="AN5" s="194">
        <f t="shared" si="0"/>
        <v>32</v>
      </c>
      <c r="AO5" s="194">
        <f t="shared" si="0"/>
        <v>33</v>
      </c>
      <c r="AP5" s="194">
        <f t="shared" ref="AP5:BU5" si="1">AO5+1</f>
        <v>34</v>
      </c>
      <c r="AQ5" s="194">
        <f t="shared" si="1"/>
        <v>35</v>
      </c>
      <c r="AR5" s="194">
        <f t="shared" si="1"/>
        <v>36</v>
      </c>
      <c r="AS5" s="194">
        <f t="shared" si="1"/>
        <v>37</v>
      </c>
      <c r="AT5" s="194">
        <f t="shared" si="1"/>
        <v>38</v>
      </c>
      <c r="AU5" s="194">
        <f t="shared" si="1"/>
        <v>39</v>
      </c>
      <c r="AV5" s="194">
        <f t="shared" si="1"/>
        <v>40</v>
      </c>
      <c r="AW5" s="194">
        <f t="shared" si="1"/>
        <v>41</v>
      </c>
      <c r="AX5" s="194">
        <f t="shared" si="1"/>
        <v>42</v>
      </c>
      <c r="AY5" s="194">
        <f t="shared" si="1"/>
        <v>43</v>
      </c>
      <c r="AZ5" s="194">
        <f t="shared" si="1"/>
        <v>44</v>
      </c>
      <c r="BA5" s="194">
        <f t="shared" si="1"/>
        <v>45</v>
      </c>
      <c r="BB5" s="194">
        <f t="shared" si="1"/>
        <v>46</v>
      </c>
      <c r="BC5" s="194">
        <f t="shared" si="1"/>
        <v>47</v>
      </c>
      <c r="BD5" s="194">
        <f t="shared" si="1"/>
        <v>48</v>
      </c>
      <c r="BE5" s="194">
        <f t="shared" si="1"/>
        <v>49</v>
      </c>
      <c r="BF5" s="194">
        <f t="shared" si="1"/>
        <v>50</v>
      </c>
      <c r="BG5" s="194">
        <f t="shared" si="1"/>
        <v>51</v>
      </c>
      <c r="BH5" s="194">
        <f t="shared" si="1"/>
        <v>52</v>
      </c>
      <c r="BI5" s="194">
        <f t="shared" si="1"/>
        <v>53</v>
      </c>
      <c r="BJ5" s="194">
        <f t="shared" si="1"/>
        <v>54</v>
      </c>
      <c r="BK5" s="194">
        <f t="shared" si="1"/>
        <v>55</v>
      </c>
      <c r="BL5" s="194">
        <f t="shared" si="1"/>
        <v>56</v>
      </c>
      <c r="BM5" s="194">
        <f t="shared" si="1"/>
        <v>57</v>
      </c>
      <c r="BN5" s="194">
        <f t="shared" si="1"/>
        <v>58</v>
      </c>
      <c r="BO5" s="194">
        <f t="shared" si="1"/>
        <v>59</v>
      </c>
      <c r="BP5" s="194">
        <f t="shared" si="1"/>
        <v>60</v>
      </c>
      <c r="BQ5" s="194">
        <f t="shared" si="1"/>
        <v>61</v>
      </c>
      <c r="BR5" s="194">
        <f t="shared" si="1"/>
        <v>62</v>
      </c>
      <c r="BS5" s="194">
        <f t="shared" si="1"/>
        <v>63</v>
      </c>
      <c r="BT5" s="194">
        <f t="shared" si="1"/>
        <v>64</v>
      </c>
      <c r="BU5" s="194">
        <f t="shared" si="1"/>
        <v>65</v>
      </c>
      <c r="BV5" s="194">
        <f t="shared" ref="BV5:DA5" si="2">BU5+1</f>
        <v>66</v>
      </c>
      <c r="BW5" s="194">
        <f t="shared" si="2"/>
        <v>67</v>
      </c>
      <c r="BX5" s="194">
        <f t="shared" si="2"/>
        <v>68</v>
      </c>
      <c r="BY5" s="194">
        <f t="shared" si="2"/>
        <v>69</v>
      </c>
      <c r="BZ5" s="194">
        <f t="shared" si="2"/>
        <v>70</v>
      </c>
      <c r="CA5" s="194">
        <f t="shared" si="2"/>
        <v>71</v>
      </c>
      <c r="CB5" s="194">
        <f t="shared" si="2"/>
        <v>72</v>
      </c>
      <c r="CC5" s="194">
        <f t="shared" si="2"/>
        <v>73</v>
      </c>
      <c r="CD5" s="194">
        <f t="shared" si="2"/>
        <v>74</v>
      </c>
      <c r="CE5" s="194">
        <f t="shared" si="2"/>
        <v>75</v>
      </c>
      <c r="CF5" s="194">
        <f t="shared" si="2"/>
        <v>76</v>
      </c>
      <c r="CG5" s="194">
        <f t="shared" si="2"/>
        <v>77</v>
      </c>
      <c r="CH5" s="194">
        <f t="shared" si="2"/>
        <v>78</v>
      </c>
      <c r="CI5" s="194">
        <f t="shared" si="2"/>
        <v>79</v>
      </c>
      <c r="CJ5" s="194">
        <f t="shared" si="2"/>
        <v>80</v>
      </c>
      <c r="CK5" s="194">
        <f t="shared" si="2"/>
        <v>81</v>
      </c>
      <c r="CL5" s="194">
        <f t="shared" si="2"/>
        <v>82</v>
      </c>
      <c r="CM5" s="194">
        <f t="shared" si="2"/>
        <v>83</v>
      </c>
      <c r="CN5" s="194">
        <f t="shared" si="2"/>
        <v>84</v>
      </c>
      <c r="CO5" s="194">
        <f t="shared" si="2"/>
        <v>85</v>
      </c>
      <c r="CP5" s="194">
        <f t="shared" si="2"/>
        <v>86</v>
      </c>
      <c r="CQ5" s="194">
        <f t="shared" si="2"/>
        <v>87</v>
      </c>
      <c r="CR5" s="194">
        <f t="shared" si="2"/>
        <v>88</v>
      </c>
      <c r="CS5" s="194">
        <f t="shared" si="2"/>
        <v>89</v>
      </c>
      <c r="CT5" s="194">
        <f t="shared" si="2"/>
        <v>90</v>
      </c>
      <c r="CU5" s="194">
        <f t="shared" si="2"/>
        <v>91</v>
      </c>
      <c r="CV5" s="194">
        <f t="shared" si="2"/>
        <v>92</v>
      </c>
      <c r="CW5" s="194">
        <f t="shared" si="2"/>
        <v>93</v>
      </c>
      <c r="CX5" s="194">
        <f t="shared" si="2"/>
        <v>94</v>
      </c>
      <c r="CY5" s="194">
        <f t="shared" si="2"/>
        <v>95</v>
      </c>
      <c r="CZ5" s="194">
        <f t="shared" si="2"/>
        <v>96</v>
      </c>
      <c r="DA5" s="194">
        <f t="shared" si="2"/>
        <v>97</v>
      </c>
      <c r="DB5" s="194">
        <f t="shared" ref="DB5:EG5" si="3">DA5+1</f>
        <v>98</v>
      </c>
      <c r="DC5" s="194">
        <f t="shared" si="3"/>
        <v>99</v>
      </c>
      <c r="DD5" s="194">
        <f t="shared" si="3"/>
        <v>100</v>
      </c>
      <c r="DE5" s="194">
        <f t="shared" si="3"/>
        <v>101</v>
      </c>
      <c r="DF5" s="194">
        <f t="shared" si="3"/>
        <v>102</v>
      </c>
      <c r="DG5" s="194">
        <f t="shared" si="3"/>
        <v>103</v>
      </c>
      <c r="DH5" s="194">
        <f t="shared" si="3"/>
        <v>104</v>
      </c>
      <c r="DI5" s="194">
        <f t="shared" si="3"/>
        <v>105</v>
      </c>
      <c r="DJ5" s="194">
        <f t="shared" si="3"/>
        <v>106</v>
      </c>
      <c r="DK5" s="194">
        <f t="shared" si="3"/>
        <v>107</v>
      </c>
      <c r="DL5" s="194">
        <f t="shared" si="3"/>
        <v>108</v>
      </c>
      <c r="DM5" s="194">
        <f t="shared" si="3"/>
        <v>109</v>
      </c>
      <c r="DN5" s="194">
        <f t="shared" si="3"/>
        <v>110</v>
      </c>
      <c r="DO5" s="194">
        <f t="shared" si="3"/>
        <v>111</v>
      </c>
      <c r="DP5" s="194">
        <f t="shared" si="3"/>
        <v>112</v>
      </c>
      <c r="DQ5" s="194">
        <f t="shared" si="3"/>
        <v>113</v>
      </c>
      <c r="DR5" s="194">
        <f t="shared" si="3"/>
        <v>114</v>
      </c>
      <c r="DS5" s="194">
        <f t="shared" si="3"/>
        <v>115</v>
      </c>
      <c r="DT5" s="194">
        <f t="shared" si="3"/>
        <v>116</v>
      </c>
      <c r="DU5" s="194">
        <f t="shared" si="3"/>
        <v>117</v>
      </c>
      <c r="DV5" s="194">
        <f t="shared" si="3"/>
        <v>118</v>
      </c>
      <c r="DW5" s="194">
        <f t="shared" si="3"/>
        <v>119</v>
      </c>
      <c r="DX5" s="194">
        <f t="shared" si="3"/>
        <v>120</v>
      </c>
      <c r="DY5" s="194">
        <f t="shared" si="3"/>
        <v>121</v>
      </c>
      <c r="DZ5" s="194">
        <f t="shared" si="3"/>
        <v>122</v>
      </c>
      <c r="EA5" s="194">
        <f t="shared" si="3"/>
        <v>123</v>
      </c>
      <c r="EB5" s="194">
        <f t="shared" si="3"/>
        <v>124</v>
      </c>
      <c r="EC5" s="194">
        <f t="shared" si="3"/>
        <v>125</v>
      </c>
      <c r="ED5" s="194">
        <f t="shared" si="3"/>
        <v>126</v>
      </c>
      <c r="EE5" s="194">
        <f t="shared" si="3"/>
        <v>127</v>
      </c>
      <c r="EF5" s="194">
        <f t="shared" si="3"/>
        <v>128</v>
      </c>
      <c r="EG5" s="194">
        <f t="shared" si="3"/>
        <v>129</v>
      </c>
      <c r="EH5" s="194">
        <f t="shared" ref="EH5:FH5" si="4">EG5+1</f>
        <v>130</v>
      </c>
      <c r="EI5" s="194">
        <f t="shared" si="4"/>
        <v>131</v>
      </c>
      <c r="EJ5" s="194">
        <f t="shared" si="4"/>
        <v>132</v>
      </c>
      <c r="EK5" s="194">
        <f t="shared" si="4"/>
        <v>133</v>
      </c>
      <c r="EL5" s="194">
        <f t="shared" si="4"/>
        <v>134</v>
      </c>
      <c r="EM5" s="194">
        <f t="shared" si="4"/>
        <v>135</v>
      </c>
      <c r="EN5" s="194">
        <f t="shared" si="4"/>
        <v>136</v>
      </c>
      <c r="EO5" s="194">
        <f t="shared" si="4"/>
        <v>137</v>
      </c>
      <c r="EP5" s="194">
        <f t="shared" si="4"/>
        <v>138</v>
      </c>
      <c r="EQ5" s="194">
        <f t="shared" si="4"/>
        <v>139</v>
      </c>
      <c r="ER5" s="194">
        <f t="shared" si="4"/>
        <v>140</v>
      </c>
      <c r="ES5" s="194">
        <f t="shared" si="4"/>
        <v>141</v>
      </c>
      <c r="ET5" s="194">
        <f t="shared" si="4"/>
        <v>142</v>
      </c>
      <c r="EU5" s="194">
        <f t="shared" si="4"/>
        <v>143</v>
      </c>
      <c r="EV5" s="194">
        <f t="shared" si="4"/>
        <v>144</v>
      </c>
      <c r="EW5" s="194">
        <f t="shared" si="4"/>
        <v>145</v>
      </c>
      <c r="EX5" s="194">
        <f t="shared" si="4"/>
        <v>146</v>
      </c>
      <c r="EY5" s="194">
        <f t="shared" si="4"/>
        <v>147</v>
      </c>
      <c r="EZ5" s="194">
        <f t="shared" si="4"/>
        <v>148</v>
      </c>
      <c r="FA5" s="194">
        <f t="shared" si="4"/>
        <v>149</v>
      </c>
      <c r="FB5" s="194">
        <f t="shared" si="4"/>
        <v>150</v>
      </c>
      <c r="FC5" s="194">
        <f t="shared" si="4"/>
        <v>151</v>
      </c>
      <c r="FD5" s="194">
        <f t="shared" si="4"/>
        <v>152</v>
      </c>
      <c r="FE5" s="194">
        <f t="shared" si="4"/>
        <v>153</v>
      </c>
      <c r="FF5" s="194">
        <f t="shared" si="4"/>
        <v>154</v>
      </c>
      <c r="FG5" s="194">
        <f t="shared" si="4"/>
        <v>155</v>
      </c>
      <c r="FH5" s="194">
        <f t="shared" si="4"/>
        <v>156</v>
      </c>
    </row>
    <row r="6" spans="1:164" x14ac:dyDescent="0.2">
      <c r="A6" s="10"/>
      <c r="B6" s="24" t="s">
        <v>678</v>
      </c>
      <c r="C6" s="24"/>
      <c r="D6" s="26" t="s">
        <v>820</v>
      </c>
      <c r="E6" s="26" t="s">
        <v>821</v>
      </c>
      <c r="F6" s="26" t="s">
        <v>822</v>
      </c>
      <c r="G6" s="26" t="s">
        <v>823</v>
      </c>
      <c r="H6" s="26"/>
      <c r="I6" s="207">
        <f>$D$10</f>
        <v>46388</v>
      </c>
      <c r="J6" s="207">
        <f t="shared" ref="J6:AO6" si="5">EDATE(I6,1)</f>
        <v>46419</v>
      </c>
      <c r="K6" s="207">
        <f t="shared" si="5"/>
        <v>46447</v>
      </c>
      <c r="L6" s="207">
        <f t="shared" si="5"/>
        <v>46478</v>
      </c>
      <c r="M6" s="207">
        <f t="shared" si="5"/>
        <v>46508</v>
      </c>
      <c r="N6" s="207">
        <f t="shared" si="5"/>
        <v>46539</v>
      </c>
      <c r="O6" s="207">
        <f t="shared" si="5"/>
        <v>46569</v>
      </c>
      <c r="P6" s="207">
        <f t="shared" si="5"/>
        <v>46600</v>
      </c>
      <c r="Q6" s="207">
        <f t="shared" si="5"/>
        <v>46631</v>
      </c>
      <c r="R6" s="207">
        <f t="shared" si="5"/>
        <v>46661</v>
      </c>
      <c r="S6" s="207">
        <f t="shared" si="5"/>
        <v>46692</v>
      </c>
      <c r="T6" s="207">
        <f t="shared" si="5"/>
        <v>46722</v>
      </c>
      <c r="U6" s="207">
        <f t="shared" si="5"/>
        <v>46753</v>
      </c>
      <c r="V6" s="207">
        <f t="shared" si="5"/>
        <v>46784</v>
      </c>
      <c r="W6" s="207">
        <f t="shared" si="5"/>
        <v>46813</v>
      </c>
      <c r="X6" s="207">
        <f t="shared" si="5"/>
        <v>46844</v>
      </c>
      <c r="Y6" s="207">
        <f t="shared" si="5"/>
        <v>46874</v>
      </c>
      <c r="Z6" s="207">
        <f t="shared" si="5"/>
        <v>46905</v>
      </c>
      <c r="AA6" s="207">
        <f t="shared" si="5"/>
        <v>46935</v>
      </c>
      <c r="AB6" s="207">
        <f t="shared" si="5"/>
        <v>46966</v>
      </c>
      <c r="AC6" s="207">
        <f t="shared" si="5"/>
        <v>46997</v>
      </c>
      <c r="AD6" s="207">
        <f t="shared" si="5"/>
        <v>47027</v>
      </c>
      <c r="AE6" s="207">
        <f t="shared" si="5"/>
        <v>47058</v>
      </c>
      <c r="AF6" s="207">
        <f t="shared" si="5"/>
        <v>47088</v>
      </c>
      <c r="AG6" s="207">
        <f t="shared" si="5"/>
        <v>47119</v>
      </c>
      <c r="AH6" s="207">
        <f t="shared" si="5"/>
        <v>47150</v>
      </c>
      <c r="AI6" s="207">
        <f t="shared" si="5"/>
        <v>47178</v>
      </c>
      <c r="AJ6" s="207">
        <f t="shared" si="5"/>
        <v>47209</v>
      </c>
      <c r="AK6" s="207">
        <f t="shared" si="5"/>
        <v>47239</v>
      </c>
      <c r="AL6" s="207">
        <f t="shared" si="5"/>
        <v>47270</v>
      </c>
      <c r="AM6" s="207">
        <f t="shared" si="5"/>
        <v>47300</v>
      </c>
      <c r="AN6" s="207">
        <f t="shared" si="5"/>
        <v>47331</v>
      </c>
      <c r="AO6" s="207">
        <f t="shared" si="5"/>
        <v>47362</v>
      </c>
      <c r="AP6" s="207">
        <f t="shared" ref="AP6:BU6" si="6">EDATE(AO6,1)</f>
        <v>47392</v>
      </c>
      <c r="AQ6" s="207">
        <f t="shared" si="6"/>
        <v>47423</v>
      </c>
      <c r="AR6" s="207">
        <f t="shared" si="6"/>
        <v>47453</v>
      </c>
      <c r="AS6" s="207">
        <f t="shared" si="6"/>
        <v>47484</v>
      </c>
      <c r="AT6" s="207">
        <f t="shared" si="6"/>
        <v>47515</v>
      </c>
      <c r="AU6" s="207">
        <f t="shared" si="6"/>
        <v>47543</v>
      </c>
      <c r="AV6" s="207">
        <f t="shared" si="6"/>
        <v>47574</v>
      </c>
      <c r="AW6" s="207">
        <f t="shared" si="6"/>
        <v>47604</v>
      </c>
      <c r="AX6" s="207">
        <f t="shared" si="6"/>
        <v>47635</v>
      </c>
      <c r="AY6" s="207">
        <f t="shared" si="6"/>
        <v>47665</v>
      </c>
      <c r="AZ6" s="207">
        <f t="shared" si="6"/>
        <v>47696</v>
      </c>
      <c r="BA6" s="207">
        <f t="shared" si="6"/>
        <v>47727</v>
      </c>
      <c r="BB6" s="207">
        <f t="shared" si="6"/>
        <v>47757</v>
      </c>
      <c r="BC6" s="207">
        <f t="shared" si="6"/>
        <v>47788</v>
      </c>
      <c r="BD6" s="207">
        <f t="shared" si="6"/>
        <v>47818</v>
      </c>
      <c r="BE6" s="207">
        <f t="shared" si="6"/>
        <v>47849</v>
      </c>
      <c r="BF6" s="207">
        <f t="shared" si="6"/>
        <v>47880</v>
      </c>
      <c r="BG6" s="207">
        <f t="shared" si="6"/>
        <v>47908</v>
      </c>
      <c r="BH6" s="207">
        <f t="shared" si="6"/>
        <v>47939</v>
      </c>
      <c r="BI6" s="207">
        <f t="shared" si="6"/>
        <v>47969</v>
      </c>
      <c r="BJ6" s="207">
        <f t="shared" si="6"/>
        <v>48000</v>
      </c>
      <c r="BK6" s="207">
        <f t="shared" si="6"/>
        <v>48030</v>
      </c>
      <c r="BL6" s="207">
        <f t="shared" si="6"/>
        <v>48061</v>
      </c>
      <c r="BM6" s="207">
        <f t="shared" si="6"/>
        <v>48092</v>
      </c>
      <c r="BN6" s="207">
        <f t="shared" si="6"/>
        <v>48122</v>
      </c>
      <c r="BO6" s="207">
        <f t="shared" si="6"/>
        <v>48153</v>
      </c>
      <c r="BP6" s="207">
        <f t="shared" si="6"/>
        <v>48183</v>
      </c>
      <c r="BQ6" s="207">
        <f t="shared" si="6"/>
        <v>48214</v>
      </c>
      <c r="BR6" s="207">
        <f t="shared" si="6"/>
        <v>48245</v>
      </c>
      <c r="BS6" s="207">
        <f t="shared" si="6"/>
        <v>48274</v>
      </c>
      <c r="BT6" s="207">
        <f t="shared" si="6"/>
        <v>48305</v>
      </c>
      <c r="BU6" s="207">
        <f t="shared" si="6"/>
        <v>48335</v>
      </c>
      <c r="BV6" s="207">
        <f t="shared" ref="BV6:DA6" si="7">EDATE(BU6,1)</f>
        <v>48366</v>
      </c>
      <c r="BW6" s="207">
        <f t="shared" si="7"/>
        <v>48396</v>
      </c>
      <c r="BX6" s="207">
        <f t="shared" si="7"/>
        <v>48427</v>
      </c>
      <c r="BY6" s="207">
        <f t="shared" si="7"/>
        <v>48458</v>
      </c>
      <c r="BZ6" s="207">
        <f t="shared" si="7"/>
        <v>48488</v>
      </c>
      <c r="CA6" s="207">
        <f t="shared" si="7"/>
        <v>48519</v>
      </c>
      <c r="CB6" s="207">
        <f t="shared" si="7"/>
        <v>48549</v>
      </c>
      <c r="CC6" s="207">
        <f t="shared" si="7"/>
        <v>48580</v>
      </c>
      <c r="CD6" s="207">
        <f t="shared" si="7"/>
        <v>48611</v>
      </c>
      <c r="CE6" s="207">
        <f t="shared" si="7"/>
        <v>48639</v>
      </c>
      <c r="CF6" s="207">
        <f t="shared" si="7"/>
        <v>48670</v>
      </c>
      <c r="CG6" s="207">
        <f t="shared" si="7"/>
        <v>48700</v>
      </c>
      <c r="CH6" s="207">
        <f t="shared" si="7"/>
        <v>48731</v>
      </c>
      <c r="CI6" s="207">
        <f t="shared" si="7"/>
        <v>48761</v>
      </c>
      <c r="CJ6" s="207">
        <f t="shared" si="7"/>
        <v>48792</v>
      </c>
      <c r="CK6" s="207">
        <f t="shared" si="7"/>
        <v>48823</v>
      </c>
      <c r="CL6" s="207">
        <f t="shared" si="7"/>
        <v>48853</v>
      </c>
      <c r="CM6" s="207">
        <f t="shared" si="7"/>
        <v>48884</v>
      </c>
      <c r="CN6" s="207">
        <f t="shared" si="7"/>
        <v>48914</v>
      </c>
      <c r="CO6" s="207">
        <f t="shared" si="7"/>
        <v>48945</v>
      </c>
      <c r="CP6" s="207">
        <f t="shared" si="7"/>
        <v>48976</v>
      </c>
      <c r="CQ6" s="207">
        <f t="shared" si="7"/>
        <v>49004</v>
      </c>
      <c r="CR6" s="207">
        <f t="shared" si="7"/>
        <v>49035</v>
      </c>
      <c r="CS6" s="207">
        <f t="shared" si="7"/>
        <v>49065</v>
      </c>
      <c r="CT6" s="207">
        <f t="shared" si="7"/>
        <v>49096</v>
      </c>
      <c r="CU6" s="207">
        <f t="shared" si="7"/>
        <v>49126</v>
      </c>
      <c r="CV6" s="207">
        <f t="shared" si="7"/>
        <v>49157</v>
      </c>
      <c r="CW6" s="207">
        <f t="shared" si="7"/>
        <v>49188</v>
      </c>
      <c r="CX6" s="207">
        <f t="shared" si="7"/>
        <v>49218</v>
      </c>
      <c r="CY6" s="207">
        <f t="shared" si="7"/>
        <v>49249</v>
      </c>
      <c r="CZ6" s="207">
        <f t="shared" si="7"/>
        <v>49279</v>
      </c>
      <c r="DA6" s="207">
        <f t="shared" si="7"/>
        <v>49310</v>
      </c>
      <c r="DB6" s="207">
        <f t="shared" ref="DB6:EG6" si="8">EDATE(DA6,1)</f>
        <v>49341</v>
      </c>
      <c r="DC6" s="207">
        <f t="shared" si="8"/>
        <v>49369</v>
      </c>
      <c r="DD6" s="207">
        <f t="shared" si="8"/>
        <v>49400</v>
      </c>
      <c r="DE6" s="207">
        <f t="shared" si="8"/>
        <v>49430</v>
      </c>
      <c r="DF6" s="207">
        <f t="shared" si="8"/>
        <v>49461</v>
      </c>
      <c r="DG6" s="207">
        <f t="shared" si="8"/>
        <v>49491</v>
      </c>
      <c r="DH6" s="207">
        <f t="shared" si="8"/>
        <v>49522</v>
      </c>
      <c r="DI6" s="207">
        <f t="shared" si="8"/>
        <v>49553</v>
      </c>
      <c r="DJ6" s="207">
        <f t="shared" si="8"/>
        <v>49583</v>
      </c>
      <c r="DK6" s="207">
        <f t="shared" si="8"/>
        <v>49614</v>
      </c>
      <c r="DL6" s="207">
        <f t="shared" si="8"/>
        <v>49644</v>
      </c>
      <c r="DM6" s="207">
        <f t="shared" si="8"/>
        <v>49675</v>
      </c>
      <c r="DN6" s="207">
        <f t="shared" si="8"/>
        <v>49706</v>
      </c>
      <c r="DO6" s="207">
        <f t="shared" si="8"/>
        <v>49735</v>
      </c>
      <c r="DP6" s="207">
        <f t="shared" si="8"/>
        <v>49766</v>
      </c>
      <c r="DQ6" s="207">
        <f t="shared" si="8"/>
        <v>49796</v>
      </c>
      <c r="DR6" s="207">
        <f t="shared" si="8"/>
        <v>49827</v>
      </c>
      <c r="DS6" s="207">
        <f t="shared" si="8"/>
        <v>49857</v>
      </c>
      <c r="DT6" s="207">
        <f t="shared" si="8"/>
        <v>49888</v>
      </c>
      <c r="DU6" s="207">
        <f t="shared" si="8"/>
        <v>49919</v>
      </c>
      <c r="DV6" s="207">
        <f t="shared" si="8"/>
        <v>49949</v>
      </c>
      <c r="DW6" s="207">
        <f t="shared" si="8"/>
        <v>49980</v>
      </c>
      <c r="DX6" s="207">
        <f t="shared" si="8"/>
        <v>50010</v>
      </c>
      <c r="DY6" s="207">
        <f t="shared" si="8"/>
        <v>50041</v>
      </c>
      <c r="DZ6" s="207">
        <f t="shared" si="8"/>
        <v>50072</v>
      </c>
      <c r="EA6" s="207">
        <f t="shared" si="8"/>
        <v>50100</v>
      </c>
      <c r="EB6" s="207">
        <f t="shared" si="8"/>
        <v>50131</v>
      </c>
      <c r="EC6" s="207">
        <f t="shared" si="8"/>
        <v>50161</v>
      </c>
      <c r="ED6" s="207">
        <f t="shared" si="8"/>
        <v>50192</v>
      </c>
      <c r="EE6" s="207">
        <f t="shared" si="8"/>
        <v>50222</v>
      </c>
      <c r="EF6" s="207">
        <f t="shared" si="8"/>
        <v>50253</v>
      </c>
      <c r="EG6" s="207">
        <f t="shared" si="8"/>
        <v>50284</v>
      </c>
      <c r="EH6" s="207">
        <f t="shared" ref="EH6:FH6" si="9">EDATE(EG6,1)</f>
        <v>50314</v>
      </c>
      <c r="EI6" s="207">
        <f t="shared" si="9"/>
        <v>50345</v>
      </c>
      <c r="EJ6" s="207">
        <f t="shared" si="9"/>
        <v>50375</v>
      </c>
      <c r="EK6" s="207">
        <f t="shared" si="9"/>
        <v>50406</v>
      </c>
      <c r="EL6" s="207">
        <f t="shared" si="9"/>
        <v>50437</v>
      </c>
      <c r="EM6" s="207">
        <f t="shared" si="9"/>
        <v>50465</v>
      </c>
      <c r="EN6" s="207">
        <f t="shared" si="9"/>
        <v>50496</v>
      </c>
      <c r="EO6" s="207">
        <f t="shared" si="9"/>
        <v>50526</v>
      </c>
      <c r="EP6" s="207">
        <f t="shared" si="9"/>
        <v>50557</v>
      </c>
      <c r="EQ6" s="207">
        <f t="shared" si="9"/>
        <v>50587</v>
      </c>
      <c r="ER6" s="207">
        <f t="shared" si="9"/>
        <v>50618</v>
      </c>
      <c r="ES6" s="207">
        <f t="shared" si="9"/>
        <v>50649</v>
      </c>
      <c r="ET6" s="207">
        <f t="shared" si="9"/>
        <v>50679</v>
      </c>
      <c r="EU6" s="207">
        <f t="shared" si="9"/>
        <v>50710</v>
      </c>
      <c r="EV6" s="207">
        <f t="shared" si="9"/>
        <v>50740</v>
      </c>
      <c r="EW6" s="207">
        <f t="shared" si="9"/>
        <v>50771</v>
      </c>
      <c r="EX6" s="207">
        <f t="shared" si="9"/>
        <v>50802</v>
      </c>
      <c r="EY6" s="207">
        <f t="shared" si="9"/>
        <v>50830</v>
      </c>
      <c r="EZ6" s="207">
        <f t="shared" si="9"/>
        <v>50861</v>
      </c>
      <c r="FA6" s="207">
        <f t="shared" si="9"/>
        <v>50891</v>
      </c>
      <c r="FB6" s="207">
        <f t="shared" si="9"/>
        <v>50922</v>
      </c>
      <c r="FC6" s="207">
        <f t="shared" si="9"/>
        <v>50952</v>
      </c>
      <c r="FD6" s="207">
        <f t="shared" si="9"/>
        <v>50983</v>
      </c>
      <c r="FE6" s="207">
        <f t="shared" si="9"/>
        <v>51014</v>
      </c>
      <c r="FF6" s="207">
        <f t="shared" si="9"/>
        <v>51044</v>
      </c>
      <c r="FG6" s="207">
        <f t="shared" si="9"/>
        <v>51075</v>
      </c>
      <c r="FH6" s="207">
        <f t="shared" si="9"/>
        <v>51105</v>
      </c>
    </row>
    <row r="7" spans="1:164" x14ac:dyDescent="0.2">
      <c r="A7" s="10"/>
      <c r="B7" s="10"/>
      <c r="C7" s="10" t="s">
        <v>739</v>
      </c>
      <c r="D7" s="17"/>
      <c r="E7" s="17"/>
      <c r="F7" s="17"/>
      <c r="G7" s="17"/>
      <c r="H7" s="17"/>
      <c r="I7" s="203">
        <f t="shared" ref="I7:AN7" si="10">YEAR(I6)</f>
        <v>2027</v>
      </c>
      <c r="J7" s="203">
        <f t="shared" si="10"/>
        <v>2027</v>
      </c>
      <c r="K7" s="203">
        <f t="shared" si="10"/>
        <v>2027</v>
      </c>
      <c r="L7" s="203">
        <f t="shared" si="10"/>
        <v>2027</v>
      </c>
      <c r="M7" s="203">
        <f t="shared" si="10"/>
        <v>2027</v>
      </c>
      <c r="N7" s="203">
        <f t="shared" si="10"/>
        <v>2027</v>
      </c>
      <c r="O7" s="203">
        <f t="shared" si="10"/>
        <v>2027</v>
      </c>
      <c r="P7" s="203">
        <f t="shared" si="10"/>
        <v>2027</v>
      </c>
      <c r="Q7" s="203">
        <f t="shared" si="10"/>
        <v>2027</v>
      </c>
      <c r="R7" s="203">
        <f t="shared" si="10"/>
        <v>2027</v>
      </c>
      <c r="S7" s="203">
        <f t="shared" si="10"/>
        <v>2027</v>
      </c>
      <c r="T7" s="203">
        <f t="shared" si="10"/>
        <v>2027</v>
      </c>
      <c r="U7" s="203">
        <f t="shared" si="10"/>
        <v>2028</v>
      </c>
      <c r="V7" s="203">
        <f t="shared" si="10"/>
        <v>2028</v>
      </c>
      <c r="W7" s="203">
        <f t="shared" si="10"/>
        <v>2028</v>
      </c>
      <c r="X7" s="203">
        <f t="shared" si="10"/>
        <v>2028</v>
      </c>
      <c r="Y7" s="203">
        <f t="shared" si="10"/>
        <v>2028</v>
      </c>
      <c r="Z7" s="203">
        <f t="shared" si="10"/>
        <v>2028</v>
      </c>
      <c r="AA7" s="203">
        <f t="shared" si="10"/>
        <v>2028</v>
      </c>
      <c r="AB7" s="203">
        <f t="shared" si="10"/>
        <v>2028</v>
      </c>
      <c r="AC7" s="203">
        <f t="shared" si="10"/>
        <v>2028</v>
      </c>
      <c r="AD7" s="203">
        <f t="shared" si="10"/>
        <v>2028</v>
      </c>
      <c r="AE7" s="203">
        <f t="shared" si="10"/>
        <v>2028</v>
      </c>
      <c r="AF7" s="203">
        <f t="shared" si="10"/>
        <v>2028</v>
      </c>
      <c r="AG7" s="203">
        <f t="shared" si="10"/>
        <v>2029</v>
      </c>
      <c r="AH7" s="203">
        <f t="shared" si="10"/>
        <v>2029</v>
      </c>
      <c r="AI7" s="203">
        <f t="shared" si="10"/>
        <v>2029</v>
      </c>
      <c r="AJ7" s="203">
        <f t="shared" si="10"/>
        <v>2029</v>
      </c>
      <c r="AK7" s="203">
        <f t="shared" si="10"/>
        <v>2029</v>
      </c>
      <c r="AL7" s="203">
        <f t="shared" si="10"/>
        <v>2029</v>
      </c>
      <c r="AM7" s="203">
        <f t="shared" si="10"/>
        <v>2029</v>
      </c>
      <c r="AN7" s="203">
        <f t="shared" si="10"/>
        <v>2029</v>
      </c>
      <c r="AO7" s="203">
        <f t="shared" ref="AO7:BT7" si="11">YEAR(AO6)</f>
        <v>2029</v>
      </c>
      <c r="AP7" s="203">
        <f t="shared" si="11"/>
        <v>2029</v>
      </c>
      <c r="AQ7" s="203">
        <f t="shared" si="11"/>
        <v>2029</v>
      </c>
      <c r="AR7" s="203">
        <f t="shared" si="11"/>
        <v>2029</v>
      </c>
      <c r="AS7" s="203">
        <f t="shared" si="11"/>
        <v>2030</v>
      </c>
      <c r="AT7" s="203">
        <f t="shared" si="11"/>
        <v>2030</v>
      </c>
      <c r="AU7" s="203">
        <f t="shared" si="11"/>
        <v>2030</v>
      </c>
      <c r="AV7" s="203">
        <f t="shared" si="11"/>
        <v>2030</v>
      </c>
      <c r="AW7" s="203">
        <f t="shared" si="11"/>
        <v>2030</v>
      </c>
      <c r="AX7" s="203">
        <f t="shared" si="11"/>
        <v>2030</v>
      </c>
      <c r="AY7" s="203">
        <f t="shared" si="11"/>
        <v>2030</v>
      </c>
      <c r="AZ7" s="203">
        <f t="shared" si="11"/>
        <v>2030</v>
      </c>
      <c r="BA7" s="203">
        <f t="shared" si="11"/>
        <v>2030</v>
      </c>
      <c r="BB7" s="203">
        <f t="shared" si="11"/>
        <v>2030</v>
      </c>
      <c r="BC7" s="203">
        <f t="shared" si="11"/>
        <v>2030</v>
      </c>
      <c r="BD7" s="203">
        <f t="shared" si="11"/>
        <v>2030</v>
      </c>
      <c r="BE7" s="203">
        <f t="shared" si="11"/>
        <v>2031</v>
      </c>
      <c r="BF7" s="203">
        <f t="shared" si="11"/>
        <v>2031</v>
      </c>
      <c r="BG7" s="203">
        <f t="shared" si="11"/>
        <v>2031</v>
      </c>
      <c r="BH7" s="203">
        <f t="shared" si="11"/>
        <v>2031</v>
      </c>
      <c r="BI7" s="203">
        <f t="shared" si="11"/>
        <v>2031</v>
      </c>
      <c r="BJ7" s="203">
        <f t="shared" si="11"/>
        <v>2031</v>
      </c>
      <c r="BK7" s="203">
        <f t="shared" si="11"/>
        <v>2031</v>
      </c>
      <c r="BL7" s="203">
        <f t="shared" si="11"/>
        <v>2031</v>
      </c>
      <c r="BM7" s="203">
        <f t="shared" si="11"/>
        <v>2031</v>
      </c>
      <c r="BN7" s="203">
        <f t="shared" si="11"/>
        <v>2031</v>
      </c>
      <c r="BO7" s="203">
        <f t="shared" si="11"/>
        <v>2031</v>
      </c>
      <c r="BP7" s="203">
        <f t="shared" si="11"/>
        <v>2031</v>
      </c>
      <c r="BQ7" s="203">
        <f t="shared" si="11"/>
        <v>2032</v>
      </c>
      <c r="BR7" s="203">
        <f t="shared" si="11"/>
        <v>2032</v>
      </c>
      <c r="BS7" s="203">
        <f t="shared" si="11"/>
        <v>2032</v>
      </c>
      <c r="BT7" s="203">
        <f t="shared" si="11"/>
        <v>2032</v>
      </c>
      <c r="BU7" s="203">
        <f t="shared" ref="BU7:CZ7" si="12">YEAR(BU6)</f>
        <v>2032</v>
      </c>
      <c r="BV7" s="203">
        <f t="shared" si="12"/>
        <v>2032</v>
      </c>
      <c r="BW7" s="203">
        <f t="shared" si="12"/>
        <v>2032</v>
      </c>
      <c r="BX7" s="203">
        <f t="shared" si="12"/>
        <v>2032</v>
      </c>
      <c r="BY7" s="203">
        <f t="shared" si="12"/>
        <v>2032</v>
      </c>
      <c r="BZ7" s="203">
        <f t="shared" si="12"/>
        <v>2032</v>
      </c>
      <c r="CA7" s="203">
        <f t="shared" si="12"/>
        <v>2032</v>
      </c>
      <c r="CB7" s="203">
        <f t="shared" si="12"/>
        <v>2032</v>
      </c>
      <c r="CC7" s="203">
        <f t="shared" si="12"/>
        <v>2033</v>
      </c>
      <c r="CD7" s="203">
        <f t="shared" si="12"/>
        <v>2033</v>
      </c>
      <c r="CE7" s="203">
        <f t="shared" si="12"/>
        <v>2033</v>
      </c>
      <c r="CF7" s="203">
        <f t="shared" si="12"/>
        <v>2033</v>
      </c>
      <c r="CG7" s="203">
        <f t="shared" si="12"/>
        <v>2033</v>
      </c>
      <c r="CH7" s="203">
        <f t="shared" si="12"/>
        <v>2033</v>
      </c>
      <c r="CI7" s="203">
        <f t="shared" si="12"/>
        <v>2033</v>
      </c>
      <c r="CJ7" s="203">
        <f t="shared" si="12"/>
        <v>2033</v>
      </c>
      <c r="CK7" s="203">
        <f t="shared" si="12"/>
        <v>2033</v>
      </c>
      <c r="CL7" s="203">
        <f t="shared" si="12"/>
        <v>2033</v>
      </c>
      <c r="CM7" s="203">
        <f t="shared" si="12"/>
        <v>2033</v>
      </c>
      <c r="CN7" s="203">
        <f t="shared" si="12"/>
        <v>2033</v>
      </c>
      <c r="CO7" s="203">
        <f t="shared" si="12"/>
        <v>2034</v>
      </c>
      <c r="CP7" s="203">
        <f t="shared" si="12"/>
        <v>2034</v>
      </c>
      <c r="CQ7" s="203">
        <f t="shared" si="12"/>
        <v>2034</v>
      </c>
      <c r="CR7" s="203">
        <f t="shared" si="12"/>
        <v>2034</v>
      </c>
      <c r="CS7" s="203">
        <f t="shared" si="12"/>
        <v>2034</v>
      </c>
      <c r="CT7" s="203">
        <f t="shared" si="12"/>
        <v>2034</v>
      </c>
      <c r="CU7" s="203">
        <f t="shared" si="12"/>
        <v>2034</v>
      </c>
      <c r="CV7" s="203">
        <f t="shared" si="12"/>
        <v>2034</v>
      </c>
      <c r="CW7" s="203">
        <f t="shared" si="12"/>
        <v>2034</v>
      </c>
      <c r="CX7" s="203">
        <f t="shared" si="12"/>
        <v>2034</v>
      </c>
      <c r="CY7" s="203">
        <f t="shared" si="12"/>
        <v>2034</v>
      </c>
      <c r="CZ7" s="203">
        <f t="shared" si="12"/>
        <v>2034</v>
      </c>
      <c r="DA7" s="203">
        <f t="shared" ref="DA7:EF7" si="13">YEAR(DA6)</f>
        <v>2035</v>
      </c>
      <c r="DB7" s="203">
        <f t="shared" si="13"/>
        <v>2035</v>
      </c>
      <c r="DC7" s="203">
        <f t="shared" si="13"/>
        <v>2035</v>
      </c>
      <c r="DD7" s="203">
        <f t="shared" si="13"/>
        <v>2035</v>
      </c>
      <c r="DE7" s="203">
        <f t="shared" si="13"/>
        <v>2035</v>
      </c>
      <c r="DF7" s="203">
        <f t="shared" si="13"/>
        <v>2035</v>
      </c>
      <c r="DG7" s="203">
        <f t="shared" si="13"/>
        <v>2035</v>
      </c>
      <c r="DH7" s="203">
        <f t="shared" si="13"/>
        <v>2035</v>
      </c>
      <c r="DI7" s="203">
        <f t="shared" si="13"/>
        <v>2035</v>
      </c>
      <c r="DJ7" s="203">
        <f t="shared" si="13"/>
        <v>2035</v>
      </c>
      <c r="DK7" s="203">
        <f t="shared" si="13"/>
        <v>2035</v>
      </c>
      <c r="DL7" s="203">
        <f t="shared" si="13"/>
        <v>2035</v>
      </c>
      <c r="DM7" s="203">
        <f t="shared" si="13"/>
        <v>2036</v>
      </c>
      <c r="DN7" s="203">
        <f t="shared" si="13"/>
        <v>2036</v>
      </c>
      <c r="DO7" s="203">
        <f t="shared" si="13"/>
        <v>2036</v>
      </c>
      <c r="DP7" s="203">
        <f t="shared" si="13"/>
        <v>2036</v>
      </c>
      <c r="DQ7" s="203">
        <f t="shared" si="13"/>
        <v>2036</v>
      </c>
      <c r="DR7" s="203">
        <f t="shared" si="13"/>
        <v>2036</v>
      </c>
      <c r="DS7" s="203">
        <f t="shared" si="13"/>
        <v>2036</v>
      </c>
      <c r="DT7" s="203">
        <f t="shared" si="13"/>
        <v>2036</v>
      </c>
      <c r="DU7" s="203">
        <f t="shared" si="13"/>
        <v>2036</v>
      </c>
      <c r="DV7" s="203">
        <f t="shared" si="13"/>
        <v>2036</v>
      </c>
      <c r="DW7" s="203">
        <f t="shared" si="13"/>
        <v>2036</v>
      </c>
      <c r="DX7" s="203">
        <f t="shared" si="13"/>
        <v>2036</v>
      </c>
      <c r="DY7" s="203">
        <f t="shared" si="13"/>
        <v>2037</v>
      </c>
      <c r="DZ7" s="203">
        <f t="shared" si="13"/>
        <v>2037</v>
      </c>
      <c r="EA7" s="203">
        <f t="shared" si="13"/>
        <v>2037</v>
      </c>
      <c r="EB7" s="203">
        <f t="shared" si="13"/>
        <v>2037</v>
      </c>
      <c r="EC7" s="203">
        <f t="shared" si="13"/>
        <v>2037</v>
      </c>
      <c r="ED7" s="203">
        <f t="shared" si="13"/>
        <v>2037</v>
      </c>
      <c r="EE7" s="203">
        <f t="shared" si="13"/>
        <v>2037</v>
      </c>
      <c r="EF7" s="203">
        <f t="shared" si="13"/>
        <v>2037</v>
      </c>
      <c r="EG7" s="203">
        <f t="shared" ref="EG7:FH7" si="14">YEAR(EG6)</f>
        <v>2037</v>
      </c>
      <c r="EH7" s="203">
        <f t="shared" si="14"/>
        <v>2037</v>
      </c>
      <c r="EI7" s="203">
        <f t="shared" si="14"/>
        <v>2037</v>
      </c>
      <c r="EJ7" s="203">
        <f t="shared" si="14"/>
        <v>2037</v>
      </c>
      <c r="EK7" s="203">
        <f t="shared" si="14"/>
        <v>2038</v>
      </c>
      <c r="EL7" s="203">
        <f t="shared" si="14"/>
        <v>2038</v>
      </c>
      <c r="EM7" s="203">
        <f t="shared" si="14"/>
        <v>2038</v>
      </c>
      <c r="EN7" s="203">
        <f t="shared" si="14"/>
        <v>2038</v>
      </c>
      <c r="EO7" s="203">
        <f t="shared" si="14"/>
        <v>2038</v>
      </c>
      <c r="EP7" s="203">
        <f t="shared" si="14"/>
        <v>2038</v>
      </c>
      <c r="EQ7" s="203">
        <f t="shared" si="14"/>
        <v>2038</v>
      </c>
      <c r="ER7" s="203">
        <f t="shared" si="14"/>
        <v>2038</v>
      </c>
      <c r="ES7" s="203">
        <f t="shared" si="14"/>
        <v>2038</v>
      </c>
      <c r="ET7" s="203">
        <f t="shared" si="14"/>
        <v>2038</v>
      </c>
      <c r="EU7" s="203">
        <f t="shared" si="14"/>
        <v>2038</v>
      </c>
      <c r="EV7" s="203">
        <f t="shared" si="14"/>
        <v>2038</v>
      </c>
      <c r="EW7" s="203">
        <f t="shared" si="14"/>
        <v>2039</v>
      </c>
      <c r="EX7" s="203">
        <f t="shared" si="14"/>
        <v>2039</v>
      </c>
      <c r="EY7" s="203">
        <f t="shared" si="14"/>
        <v>2039</v>
      </c>
      <c r="EZ7" s="203">
        <f t="shared" si="14"/>
        <v>2039</v>
      </c>
      <c r="FA7" s="203">
        <f t="shared" si="14"/>
        <v>2039</v>
      </c>
      <c r="FB7" s="203">
        <f t="shared" si="14"/>
        <v>2039</v>
      </c>
      <c r="FC7" s="203">
        <f t="shared" si="14"/>
        <v>2039</v>
      </c>
      <c r="FD7" s="203">
        <f t="shared" si="14"/>
        <v>2039</v>
      </c>
      <c r="FE7" s="203">
        <f t="shared" si="14"/>
        <v>2039</v>
      </c>
      <c r="FF7" s="203">
        <f t="shared" si="14"/>
        <v>2039</v>
      </c>
      <c r="FG7" s="203">
        <f t="shared" si="14"/>
        <v>2039</v>
      </c>
      <c r="FH7" s="203">
        <f t="shared" si="14"/>
        <v>2039</v>
      </c>
    </row>
    <row r="8" spans="1:164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</row>
    <row r="9" spans="1:164" x14ac:dyDescent="0.2">
      <c r="A9" s="10"/>
      <c r="B9" s="24" t="s">
        <v>683</v>
      </c>
      <c r="C9" s="24"/>
      <c r="D9" s="24"/>
      <c r="E9" s="24"/>
      <c r="F9" s="24"/>
      <c r="G9" s="24"/>
      <c r="H9" s="2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</row>
    <row r="10" spans="1:164" x14ac:dyDescent="0.2">
      <c r="A10" s="10"/>
      <c r="B10" s="10"/>
      <c r="C10" s="10" t="s">
        <v>684</v>
      </c>
      <c r="D10" s="214">
        <v>46388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</row>
    <row r="11" spans="1:164" x14ac:dyDescent="0.2">
      <c r="A11" s="10"/>
      <c r="B11" s="10"/>
      <c r="C11" s="10" t="s">
        <v>824</v>
      </c>
      <c r="D11" s="39">
        <v>0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</row>
    <row r="12" spans="1:164" x14ac:dyDescent="0.2">
      <c r="A12" s="10"/>
      <c r="B12" s="10"/>
      <c r="C12" s="10" t="s">
        <v>55</v>
      </c>
      <c r="D12" s="42">
        <f>MANAGEMENT!$H$6</f>
        <v>0.09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</row>
    <row r="13" spans="1:164" x14ac:dyDescent="0.2">
      <c r="A13" s="10"/>
      <c r="B13" s="10"/>
      <c r="C13" s="10" t="s">
        <v>825</v>
      </c>
      <c r="D13" s="40">
        <v>24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</row>
    <row r="14" spans="1:164" x14ac:dyDescent="0.2">
      <c r="A14" s="10"/>
      <c r="B14" s="10"/>
      <c r="C14" s="10" t="s">
        <v>808</v>
      </c>
      <c r="D14" s="334" t="s">
        <v>780</v>
      </c>
      <c r="E14" s="335"/>
      <c r="F14" s="335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</row>
    <row r="15" spans="1:164" x14ac:dyDescent="0.2">
      <c r="C15" s="10" t="s">
        <v>944</v>
      </c>
      <c r="D15" s="85">
        <v>0.15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</row>
    <row r="16" spans="1:164" x14ac:dyDescent="0.2">
      <c r="C16" s="10" t="s">
        <v>945</v>
      </c>
      <c r="D16" s="85">
        <v>0.1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</row>
    <row r="17" spans="1:164" x14ac:dyDescent="0.2">
      <c r="A17" s="10"/>
      <c r="B17" s="24" t="s">
        <v>826</v>
      </c>
      <c r="C17" s="24"/>
      <c r="D17" s="24"/>
      <c r="E17" s="24"/>
      <c r="F17" s="24"/>
      <c r="G17" s="24"/>
      <c r="H17" s="24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</row>
    <row r="18" spans="1:164" x14ac:dyDescent="0.2">
      <c r="A18" s="10"/>
      <c r="B18" s="10"/>
      <c r="C18" s="10" t="s">
        <v>827</v>
      </c>
      <c r="D18" s="194">
        <v>1</v>
      </c>
      <c r="E18" s="194">
        <v>2</v>
      </c>
      <c r="F18" s="194">
        <v>3</v>
      </c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</row>
    <row r="19" spans="1:164" x14ac:dyDescent="0.2">
      <c r="A19" s="10"/>
      <c r="B19" s="10"/>
      <c r="C19" s="10" t="s">
        <v>32</v>
      </c>
      <c r="D19" s="106">
        <f>SUMIF($D$80:$D$94,D$18,$N$80:$N$94)</f>
        <v>93</v>
      </c>
      <c r="E19" s="106">
        <f>SUMIF($D$80:$D$94,E$18,$N$80:$N$94)</f>
        <v>192</v>
      </c>
      <c r="F19" s="106">
        <f>SUMIF($D$80:$D$94,F$18,$N$80:$N$94)</f>
        <v>87</v>
      </c>
      <c r="G19" s="106">
        <f>SUM(D19:F19)</f>
        <v>372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</row>
    <row r="20" spans="1:164" x14ac:dyDescent="0.2">
      <c r="A20" s="10"/>
      <c r="B20" s="10"/>
      <c r="C20" s="10" t="s">
        <v>862</v>
      </c>
      <c r="D20" s="106">
        <f>SUMIF($D$80:$D$94,D$18,$O$80:$O$94)</f>
        <v>82600</v>
      </c>
      <c r="E20" s="106">
        <f>SUMIF($D$80:$D$94,E$18,$O$80:$O$94)</f>
        <v>185400</v>
      </c>
      <c r="F20" s="106">
        <f>SUMIF($D$80:$D$94,F$18,$O$80:$O$94)</f>
        <v>162800</v>
      </c>
      <c r="G20" s="106">
        <f>SUM(D20:F20)</f>
        <v>430800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</row>
    <row r="21" spans="1:164" x14ac:dyDescent="0.2">
      <c r="A21" s="10"/>
      <c r="B21" s="10"/>
      <c r="C21" s="10" t="s">
        <v>863</v>
      </c>
      <c r="D21" s="106">
        <f>IFERROR(D20/D19,0)</f>
        <v>888.17204301075265</v>
      </c>
      <c r="E21" s="106">
        <f>IFERROR(E20/E19,0)</f>
        <v>965.625</v>
      </c>
      <c r="F21" s="106">
        <f>IFERROR(F20/F19,0)</f>
        <v>1871.2643678160919</v>
      </c>
      <c r="G21" s="106">
        <f>IFERROR(G20/G19,0)</f>
        <v>1158.0645161290322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</row>
    <row r="22" spans="1:164" x14ac:dyDescent="0.2">
      <c r="A22" s="10"/>
      <c r="B22" s="10"/>
      <c r="C22" s="10" t="s">
        <v>864</v>
      </c>
      <c r="D22" s="106">
        <f>IFERROR(D23*1000/D20,0)</f>
        <v>2175.3026634382568</v>
      </c>
      <c r="E22" s="57">
        <f>IFERROR(E23*1000/E20,0)</f>
        <v>2512.8802588996759</v>
      </c>
      <c r="F22" s="57">
        <f>IFERROR(F23*1000/F20,0)</f>
        <v>2567.33968058968</v>
      </c>
      <c r="G22" s="106">
        <f>IFERROR(G23*1000/G20,0)</f>
        <v>2468.734679665738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</row>
    <row r="23" spans="1:164" x14ac:dyDescent="0.2">
      <c r="A23" s="10"/>
      <c r="B23" s="10"/>
      <c r="C23" s="48" t="s">
        <v>429</v>
      </c>
      <c r="D23" s="209">
        <f>SUMIF($D$80:$D$94,D$18,$P$80:$P$94)*(1+$D$15)^(D$18-1)</f>
        <v>179680</v>
      </c>
      <c r="E23" s="209">
        <f>SUMIF($D$80:$D$94,E$18,$P$80:$P$94)*(1+$D$15)^(E$18-1)</f>
        <v>465887.99999999994</v>
      </c>
      <c r="F23" s="209">
        <f>SUMIF($D$80:$D$94,F$18,$P$80:$P$94)*(1+$D$15)^(F$18-1)</f>
        <v>417962.89999999991</v>
      </c>
      <c r="G23" s="209">
        <f>SUM(D23:F23)</f>
        <v>1063530.8999999999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</row>
    <row r="24" spans="1:164" x14ac:dyDescent="0.2">
      <c r="A24" s="10"/>
      <c r="B24" s="10"/>
      <c r="C24" s="10" t="s">
        <v>865</v>
      </c>
      <c r="D24" s="52">
        <f>SUMIF($D$80:$D$94,D$18,$Q$80:$Q$94)</f>
        <v>2</v>
      </c>
      <c r="E24" s="52">
        <f>SUMIF($D$80:$D$94,E$18,$Q$80:$Q$94)</f>
        <v>3</v>
      </c>
      <c r="F24" s="52">
        <f>SUMIF($D$80:$D$94,F$18,$Q$80:$Q$94)</f>
        <v>5</v>
      </c>
      <c r="G24" s="52">
        <f>SUM(D24:F24)</f>
        <v>10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</row>
    <row r="25" spans="1:164" x14ac:dyDescent="0.2">
      <c r="A25" s="10"/>
      <c r="B25" s="10"/>
      <c r="C25" s="10" t="s">
        <v>866</v>
      </c>
      <c r="D25" s="106">
        <f>SUMIF($D$80:$D$94,D$18,$E$80:$E$94)</f>
        <v>112730</v>
      </c>
      <c r="E25" s="106">
        <f>SUMIF($D$80:$D$94,E$18,$E$80:$E$94)</f>
        <v>243300</v>
      </c>
      <c r="F25" s="106">
        <f>SUMIF($D$80:$D$94,F$18,$E$80:$E$94)</f>
        <v>229930</v>
      </c>
      <c r="G25" s="106">
        <f>SUM(D25:F25)</f>
        <v>585960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</row>
    <row r="26" spans="1:164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</row>
    <row r="27" spans="1:164" x14ac:dyDescent="0.2">
      <c r="A27" s="10"/>
      <c r="B27" s="24" t="s">
        <v>833</v>
      </c>
      <c r="C27" s="24"/>
      <c r="D27" s="24"/>
      <c r="E27" s="24"/>
      <c r="F27" s="24"/>
      <c r="G27" s="24"/>
      <c r="H27" s="24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</row>
    <row r="28" spans="1:164" x14ac:dyDescent="0.2">
      <c r="A28" s="10"/>
      <c r="B28" s="10"/>
      <c r="C28" s="10" t="s">
        <v>834</v>
      </c>
      <c r="D28" s="60">
        <v>500</v>
      </c>
      <c r="E28" s="57">
        <f>D28*(1+$D$16)</f>
        <v>550</v>
      </c>
      <c r="F28" s="57">
        <f>E28*(1+$D$16)</f>
        <v>605</v>
      </c>
      <c r="G28" s="106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</row>
    <row r="29" spans="1:164" x14ac:dyDescent="0.2">
      <c r="A29" s="10"/>
      <c r="B29" s="10"/>
      <c r="C29" s="10" t="s">
        <v>835</v>
      </c>
      <c r="D29" s="106">
        <f>D25*D28/1000</f>
        <v>56365</v>
      </c>
      <c r="E29" s="106">
        <f>E25*E28/1000</f>
        <v>133815</v>
      </c>
      <c r="F29" s="106">
        <f>F25*F28/1000</f>
        <v>139107.65</v>
      </c>
      <c r="G29" s="106">
        <f>SUM(D29:F29)</f>
        <v>329287.65000000002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</row>
    <row r="30" spans="1:164" x14ac:dyDescent="0.2">
      <c r="A30" s="10"/>
      <c r="B30" s="10"/>
      <c r="C30" s="10" t="s">
        <v>867</v>
      </c>
      <c r="D30" s="106">
        <f>D24*$G$30*(1+$D$16)^(D$18-1)</f>
        <v>20000</v>
      </c>
      <c r="E30" s="57">
        <f>E24*$G$30*(1+$D$16)^(E$18-1)</f>
        <v>33000</v>
      </c>
      <c r="F30" s="57">
        <f>F24*$G$30*(1+$D$16)^(F$18-1)</f>
        <v>60500.000000000007</v>
      </c>
      <c r="G30" s="60">
        <v>10000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</row>
    <row r="31" spans="1:164" x14ac:dyDescent="0.2">
      <c r="A31" s="10"/>
      <c r="B31" s="10"/>
      <c r="C31" s="10" t="s">
        <v>837</v>
      </c>
      <c r="D31" s="40">
        <v>30</v>
      </c>
      <c r="E31" s="52">
        <f>D31</f>
        <v>30</v>
      </c>
      <c r="F31" s="52">
        <f>E31</f>
        <v>30</v>
      </c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</row>
    <row r="32" spans="1:164" x14ac:dyDescent="0.2">
      <c r="A32" s="10"/>
      <c r="B32" s="10"/>
      <c r="C32" s="10" t="s">
        <v>838</v>
      </c>
      <c r="D32" s="214">
        <v>46753</v>
      </c>
      <c r="E32" s="208">
        <f>EDATE(D32,$D$13)</f>
        <v>47484</v>
      </c>
      <c r="F32" s="208">
        <f>EDATE(E32,$D$13)</f>
        <v>48214</v>
      </c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</row>
    <row r="33" spans="1:164" x14ac:dyDescent="0.2">
      <c r="A33" s="10"/>
      <c r="B33" s="10"/>
      <c r="C33" s="10" t="s">
        <v>839</v>
      </c>
      <c r="D33" s="40">
        <v>6</v>
      </c>
      <c r="E33" s="52">
        <f>D33</f>
        <v>6</v>
      </c>
      <c r="F33" s="52">
        <f>E33</f>
        <v>6</v>
      </c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</row>
    <row r="34" spans="1:164" x14ac:dyDescent="0.2">
      <c r="A34" s="10"/>
      <c r="B34" s="10"/>
      <c r="C34" s="10" t="s">
        <v>840</v>
      </c>
      <c r="D34" s="208">
        <f>EDATE(D32,D33)</f>
        <v>46935</v>
      </c>
      <c r="E34" s="208">
        <f>EDATE(E32,E33)</f>
        <v>47665</v>
      </c>
      <c r="F34" s="208">
        <f>EDATE(F32,F33)</f>
        <v>48396</v>
      </c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</row>
    <row r="35" spans="1:164" x14ac:dyDescent="0.2">
      <c r="A35" s="10"/>
      <c r="B35" s="10"/>
      <c r="C35" s="10" t="s">
        <v>697</v>
      </c>
      <c r="D35" s="208">
        <f>EDATE(D34,D31)</f>
        <v>47849</v>
      </c>
      <c r="E35" s="208">
        <f>EDATE(E34,E31)</f>
        <v>48580</v>
      </c>
      <c r="F35" s="208">
        <f>EDATE(F34,F31)</f>
        <v>49310</v>
      </c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</row>
    <row r="36" spans="1:164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</row>
    <row r="37" spans="1:164" x14ac:dyDescent="0.2">
      <c r="A37" s="10"/>
      <c r="B37" s="24" t="s">
        <v>698</v>
      </c>
      <c r="C37" s="24"/>
      <c r="D37" s="24"/>
      <c r="E37" s="24"/>
      <c r="F37" s="24"/>
      <c r="G37" s="24"/>
      <c r="H37" s="2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</row>
    <row r="38" spans="1:164" x14ac:dyDescent="0.2">
      <c r="A38" s="10"/>
      <c r="B38" s="10"/>
      <c r="C38" s="10" t="s">
        <v>841</v>
      </c>
      <c r="D38" s="39">
        <v>0.4</v>
      </c>
      <c r="E38" s="18">
        <f t="shared" ref="E38:F41" si="15">D38</f>
        <v>0.4</v>
      </c>
      <c r="F38" s="18">
        <f t="shared" si="15"/>
        <v>0.4</v>
      </c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</row>
    <row r="39" spans="1:164" x14ac:dyDescent="0.2">
      <c r="A39" s="10"/>
      <c r="B39" s="10"/>
      <c r="C39" s="10" t="s">
        <v>842</v>
      </c>
      <c r="D39" s="40">
        <v>6</v>
      </c>
      <c r="E39" s="52">
        <f t="shared" si="15"/>
        <v>6</v>
      </c>
      <c r="F39" s="52">
        <f t="shared" si="15"/>
        <v>6</v>
      </c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</row>
    <row r="40" spans="1:164" x14ac:dyDescent="0.2">
      <c r="A40" s="10"/>
      <c r="B40" s="10"/>
      <c r="C40" s="10" t="s">
        <v>843</v>
      </c>
      <c r="D40" s="39">
        <v>0.2</v>
      </c>
      <c r="E40" s="18">
        <f t="shared" si="15"/>
        <v>0.2</v>
      </c>
      <c r="F40" s="18">
        <f t="shared" si="15"/>
        <v>0.2</v>
      </c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</row>
    <row r="41" spans="1:164" x14ac:dyDescent="0.2">
      <c r="A41" s="10"/>
      <c r="B41" s="10"/>
      <c r="C41" s="10" t="s">
        <v>844</v>
      </c>
      <c r="D41" s="40">
        <v>10</v>
      </c>
      <c r="E41" s="52">
        <f t="shared" si="15"/>
        <v>10</v>
      </c>
      <c r="F41" s="52">
        <f t="shared" si="15"/>
        <v>10</v>
      </c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</row>
    <row r="42" spans="1:164" x14ac:dyDescent="0.2">
      <c r="A42" s="10"/>
      <c r="B42" s="10"/>
      <c r="C42" s="10" t="s">
        <v>845</v>
      </c>
      <c r="D42" s="18">
        <f>1-D38-D40</f>
        <v>0.39999999999999997</v>
      </c>
      <c r="E42" s="18">
        <f>1-E38-E40</f>
        <v>0.39999999999999997</v>
      </c>
      <c r="F42" s="18">
        <f>1-F38-F40</f>
        <v>0.39999999999999997</v>
      </c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</row>
    <row r="43" spans="1:164" x14ac:dyDescent="0.2">
      <c r="A43" s="10"/>
      <c r="B43" s="10"/>
      <c r="C43" s="10" t="s">
        <v>846</v>
      </c>
      <c r="D43" s="208">
        <f>MAX(EDATE(D32,D39),D34)</f>
        <v>46935</v>
      </c>
      <c r="E43" s="208">
        <f>MAX(EDATE(E32,E39),E34)</f>
        <v>47665</v>
      </c>
      <c r="F43" s="208">
        <f>MAX(EDATE(F32,F39),F34)</f>
        <v>48396</v>
      </c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</row>
    <row r="44" spans="1:164" x14ac:dyDescent="0.2">
      <c r="A44" s="10"/>
      <c r="B44" s="10"/>
      <c r="C44" s="10" t="s">
        <v>847</v>
      </c>
      <c r="D44" s="52">
        <f>MAX(1,DATEDIF(D43,D35,"m"))</f>
        <v>30</v>
      </c>
      <c r="E44" s="52">
        <f>MAX(1,DATEDIF(E43,E35,"m"))</f>
        <v>30</v>
      </c>
      <c r="F44" s="52">
        <f>MAX(1,DATEDIF(F43,F35,"m"))</f>
        <v>30</v>
      </c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</row>
    <row r="45" spans="1:164" x14ac:dyDescent="0.2">
      <c r="A45" s="10"/>
      <c r="B45" s="10"/>
      <c r="C45" s="10" t="s">
        <v>848</v>
      </c>
      <c r="D45" s="208">
        <f>EDATE(D35,1)</f>
        <v>47880</v>
      </c>
      <c r="E45" s="208">
        <f>EDATE(E35,1)</f>
        <v>48611</v>
      </c>
      <c r="F45" s="208">
        <f>EDATE(F35,1)</f>
        <v>49341</v>
      </c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</row>
    <row r="46" spans="1:164" x14ac:dyDescent="0.2">
      <c r="A46" s="10"/>
      <c r="B46" s="10"/>
      <c r="C46" s="10" t="s">
        <v>849</v>
      </c>
      <c r="D46" s="208">
        <f>IF(D41&gt;0,EDATE(D45,D41),EDATE(D35,1))</f>
        <v>48183</v>
      </c>
      <c r="E46" s="208">
        <f>IF(E41&gt;0,EDATE(E45,E41),EDATE(E35,1))</f>
        <v>48914</v>
      </c>
      <c r="F46" s="208">
        <f>IF(F41&gt;0,EDATE(F45,F41),EDATE(F35,1))</f>
        <v>49644</v>
      </c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</row>
    <row r="47" spans="1:164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</row>
    <row r="48" spans="1:164" x14ac:dyDescent="0.2">
      <c r="A48" s="10"/>
      <c r="B48" s="24" t="s">
        <v>850</v>
      </c>
      <c r="C48" s="24"/>
      <c r="D48" s="24"/>
      <c r="E48" s="24"/>
      <c r="F48" s="24"/>
      <c r="G48" s="24"/>
      <c r="H48" s="24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</row>
    <row r="49" spans="1:164" x14ac:dyDescent="0.2">
      <c r="A49" s="10"/>
      <c r="B49" s="10"/>
      <c r="C49" s="10" t="s">
        <v>707</v>
      </c>
      <c r="D49" s="39">
        <v>0.15</v>
      </c>
      <c r="E49" s="18">
        <f t="shared" ref="E49:F52" si="16">D49</f>
        <v>0.15</v>
      </c>
      <c r="F49" s="18">
        <f t="shared" si="16"/>
        <v>0.15</v>
      </c>
      <c r="G49" s="23" t="s">
        <v>711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</row>
    <row r="50" spans="1:164" x14ac:dyDescent="0.2">
      <c r="A50" s="10"/>
      <c r="B50" s="10"/>
      <c r="C50" s="10" t="s">
        <v>708</v>
      </c>
      <c r="D50" s="39">
        <v>0.15</v>
      </c>
      <c r="E50" s="18">
        <f t="shared" si="16"/>
        <v>0.15</v>
      </c>
      <c r="F50" s="18">
        <f t="shared" si="16"/>
        <v>0.15</v>
      </c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</row>
    <row r="51" spans="1:164" x14ac:dyDescent="0.2">
      <c r="A51" s="10"/>
      <c r="B51" s="10"/>
      <c r="C51" s="10" t="s">
        <v>709</v>
      </c>
      <c r="D51" s="39">
        <v>0.05</v>
      </c>
      <c r="E51" s="18">
        <f t="shared" si="16"/>
        <v>0.05</v>
      </c>
      <c r="F51" s="18">
        <f t="shared" si="16"/>
        <v>0.05</v>
      </c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</row>
    <row r="52" spans="1:164" x14ac:dyDescent="0.2">
      <c r="A52" s="10"/>
      <c r="B52" s="10"/>
      <c r="C52" s="10" t="s">
        <v>710</v>
      </c>
      <c r="D52" s="39">
        <v>0.65</v>
      </c>
      <c r="E52" s="18">
        <f t="shared" si="16"/>
        <v>0.65</v>
      </c>
      <c r="F52" s="18">
        <f t="shared" si="16"/>
        <v>0.65</v>
      </c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</row>
    <row r="53" spans="1:164" x14ac:dyDescent="0.2">
      <c r="A53" s="10"/>
      <c r="B53" s="10"/>
      <c r="C53" s="13" t="s">
        <v>24</v>
      </c>
      <c r="D53" s="54">
        <f>SUM(D49:D52)</f>
        <v>1</v>
      </c>
      <c r="E53" s="54">
        <f>SUM(E49:E52)</f>
        <v>1</v>
      </c>
      <c r="F53" s="54">
        <f>SUM(F49:F52)</f>
        <v>1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</row>
    <row r="54" spans="1:164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</row>
    <row r="55" spans="1:164" x14ac:dyDescent="0.2">
      <c r="A55" s="10"/>
      <c r="B55" s="24" t="s">
        <v>33</v>
      </c>
      <c r="C55" s="24"/>
      <c r="D55" s="24"/>
      <c r="E55" s="24"/>
      <c r="F55" s="24"/>
      <c r="G55" s="24"/>
      <c r="H55" s="24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</row>
    <row r="56" spans="1:164" x14ac:dyDescent="0.2">
      <c r="A56" s="10"/>
      <c r="B56" s="10"/>
      <c r="C56" s="10" t="s">
        <v>851</v>
      </c>
      <c r="D56" s="39">
        <v>0.02</v>
      </c>
      <c r="E56" s="18">
        <f t="shared" ref="E56:F63" si="17">D56</f>
        <v>0.02</v>
      </c>
      <c r="F56" s="18">
        <f t="shared" si="17"/>
        <v>0.02</v>
      </c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</row>
    <row r="57" spans="1:164" x14ac:dyDescent="0.2">
      <c r="A57" s="10"/>
      <c r="B57" s="10"/>
      <c r="C57" s="10" t="s">
        <v>852</v>
      </c>
      <c r="D57" s="111">
        <v>5.0000000000000001E-3</v>
      </c>
      <c r="E57" s="107">
        <f t="shared" si="17"/>
        <v>5.0000000000000001E-3</v>
      </c>
      <c r="F57" s="107">
        <f t="shared" si="17"/>
        <v>5.0000000000000001E-3</v>
      </c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</row>
    <row r="58" spans="1:164" x14ac:dyDescent="0.2">
      <c r="A58" s="10"/>
      <c r="B58" s="10"/>
      <c r="C58" s="10" t="s">
        <v>853</v>
      </c>
      <c r="D58" s="39">
        <v>0.03</v>
      </c>
      <c r="E58" s="18">
        <f t="shared" si="17"/>
        <v>0.03</v>
      </c>
      <c r="F58" s="18">
        <f t="shared" si="17"/>
        <v>0.03</v>
      </c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</row>
    <row r="59" spans="1:164" x14ac:dyDescent="0.2">
      <c r="A59" s="10"/>
      <c r="B59" s="10"/>
      <c r="C59" s="10" t="s">
        <v>854</v>
      </c>
      <c r="D59" s="39">
        <v>0.05</v>
      </c>
      <c r="E59" s="18">
        <f t="shared" si="17"/>
        <v>0.05</v>
      </c>
      <c r="F59" s="18">
        <f t="shared" si="17"/>
        <v>0.05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</row>
    <row r="60" spans="1:164" x14ac:dyDescent="0.2">
      <c r="A60" s="10"/>
      <c r="B60" s="10"/>
      <c r="C60" s="10" t="s">
        <v>855</v>
      </c>
      <c r="D60" s="39">
        <v>0.03</v>
      </c>
      <c r="E60" s="18">
        <f t="shared" si="17"/>
        <v>0.03</v>
      </c>
      <c r="F60" s="18">
        <f t="shared" si="17"/>
        <v>0.03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</row>
    <row r="61" spans="1:164" x14ac:dyDescent="0.2">
      <c r="A61" s="10"/>
      <c r="B61" s="10"/>
      <c r="C61" s="10" t="s">
        <v>727</v>
      </c>
      <c r="D61" s="39">
        <v>0.05</v>
      </c>
      <c r="E61" s="18">
        <f t="shared" si="17"/>
        <v>0.05</v>
      </c>
      <c r="F61" s="18">
        <f t="shared" si="17"/>
        <v>0.05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</row>
    <row r="62" spans="1:164" x14ac:dyDescent="0.2">
      <c r="A62" s="10"/>
      <c r="B62" s="10"/>
      <c r="C62" s="10" t="s">
        <v>856</v>
      </c>
      <c r="D62" s="39">
        <v>0.04</v>
      </c>
      <c r="E62" s="18">
        <f t="shared" si="17"/>
        <v>0.04</v>
      </c>
      <c r="F62" s="18">
        <f t="shared" si="17"/>
        <v>0.04</v>
      </c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</row>
    <row r="63" spans="1:164" x14ac:dyDescent="0.2">
      <c r="A63" s="10"/>
      <c r="B63" s="10"/>
      <c r="C63" s="10" t="s">
        <v>731</v>
      </c>
      <c r="D63" s="39">
        <v>0</v>
      </c>
      <c r="E63" s="18">
        <f t="shared" si="17"/>
        <v>0</v>
      </c>
      <c r="F63" s="18">
        <f t="shared" si="17"/>
        <v>0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</row>
    <row r="64" spans="1:164" x14ac:dyDescent="0.2">
      <c r="C64" s="142" t="s">
        <v>1013</v>
      </c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</row>
    <row r="65" spans="1:164" x14ac:dyDescent="0.2">
      <c r="C65" s="10" t="s">
        <v>1014</v>
      </c>
      <c r="D65" s="58">
        <v>0</v>
      </c>
      <c r="E65" s="58">
        <v>0</v>
      </c>
      <c r="F65" s="58">
        <v>0</v>
      </c>
      <c r="G65" s="60">
        <v>113000</v>
      </c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</row>
    <row r="66" spans="1:164" x14ac:dyDescent="0.2">
      <c r="C66" s="10" t="s">
        <v>946</v>
      </c>
      <c r="D66" s="10"/>
      <c r="E66" s="10"/>
      <c r="F66" s="10"/>
      <c r="G66" s="58">
        <v>637620</v>
      </c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</row>
    <row r="67" spans="1:164" x14ac:dyDescent="0.2">
      <c r="C67" s="10" t="s">
        <v>947</v>
      </c>
      <c r="D67" s="39">
        <v>0.03</v>
      </c>
      <c r="E67" s="18">
        <f>D67</f>
        <v>0.03</v>
      </c>
      <c r="F67" s="18">
        <f>E67</f>
        <v>0.03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</row>
    <row r="68" spans="1:164" x14ac:dyDescent="0.2">
      <c r="C68" s="10" t="s">
        <v>948</v>
      </c>
      <c r="D68" s="106">
        <f>$G$68*D69</f>
        <v>5771.5543723121036</v>
      </c>
      <c r="E68" s="106">
        <f>$G$68*E69</f>
        <v>12456.481671103829</v>
      </c>
      <c r="F68" s="106">
        <f>$G$68*F69</f>
        <v>11771.963956584068</v>
      </c>
      <c r="G68" s="58">
        <v>30000</v>
      </c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</row>
    <row r="69" spans="1:164" x14ac:dyDescent="0.2">
      <c r="C69" s="10" t="s">
        <v>949</v>
      </c>
      <c r="D69" s="85">
        <f>D25/$G$25</f>
        <v>0.19238514574373677</v>
      </c>
      <c r="E69" s="85">
        <f>E25/$G$25</f>
        <v>0.41521605570346098</v>
      </c>
      <c r="F69" s="85">
        <f>F25/$G$25</f>
        <v>0.39239879855280224</v>
      </c>
      <c r="G69" s="18">
        <f>SUM(D69:F69)</f>
        <v>1</v>
      </c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</row>
    <row r="70" spans="1:164" x14ac:dyDescent="0.2">
      <c r="C70" s="10" t="s">
        <v>950</v>
      </c>
      <c r="D70" s="40">
        <v>12</v>
      </c>
      <c r="E70" s="52">
        <f>D70</f>
        <v>12</v>
      </c>
      <c r="F70" s="52">
        <f>E70</f>
        <v>12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</row>
    <row r="71" spans="1:164" x14ac:dyDescent="0.2">
      <c r="C71" s="49" t="s">
        <v>1015</v>
      </c>
      <c r="D71" s="209">
        <f>D65*(1+D67)+D68</f>
        <v>5771.5543723121036</v>
      </c>
      <c r="E71" s="209">
        <f>E65*(1+E67)+E68</f>
        <v>12456.481671103829</v>
      </c>
      <c r="F71" s="209">
        <f>F65*(1+F67)+F68</f>
        <v>11771.963956584068</v>
      </c>
      <c r="G71" s="209">
        <f>SUM(D71:F71)</f>
        <v>30000</v>
      </c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</row>
    <row r="72" spans="1:164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</row>
    <row r="73" spans="1:164" x14ac:dyDescent="0.2">
      <c r="A73" s="10"/>
      <c r="B73" s="24" t="s">
        <v>734</v>
      </c>
      <c r="C73" s="24"/>
      <c r="D73" s="24"/>
      <c r="E73" s="24"/>
      <c r="F73" s="24"/>
      <c r="G73" s="24"/>
      <c r="H73" s="24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</row>
    <row r="74" spans="1:164" x14ac:dyDescent="0.2">
      <c r="A74" s="10"/>
      <c r="B74" s="10"/>
      <c r="C74" s="10" t="s">
        <v>857</v>
      </c>
      <c r="D74" s="39">
        <v>0.6</v>
      </c>
      <c r="E74" s="18">
        <f>D74</f>
        <v>0.6</v>
      </c>
      <c r="F74" s="18">
        <f>E74</f>
        <v>0.6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</row>
    <row r="75" spans="1:164" x14ac:dyDescent="0.2">
      <c r="A75" s="10"/>
      <c r="B75" s="10"/>
      <c r="C75" s="10" t="s">
        <v>736</v>
      </c>
      <c r="D75" s="39">
        <v>0.12</v>
      </c>
      <c r="E75" s="18">
        <f>D75</f>
        <v>0.12</v>
      </c>
      <c r="F75" s="18">
        <f>E75</f>
        <v>0.12</v>
      </c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</row>
    <row r="76" spans="1:164" x14ac:dyDescent="0.2">
      <c r="A76" s="10"/>
      <c r="B76" s="10"/>
      <c r="C76" s="10" t="s">
        <v>858</v>
      </c>
      <c r="D76" s="208">
        <f>D46</f>
        <v>48183</v>
      </c>
      <c r="E76" s="208">
        <f>E46</f>
        <v>48914</v>
      </c>
      <c r="F76" s="208">
        <f>F46</f>
        <v>49644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</row>
    <row r="77" spans="1:164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</row>
    <row r="78" spans="1:164" x14ac:dyDescent="0.2">
      <c r="A78" s="10"/>
      <c r="B78" s="24" t="s">
        <v>859</v>
      </c>
      <c r="C78" s="24"/>
      <c r="D78" s="24"/>
      <c r="E78" s="24"/>
      <c r="F78" s="24"/>
      <c r="G78" s="24"/>
      <c r="H78" s="2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</row>
    <row r="79" spans="1:164" ht="30" customHeight="1" x14ac:dyDescent="0.2">
      <c r="A79" s="10"/>
      <c r="B79" s="10"/>
      <c r="C79" s="125" t="s">
        <v>880</v>
      </c>
      <c r="D79" s="125" t="s">
        <v>35</v>
      </c>
      <c r="E79" s="125" t="s">
        <v>881</v>
      </c>
      <c r="F79" s="125" t="s">
        <v>882</v>
      </c>
      <c r="G79" s="125" t="s">
        <v>883</v>
      </c>
      <c r="H79" s="125" t="s">
        <v>884</v>
      </c>
      <c r="I79" s="125" t="s">
        <v>885</v>
      </c>
      <c r="J79" s="125" t="s">
        <v>886</v>
      </c>
      <c r="K79" s="125" t="s">
        <v>887</v>
      </c>
      <c r="L79" s="125" t="s">
        <v>888</v>
      </c>
      <c r="M79" s="125" t="s">
        <v>889</v>
      </c>
      <c r="N79" s="125" t="s">
        <v>890</v>
      </c>
      <c r="O79" s="125" t="s">
        <v>891</v>
      </c>
      <c r="P79" s="125" t="s">
        <v>429</v>
      </c>
      <c r="Q79" s="125" t="s">
        <v>892</v>
      </c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</row>
    <row r="80" spans="1:164" x14ac:dyDescent="0.2">
      <c r="A80" s="10"/>
      <c r="B80" s="10"/>
      <c r="C80" s="53" t="s">
        <v>893</v>
      </c>
      <c r="D80" s="242">
        <v>1</v>
      </c>
      <c r="E80" s="242">
        <v>25670</v>
      </c>
      <c r="F80" s="242">
        <v>21</v>
      </c>
      <c r="G80" s="242">
        <v>0</v>
      </c>
      <c r="H80" s="242">
        <v>0</v>
      </c>
      <c r="I80" s="242">
        <v>0</v>
      </c>
      <c r="J80" s="242">
        <v>2100</v>
      </c>
      <c r="K80" s="242">
        <v>0</v>
      </c>
      <c r="L80" s="242">
        <v>0</v>
      </c>
      <c r="M80" s="242">
        <v>0</v>
      </c>
      <c r="N80" s="243">
        <f t="shared" ref="N80:N94" si="18">SUM(F80:I80)</f>
        <v>21</v>
      </c>
      <c r="O80" s="243">
        <f t="shared" ref="O80:O94" si="19">F80*800+G80*1000+H80*1200+I80*2000</f>
        <v>16800</v>
      </c>
      <c r="P80" s="243">
        <f t="shared" ref="P80:P94" si="20">(F80*800*J80+G80*1000*K80+H80*1200*L80+I80*2000*M80)/1000</f>
        <v>35280</v>
      </c>
      <c r="Q80" s="242">
        <v>1</v>
      </c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</row>
    <row r="81" spans="1:164" x14ac:dyDescent="0.2">
      <c r="A81" s="10"/>
      <c r="B81" s="10"/>
      <c r="C81" s="53" t="s">
        <v>894</v>
      </c>
      <c r="D81" s="242">
        <v>1</v>
      </c>
      <c r="E81" s="242">
        <v>11150</v>
      </c>
      <c r="F81" s="242">
        <v>11</v>
      </c>
      <c r="G81" s="242">
        <v>0</v>
      </c>
      <c r="H81" s="242">
        <v>0</v>
      </c>
      <c r="I81" s="242">
        <v>0</v>
      </c>
      <c r="J81" s="242">
        <v>2300</v>
      </c>
      <c r="K81" s="242">
        <v>0</v>
      </c>
      <c r="L81" s="242">
        <v>0</v>
      </c>
      <c r="M81" s="242">
        <v>0</v>
      </c>
      <c r="N81" s="243">
        <f t="shared" si="18"/>
        <v>11</v>
      </c>
      <c r="O81" s="243">
        <f t="shared" si="19"/>
        <v>8800</v>
      </c>
      <c r="P81" s="243">
        <f t="shared" si="20"/>
        <v>20240</v>
      </c>
      <c r="Q81" s="242">
        <v>0</v>
      </c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</row>
    <row r="82" spans="1:164" x14ac:dyDescent="0.2">
      <c r="A82" s="10"/>
      <c r="B82" s="10"/>
      <c r="C82" s="53" t="s">
        <v>895</v>
      </c>
      <c r="D82" s="242">
        <v>1</v>
      </c>
      <c r="E82" s="242">
        <v>75910</v>
      </c>
      <c r="F82" s="242">
        <v>29</v>
      </c>
      <c r="G82" s="242">
        <v>23</v>
      </c>
      <c r="H82" s="242">
        <v>9</v>
      </c>
      <c r="I82" s="242">
        <v>0</v>
      </c>
      <c r="J82" s="242">
        <v>2100</v>
      </c>
      <c r="K82" s="242">
        <v>2200</v>
      </c>
      <c r="L82" s="242">
        <v>2300</v>
      </c>
      <c r="M82" s="242">
        <v>0</v>
      </c>
      <c r="N82" s="243">
        <f t="shared" si="18"/>
        <v>61</v>
      </c>
      <c r="O82" s="243">
        <f t="shared" si="19"/>
        <v>57000</v>
      </c>
      <c r="P82" s="243">
        <f t="shared" si="20"/>
        <v>124160</v>
      </c>
      <c r="Q82" s="242">
        <v>1</v>
      </c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</row>
    <row r="83" spans="1:164" x14ac:dyDescent="0.2">
      <c r="A83" s="10"/>
      <c r="B83" s="10"/>
      <c r="C83" s="53" t="s">
        <v>896</v>
      </c>
      <c r="D83" s="242">
        <v>2</v>
      </c>
      <c r="E83" s="242">
        <v>49640</v>
      </c>
      <c r="F83" s="242">
        <v>18</v>
      </c>
      <c r="G83" s="242">
        <v>14</v>
      </c>
      <c r="H83" s="242">
        <v>6</v>
      </c>
      <c r="I83" s="242">
        <v>0</v>
      </c>
      <c r="J83" s="242">
        <v>2100</v>
      </c>
      <c r="K83" s="242">
        <v>2200</v>
      </c>
      <c r="L83" s="242">
        <v>2300</v>
      </c>
      <c r="M83" s="242">
        <v>0</v>
      </c>
      <c r="N83" s="243">
        <f t="shared" si="18"/>
        <v>38</v>
      </c>
      <c r="O83" s="243">
        <f t="shared" si="19"/>
        <v>35600</v>
      </c>
      <c r="P83" s="243">
        <f t="shared" si="20"/>
        <v>77600</v>
      </c>
      <c r="Q83" s="242">
        <v>1</v>
      </c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</row>
    <row r="84" spans="1:164" x14ac:dyDescent="0.2">
      <c r="A84" s="10"/>
      <c r="B84" s="10"/>
      <c r="C84" s="53" t="s">
        <v>897</v>
      </c>
      <c r="D84" s="242">
        <v>2</v>
      </c>
      <c r="E84" s="242">
        <v>52500</v>
      </c>
      <c r="F84" s="242">
        <v>22</v>
      </c>
      <c r="G84" s="242">
        <v>17</v>
      </c>
      <c r="H84" s="242">
        <v>7</v>
      </c>
      <c r="I84" s="242">
        <v>0</v>
      </c>
      <c r="J84" s="242">
        <v>2000</v>
      </c>
      <c r="K84" s="242">
        <v>2100</v>
      </c>
      <c r="L84" s="242">
        <v>2200</v>
      </c>
      <c r="M84" s="242">
        <v>0</v>
      </c>
      <c r="N84" s="243">
        <f t="shared" si="18"/>
        <v>46</v>
      </c>
      <c r="O84" s="243">
        <f t="shared" si="19"/>
        <v>43000</v>
      </c>
      <c r="P84" s="243">
        <f t="shared" si="20"/>
        <v>89380</v>
      </c>
      <c r="Q84" s="242">
        <v>0</v>
      </c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</row>
    <row r="85" spans="1:164" x14ac:dyDescent="0.2">
      <c r="A85" s="10"/>
      <c r="B85" s="10"/>
      <c r="C85" s="53" t="s">
        <v>898</v>
      </c>
      <c r="D85" s="242">
        <v>2</v>
      </c>
      <c r="E85" s="242">
        <v>54590</v>
      </c>
      <c r="F85" s="242">
        <v>28</v>
      </c>
      <c r="G85" s="242">
        <v>18</v>
      </c>
      <c r="H85" s="242">
        <v>0</v>
      </c>
      <c r="I85" s="242">
        <v>0</v>
      </c>
      <c r="J85" s="242">
        <v>2100</v>
      </c>
      <c r="K85" s="242">
        <v>2200</v>
      </c>
      <c r="L85" s="242">
        <v>0</v>
      </c>
      <c r="M85" s="242">
        <v>0</v>
      </c>
      <c r="N85" s="243">
        <f t="shared" si="18"/>
        <v>46</v>
      </c>
      <c r="O85" s="243">
        <f t="shared" si="19"/>
        <v>40400</v>
      </c>
      <c r="P85" s="243">
        <f t="shared" si="20"/>
        <v>86640</v>
      </c>
      <c r="Q85" s="242">
        <v>1</v>
      </c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</row>
    <row r="86" spans="1:164" x14ac:dyDescent="0.2">
      <c r="A86" s="10"/>
      <c r="B86" s="10"/>
      <c r="C86" s="53" t="s">
        <v>899</v>
      </c>
      <c r="D86" s="242">
        <v>2</v>
      </c>
      <c r="E86" s="242">
        <v>52930</v>
      </c>
      <c r="F86" s="242">
        <v>0</v>
      </c>
      <c r="G86" s="242">
        <v>23</v>
      </c>
      <c r="H86" s="242">
        <v>13</v>
      </c>
      <c r="I86" s="242">
        <v>0</v>
      </c>
      <c r="J86" s="242">
        <v>0</v>
      </c>
      <c r="K86" s="242">
        <v>2200</v>
      </c>
      <c r="L86" s="242">
        <v>2300</v>
      </c>
      <c r="M86" s="242">
        <v>0</v>
      </c>
      <c r="N86" s="243">
        <f t="shared" si="18"/>
        <v>36</v>
      </c>
      <c r="O86" s="243">
        <f t="shared" si="19"/>
        <v>38600</v>
      </c>
      <c r="P86" s="243">
        <f t="shared" si="20"/>
        <v>86480</v>
      </c>
      <c r="Q86" s="242">
        <v>1</v>
      </c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</row>
    <row r="87" spans="1:164" x14ac:dyDescent="0.2">
      <c r="A87" s="10"/>
      <c r="B87" s="10"/>
      <c r="C87" s="53" t="s">
        <v>900</v>
      </c>
      <c r="D87" s="242">
        <v>2</v>
      </c>
      <c r="E87" s="242">
        <v>33640</v>
      </c>
      <c r="F87" s="242">
        <v>0</v>
      </c>
      <c r="G87" s="242">
        <v>17</v>
      </c>
      <c r="H87" s="242">
        <v>9</v>
      </c>
      <c r="I87" s="242">
        <v>0</v>
      </c>
      <c r="J87" s="242">
        <v>0</v>
      </c>
      <c r="K87" s="242">
        <v>2300</v>
      </c>
      <c r="L87" s="242">
        <v>2400</v>
      </c>
      <c r="M87" s="242">
        <v>0</v>
      </c>
      <c r="N87" s="243">
        <f t="shared" si="18"/>
        <v>26</v>
      </c>
      <c r="O87" s="243">
        <f t="shared" si="19"/>
        <v>27800</v>
      </c>
      <c r="P87" s="243">
        <f t="shared" si="20"/>
        <v>65020</v>
      </c>
      <c r="Q87" s="242">
        <v>0</v>
      </c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</row>
    <row r="88" spans="1:164" x14ac:dyDescent="0.2">
      <c r="A88" s="10"/>
      <c r="B88" s="10"/>
      <c r="C88" s="53" t="s">
        <v>901</v>
      </c>
      <c r="D88" s="242">
        <v>3</v>
      </c>
      <c r="E88" s="242">
        <v>46630</v>
      </c>
      <c r="F88" s="242">
        <v>0</v>
      </c>
      <c r="G88" s="242">
        <v>0</v>
      </c>
      <c r="H88" s="242">
        <v>14</v>
      </c>
      <c r="I88" s="242">
        <v>8</v>
      </c>
      <c r="J88" s="242">
        <v>0</v>
      </c>
      <c r="K88" s="242">
        <v>0</v>
      </c>
      <c r="L88" s="242">
        <v>2300</v>
      </c>
      <c r="M88" s="242">
        <v>1900</v>
      </c>
      <c r="N88" s="243">
        <f t="shared" si="18"/>
        <v>22</v>
      </c>
      <c r="O88" s="243">
        <f t="shared" si="19"/>
        <v>32800</v>
      </c>
      <c r="P88" s="243">
        <f t="shared" si="20"/>
        <v>69040</v>
      </c>
      <c r="Q88" s="242">
        <v>1</v>
      </c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</row>
    <row r="89" spans="1:164" x14ac:dyDescent="0.2">
      <c r="A89" s="10"/>
      <c r="B89" s="10"/>
      <c r="C89" s="53" t="s">
        <v>902</v>
      </c>
      <c r="D89" s="242">
        <v>3</v>
      </c>
      <c r="E89" s="242">
        <v>45520</v>
      </c>
      <c r="F89" s="242">
        <v>0</v>
      </c>
      <c r="G89" s="242">
        <v>0</v>
      </c>
      <c r="H89" s="242">
        <v>0</v>
      </c>
      <c r="I89" s="242">
        <v>16</v>
      </c>
      <c r="J89" s="242">
        <v>0</v>
      </c>
      <c r="K89" s="242">
        <v>0</v>
      </c>
      <c r="L89" s="242">
        <v>0</v>
      </c>
      <c r="M89" s="242">
        <v>1900</v>
      </c>
      <c r="N89" s="243">
        <f t="shared" si="18"/>
        <v>16</v>
      </c>
      <c r="O89" s="243">
        <f t="shared" si="19"/>
        <v>32000</v>
      </c>
      <c r="P89" s="243">
        <f t="shared" si="20"/>
        <v>60800</v>
      </c>
      <c r="Q89" s="242">
        <v>1</v>
      </c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</row>
    <row r="90" spans="1:164" x14ac:dyDescent="0.2">
      <c r="A90" s="10"/>
      <c r="B90" s="10"/>
      <c r="C90" s="53" t="s">
        <v>903</v>
      </c>
      <c r="D90" s="242">
        <v>3</v>
      </c>
      <c r="E90" s="242">
        <v>36250</v>
      </c>
      <c r="F90" s="242">
        <v>0</v>
      </c>
      <c r="G90" s="242">
        <v>0</v>
      </c>
      <c r="H90" s="242">
        <v>0</v>
      </c>
      <c r="I90" s="242">
        <v>12</v>
      </c>
      <c r="J90" s="242">
        <v>0</v>
      </c>
      <c r="K90" s="242">
        <v>0</v>
      </c>
      <c r="L90" s="242">
        <v>0</v>
      </c>
      <c r="M90" s="242">
        <v>1900</v>
      </c>
      <c r="N90" s="243">
        <f t="shared" si="18"/>
        <v>12</v>
      </c>
      <c r="O90" s="243">
        <f t="shared" si="19"/>
        <v>24000</v>
      </c>
      <c r="P90" s="243">
        <f t="shared" si="20"/>
        <v>45600</v>
      </c>
      <c r="Q90" s="242">
        <v>1</v>
      </c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</row>
    <row r="91" spans="1:164" x14ac:dyDescent="0.2">
      <c r="A91" s="10"/>
      <c r="B91" s="10"/>
      <c r="C91" s="53" t="s">
        <v>904</v>
      </c>
      <c r="D91" s="242">
        <v>3</v>
      </c>
      <c r="E91" s="242">
        <v>46780</v>
      </c>
      <c r="F91" s="242">
        <v>0</v>
      </c>
      <c r="G91" s="242">
        <v>0</v>
      </c>
      <c r="H91" s="242">
        <v>0</v>
      </c>
      <c r="I91" s="242">
        <v>17</v>
      </c>
      <c r="J91" s="242">
        <v>0</v>
      </c>
      <c r="K91" s="242">
        <v>0</v>
      </c>
      <c r="L91" s="242">
        <v>0</v>
      </c>
      <c r="M91" s="242">
        <v>1900</v>
      </c>
      <c r="N91" s="243">
        <f t="shared" si="18"/>
        <v>17</v>
      </c>
      <c r="O91" s="243">
        <f t="shared" si="19"/>
        <v>34000</v>
      </c>
      <c r="P91" s="243">
        <f t="shared" si="20"/>
        <v>64600</v>
      </c>
      <c r="Q91" s="242">
        <v>1</v>
      </c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</row>
    <row r="92" spans="1:164" x14ac:dyDescent="0.2">
      <c r="A92" s="10"/>
      <c r="B92" s="10"/>
      <c r="C92" s="53" t="s">
        <v>905</v>
      </c>
      <c r="D92" s="242">
        <v>3</v>
      </c>
      <c r="E92" s="242">
        <v>54750</v>
      </c>
      <c r="F92" s="242">
        <v>0</v>
      </c>
      <c r="G92" s="242">
        <v>0</v>
      </c>
      <c r="H92" s="242">
        <v>0</v>
      </c>
      <c r="I92" s="242">
        <v>20</v>
      </c>
      <c r="J92" s="242">
        <v>0</v>
      </c>
      <c r="K92" s="242">
        <v>0</v>
      </c>
      <c r="L92" s="242">
        <v>0</v>
      </c>
      <c r="M92" s="242">
        <v>1900</v>
      </c>
      <c r="N92" s="243">
        <f t="shared" si="18"/>
        <v>20</v>
      </c>
      <c r="O92" s="243">
        <f t="shared" si="19"/>
        <v>40000</v>
      </c>
      <c r="P92" s="243">
        <f t="shared" si="20"/>
        <v>76000</v>
      </c>
      <c r="Q92" s="242">
        <v>1</v>
      </c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</row>
    <row r="93" spans="1:164" x14ac:dyDescent="0.2">
      <c r="A93" s="10"/>
      <c r="B93" s="10"/>
      <c r="C93" s="53"/>
      <c r="D93" s="242">
        <v>0</v>
      </c>
      <c r="E93" s="242">
        <v>0</v>
      </c>
      <c r="F93" s="242">
        <v>0</v>
      </c>
      <c r="G93" s="242">
        <v>0</v>
      </c>
      <c r="H93" s="242">
        <v>0</v>
      </c>
      <c r="I93" s="242">
        <v>0</v>
      </c>
      <c r="J93" s="242">
        <v>0</v>
      </c>
      <c r="K93" s="242">
        <v>0</v>
      </c>
      <c r="L93" s="242">
        <v>0</v>
      </c>
      <c r="M93" s="242">
        <v>0</v>
      </c>
      <c r="N93" s="243">
        <f t="shared" si="18"/>
        <v>0</v>
      </c>
      <c r="O93" s="243">
        <f t="shared" si="19"/>
        <v>0</v>
      </c>
      <c r="P93" s="243">
        <f t="shared" si="20"/>
        <v>0</v>
      </c>
      <c r="Q93" s="242">
        <v>0</v>
      </c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</row>
    <row r="94" spans="1:164" x14ac:dyDescent="0.2">
      <c r="A94" s="10"/>
      <c r="B94" s="10"/>
      <c r="C94" s="53"/>
      <c r="D94" s="242">
        <v>0</v>
      </c>
      <c r="E94" s="242">
        <v>0</v>
      </c>
      <c r="F94" s="242">
        <v>0</v>
      </c>
      <c r="G94" s="242">
        <v>0</v>
      </c>
      <c r="H94" s="242">
        <v>0</v>
      </c>
      <c r="I94" s="242">
        <v>0</v>
      </c>
      <c r="J94" s="242">
        <v>0</v>
      </c>
      <c r="K94" s="242">
        <v>0</v>
      </c>
      <c r="L94" s="242">
        <v>0</v>
      </c>
      <c r="M94" s="242">
        <v>0</v>
      </c>
      <c r="N94" s="243">
        <f t="shared" si="18"/>
        <v>0</v>
      </c>
      <c r="O94" s="243">
        <f t="shared" si="19"/>
        <v>0</v>
      </c>
      <c r="P94" s="243">
        <f t="shared" si="20"/>
        <v>0</v>
      </c>
      <c r="Q94" s="242">
        <v>0</v>
      </c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</row>
    <row r="95" spans="1:164" x14ac:dyDescent="0.2">
      <c r="A95" s="10"/>
      <c r="B95" s="10"/>
      <c r="C95" s="49" t="s">
        <v>24</v>
      </c>
      <c r="D95" s="244"/>
      <c r="E95" s="244">
        <f>SUM(E80:E94)</f>
        <v>585960</v>
      </c>
      <c r="F95" s="244">
        <f>SUM(F80:F94)</f>
        <v>129</v>
      </c>
      <c r="G95" s="244">
        <f>SUM(G80:G94)</f>
        <v>112</v>
      </c>
      <c r="H95" s="244">
        <f>SUM(H80:H94)</f>
        <v>58</v>
      </c>
      <c r="I95" s="244">
        <f>SUM(I80:I94)</f>
        <v>73</v>
      </c>
      <c r="J95" s="244"/>
      <c r="K95" s="244"/>
      <c r="L95" s="244"/>
      <c r="M95" s="244"/>
      <c r="N95" s="244">
        <f>SUM(N80:N94)</f>
        <v>372</v>
      </c>
      <c r="O95" s="244">
        <f>SUM(O80:O94)</f>
        <v>430800</v>
      </c>
      <c r="P95" s="244">
        <f>SUM(P80:P94)</f>
        <v>900840</v>
      </c>
      <c r="Q95" s="244">
        <f>SUM(Q80:Q94)</f>
        <v>10</v>
      </c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</row>
    <row r="96" spans="1:164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</row>
    <row r="97" spans="1:164" x14ac:dyDescent="0.2">
      <c r="A97" s="10"/>
      <c r="B97" s="10"/>
      <c r="C97" s="23" t="s">
        <v>906</v>
      </c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</row>
    <row r="98" spans="1:164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</row>
    <row r="99" spans="1:164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</row>
    <row r="100" spans="1:164" x14ac:dyDescent="0.2">
      <c r="A100" s="10"/>
      <c r="B100" s="24" t="s">
        <v>907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</row>
    <row r="101" spans="1:164" x14ac:dyDescent="0.2">
      <c r="A101" s="10"/>
      <c r="B101" s="49" t="s">
        <v>908</v>
      </c>
      <c r="C101" s="237" t="str">
        <f>"Launch "&amp;TEXT($D$32,"mmm/yy")&amp;" · construction "&amp;TEXT($D$34,"mmm/yy")&amp;"–"&amp;TEXT(EDATE($D$35,-1),"mmm/yy")&amp;" · keys "&amp;TEXT($D$35,"mmm/yy")</f>
        <v>Lançamento jan/28 · obra jul/28–dez/30 · chaves jan/31</v>
      </c>
      <c r="D101" s="49"/>
      <c r="E101" s="49"/>
      <c r="F101" s="49"/>
      <c r="G101" s="49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</row>
    <row r="102" spans="1:164" x14ac:dyDescent="0.2">
      <c r="A102" s="10"/>
      <c r="B102" s="10"/>
      <c r="C102" s="10" t="s">
        <v>742</v>
      </c>
      <c r="D102" s="10"/>
      <c r="E102" s="10"/>
      <c r="F102" s="10"/>
      <c r="G102" s="10"/>
      <c r="H102" s="18">
        <f>SUM(I102:FH102)</f>
        <v>0.99999999999999944</v>
      </c>
      <c r="I102" s="51">
        <f t="shared" ref="I102:AN102" si="21">IFERROR(IF(AND(I$6&gt;=$D$32,I$6&lt;EDATE($D$32,$D$39)),$D$38/$D$39,IF(AND(I$6&gt;=$D$43,I$6&lt;$D$35),$D$42/$D$44,IF(AND(I$6&gt;=$D$45,I$6&lt;$D$46),$D$40/$D$41,0))),0)</f>
        <v>0</v>
      </c>
      <c r="J102" s="51">
        <f t="shared" si="21"/>
        <v>0</v>
      </c>
      <c r="K102" s="51">
        <f t="shared" si="21"/>
        <v>0</v>
      </c>
      <c r="L102" s="51">
        <f t="shared" si="21"/>
        <v>0</v>
      </c>
      <c r="M102" s="51">
        <f t="shared" si="21"/>
        <v>0</v>
      </c>
      <c r="N102" s="51">
        <f t="shared" si="21"/>
        <v>0</v>
      </c>
      <c r="O102" s="51">
        <f t="shared" si="21"/>
        <v>0</v>
      </c>
      <c r="P102" s="51">
        <f t="shared" si="21"/>
        <v>0</v>
      </c>
      <c r="Q102" s="51">
        <f t="shared" si="21"/>
        <v>0</v>
      </c>
      <c r="R102" s="51">
        <f t="shared" si="21"/>
        <v>0</v>
      </c>
      <c r="S102" s="51">
        <f t="shared" si="21"/>
        <v>0</v>
      </c>
      <c r="T102" s="51">
        <f t="shared" si="21"/>
        <v>0</v>
      </c>
      <c r="U102" s="51">
        <f t="shared" si="21"/>
        <v>6.6666666666666666E-2</v>
      </c>
      <c r="V102" s="51">
        <f t="shared" si="21"/>
        <v>6.6666666666666666E-2</v>
      </c>
      <c r="W102" s="51">
        <f t="shared" si="21"/>
        <v>6.6666666666666666E-2</v>
      </c>
      <c r="X102" s="51">
        <f t="shared" si="21"/>
        <v>6.6666666666666666E-2</v>
      </c>
      <c r="Y102" s="51">
        <f t="shared" si="21"/>
        <v>6.6666666666666666E-2</v>
      </c>
      <c r="Z102" s="51">
        <f t="shared" si="21"/>
        <v>6.6666666666666666E-2</v>
      </c>
      <c r="AA102" s="51">
        <f t="shared" si="21"/>
        <v>1.3333333333333332E-2</v>
      </c>
      <c r="AB102" s="51">
        <f t="shared" si="21"/>
        <v>1.3333333333333332E-2</v>
      </c>
      <c r="AC102" s="51">
        <f t="shared" si="21"/>
        <v>1.3333333333333332E-2</v>
      </c>
      <c r="AD102" s="51">
        <f t="shared" si="21"/>
        <v>1.3333333333333332E-2</v>
      </c>
      <c r="AE102" s="51">
        <f t="shared" si="21"/>
        <v>1.3333333333333332E-2</v>
      </c>
      <c r="AF102" s="51">
        <f t="shared" si="21"/>
        <v>1.3333333333333332E-2</v>
      </c>
      <c r="AG102" s="51">
        <f t="shared" si="21"/>
        <v>1.3333333333333332E-2</v>
      </c>
      <c r="AH102" s="51">
        <f t="shared" si="21"/>
        <v>1.3333333333333332E-2</v>
      </c>
      <c r="AI102" s="51">
        <f t="shared" si="21"/>
        <v>1.3333333333333332E-2</v>
      </c>
      <c r="AJ102" s="51">
        <f t="shared" si="21"/>
        <v>1.3333333333333332E-2</v>
      </c>
      <c r="AK102" s="51">
        <f t="shared" si="21"/>
        <v>1.3333333333333332E-2</v>
      </c>
      <c r="AL102" s="51">
        <f t="shared" si="21"/>
        <v>1.3333333333333332E-2</v>
      </c>
      <c r="AM102" s="51">
        <f t="shared" si="21"/>
        <v>1.3333333333333332E-2</v>
      </c>
      <c r="AN102" s="51">
        <f t="shared" si="21"/>
        <v>1.3333333333333332E-2</v>
      </c>
      <c r="AO102" s="51">
        <f t="shared" ref="AO102:BT102" si="22">IFERROR(IF(AND(AO$6&gt;=$D$32,AO$6&lt;EDATE($D$32,$D$39)),$D$38/$D$39,IF(AND(AO$6&gt;=$D$43,AO$6&lt;$D$35),$D$42/$D$44,IF(AND(AO$6&gt;=$D$45,AO$6&lt;$D$46),$D$40/$D$41,0))),0)</f>
        <v>1.3333333333333332E-2</v>
      </c>
      <c r="AP102" s="51">
        <f t="shared" si="22"/>
        <v>1.3333333333333332E-2</v>
      </c>
      <c r="AQ102" s="51">
        <f t="shared" si="22"/>
        <v>1.3333333333333332E-2</v>
      </c>
      <c r="AR102" s="51">
        <f t="shared" si="22"/>
        <v>1.3333333333333332E-2</v>
      </c>
      <c r="AS102" s="51">
        <f t="shared" si="22"/>
        <v>1.3333333333333332E-2</v>
      </c>
      <c r="AT102" s="51">
        <f t="shared" si="22"/>
        <v>1.3333333333333332E-2</v>
      </c>
      <c r="AU102" s="51">
        <f t="shared" si="22"/>
        <v>1.3333333333333332E-2</v>
      </c>
      <c r="AV102" s="51">
        <f t="shared" si="22"/>
        <v>1.3333333333333332E-2</v>
      </c>
      <c r="AW102" s="51">
        <f t="shared" si="22"/>
        <v>1.3333333333333332E-2</v>
      </c>
      <c r="AX102" s="51">
        <f t="shared" si="22"/>
        <v>1.3333333333333332E-2</v>
      </c>
      <c r="AY102" s="51">
        <f t="shared" si="22"/>
        <v>1.3333333333333332E-2</v>
      </c>
      <c r="AZ102" s="51">
        <f t="shared" si="22"/>
        <v>1.3333333333333332E-2</v>
      </c>
      <c r="BA102" s="51">
        <f t="shared" si="22"/>
        <v>1.3333333333333332E-2</v>
      </c>
      <c r="BB102" s="51">
        <f t="shared" si="22"/>
        <v>1.3333333333333332E-2</v>
      </c>
      <c r="BC102" s="51">
        <f t="shared" si="22"/>
        <v>1.3333333333333332E-2</v>
      </c>
      <c r="BD102" s="51">
        <f t="shared" si="22"/>
        <v>1.3333333333333332E-2</v>
      </c>
      <c r="BE102" s="51">
        <f t="shared" si="22"/>
        <v>0</v>
      </c>
      <c r="BF102" s="51">
        <f t="shared" si="22"/>
        <v>0.02</v>
      </c>
      <c r="BG102" s="51">
        <f t="shared" si="22"/>
        <v>0.02</v>
      </c>
      <c r="BH102" s="51">
        <f t="shared" si="22"/>
        <v>0.02</v>
      </c>
      <c r="BI102" s="51">
        <f t="shared" si="22"/>
        <v>0.02</v>
      </c>
      <c r="BJ102" s="51">
        <f t="shared" si="22"/>
        <v>0.02</v>
      </c>
      <c r="BK102" s="51">
        <f t="shared" si="22"/>
        <v>0.02</v>
      </c>
      <c r="BL102" s="51">
        <f t="shared" si="22"/>
        <v>0.02</v>
      </c>
      <c r="BM102" s="51">
        <f t="shared" si="22"/>
        <v>0.02</v>
      </c>
      <c r="BN102" s="51">
        <f t="shared" si="22"/>
        <v>0.02</v>
      </c>
      <c r="BO102" s="51">
        <f t="shared" si="22"/>
        <v>0.02</v>
      </c>
      <c r="BP102" s="51">
        <f t="shared" si="22"/>
        <v>0</v>
      </c>
      <c r="BQ102" s="51">
        <f t="shared" si="22"/>
        <v>0</v>
      </c>
      <c r="BR102" s="51">
        <f t="shared" si="22"/>
        <v>0</v>
      </c>
      <c r="BS102" s="51">
        <f t="shared" si="22"/>
        <v>0</v>
      </c>
      <c r="BT102" s="51">
        <f t="shared" si="22"/>
        <v>0</v>
      </c>
      <c r="BU102" s="51">
        <f t="shared" ref="BU102:CZ102" si="23">IFERROR(IF(AND(BU$6&gt;=$D$32,BU$6&lt;EDATE($D$32,$D$39)),$D$38/$D$39,IF(AND(BU$6&gt;=$D$43,BU$6&lt;$D$35),$D$42/$D$44,IF(AND(BU$6&gt;=$D$45,BU$6&lt;$D$46),$D$40/$D$41,0))),0)</f>
        <v>0</v>
      </c>
      <c r="BV102" s="51">
        <f t="shared" si="23"/>
        <v>0</v>
      </c>
      <c r="BW102" s="51">
        <f t="shared" si="23"/>
        <v>0</v>
      </c>
      <c r="BX102" s="51">
        <f t="shared" si="23"/>
        <v>0</v>
      </c>
      <c r="BY102" s="51">
        <f t="shared" si="23"/>
        <v>0</v>
      </c>
      <c r="BZ102" s="51">
        <f t="shared" si="23"/>
        <v>0</v>
      </c>
      <c r="CA102" s="51">
        <f t="shared" si="23"/>
        <v>0</v>
      </c>
      <c r="CB102" s="51">
        <f t="shared" si="23"/>
        <v>0</v>
      </c>
      <c r="CC102" s="51">
        <f t="shared" si="23"/>
        <v>0</v>
      </c>
      <c r="CD102" s="51">
        <f t="shared" si="23"/>
        <v>0</v>
      </c>
      <c r="CE102" s="51">
        <f t="shared" si="23"/>
        <v>0</v>
      </c>
      <c r="CF102" s="51">
        <f t="shared" si="23"/>
        <v>0</v>
      </c>
      <c r="CG102" s="51">
        <f t="shared" si="23"/>
        <v>0</v>
      </c>
      <c r="CH102" s="51">
        <f t="shared" si="23"/>
        <v>0</v>
      </c>
      <c r="CI102" s="51">
        <f t="shared" si="23"/>
        <v>0</v>
      </c>
      <c r="CJ102" s="51">
        <f t="shared" si="23"/>
        <v>0</v>
      </c>
      <c r="CK102" s="51">
        <f t="shared" si="23"/>
        <v>0</v>
      </c>
      <c r="CL102" s="51">
        <f t="shared" si="23"/>
        <v>0</v>
      </c>
      <c r="CM102" s="51">
        <f t="shared" si="23"/>
        <v>0</v>
      </c>
      <c r="CN102" s="51">
        <f t="shared" si="23"/>
        <v>0</v>
      </c>
      <c r="CO102" s="51">
        <f t="shared" si="23"/>
        <v>0</v>
      </c>
      <c r="CP102" s="51">
        <f t="shared" si="23"/>
        <v>0</v>
      </c>
      <c r="CQ102" s="51">
        <f t="shared" si="23"/>
        <v>0</v>
      </c>
      <c r="CR102" s="51">
        <f t="shared" si="23"/>
        <v>0</v>
      </c>
      <c r="CS102" s="51">
        <f t="shared" si="23"/>
        <v>0</v>
      </c>
      <c r="CT102" s="51">
        <f t="shared" si="23"/>
        <v>0</v>
      </c>
      <c r="CU102" s="51">
        <f t="shared" si="23"/>
        <v>0</v>
      </c>
      <c r="CV102" s="51">
        <f t="shared" si="23"/>
        <v>0</v>
      </c>
      <c r="CW102" s="51">
        <f t="shared" si="23"/>
        <v>0</v>
      </c>
      <c r="CX102" s="51">
        <f t="shared" si="23"/>
        <v>0</v>
      </c>
      <c r="CY102" s="51">
        <f t="shared" si="23"/>
        <v>0</v>
      </c>
      <c r="CZ102" s="51">
        <f t="shared" si="23"/>
        <v>0</v>
      </c>
      <c r="DA102" s="51">
        <f t="shared" ref="DA102:EF102" si="24">IFERROR(IF(AND(DA$6&gt;=$D$32,DA$6&lt;EDATE($D$32,$D$39)),$D$38/$D$39,IF(AND(DA$6&gt;=$D$43,DA$6&lt;$D$35),$D$42/$D$44,IF(AND(DA$6&gt;=$D$45,DA$6&lt;$D$46),$D$40/$D$41,0))),0)</f>
        <v>0</v>
      </c>
      <c r="DB102" s="51">
        <f t="shared" si="24"/>
        <v>0</v>
      </c>
      <c r="DC102" s="51">
        <f t="shared" si="24"/>
        <v>0</v>
      </c>
      <c r="DD102" s="51">
        <f t="shared" si="24"/>
        <v>0</v>
      </c>
      <c r="DE102" s="51">
        <f t="shared" si="24"/>
        <v>0</v>
      </c>
      <c r="DF102" s="51">
        <f t="shared" si="24"/>
        <v>0</v>
      </c>
      <c r="DG102" s="51">
        <f t="shared" si="24"/>
        <v>0</v>
      </c>
      <c r="DH102" s="51">
        <f t="shared" si="24"/>
        <v>0</v>
      </c>
      <c r="DI102" s="51">
        <f t="shared" si="24"/>
        <v>0</v>
      </c>
      <c r="DJ102" s="51">
        <f t="shared" si="24"/>
        <v>0</v>
      </c>
      <c r="DK102" s="51">
        <f t="shared" si="24"/>
        <v>0</v>
      </c>
      <c r="DL102" s="51">
        <f t="shared" si="24"/>
        <v>0</v>
      </c>
      <c r="DM102" s="51">
        <f t="shared" si="24"/>
        <v>0</v>
      </c>
      <c r="DN102" s="51">
        <f t="shared" si="24"/>
        <v>0</v>
      </c>
      <c r="DO102" s="51">
        <f t="shared" si="24"/>
        <v>0</v>
      </c>
      <c r="DP102" s="51">
        <f t="shared" si="24"/>
        <v>0</v>
      </c>
      <c r="DQ102" s="51">
        <f t="shared" si="24"/>
        <v>0</v>
      </c>
      <c r="DR102" s="51">
        <f t="shared" si="24"/>
        <v>0</v>
      </c>
      <c r="DS102" s="51">
        <f t="shared" si="24"/>
        <v>0</v>
      </c>
      <c r="DT102" s="51">
        <f t="shared" si="24"/>
        <v>0</v>
      </c>
      <c r="DU102" s="51">
        <f t="shared" si="24"/>
        <v>0</v>
      </c>
      <c r="DV102" s="51">
        <f t="shared" si="24"/>
        <v>0</v>
      </c>
      <c r="DW102" s="51">
        <f t="shared" si="24"/>
        <v>0</v>
      </c>
      <c r="DX102" s="51">
        <f t="shared" si="24"/>
        <v>0</v>
      </c>
      <c r="DY102" s="51">
        <f t="shared" si="24"/>
        <v>0</v>
      </c>
      <c r="DZ102" s="51">
        <f t="shared" si="24"/>
        <v>0</v>
      </c>
      <c r="EA102" s="51">
        <f t="shared" si="24"/>
        <v>0</v>
      </c>
      <c r="EB102" s="51">
        <f t="shared" si="24"/>
        <v>0</v>
      </c>
      <c r="EC102" s="51">
        <f t="shared" si="24"/>
        <v>0</v>
      </c>
      <c r="ED102" s="51">
        <f t="shared" si="24"/>
        <v>0</v>
      </c>
      <c r="EE102" s="51">
        <f t="shared" si="24"/>
        <v>0</v>
      </c>
      <c r="EF102" s="51">
        <f t="shared" si="24"/>
        <v>0</v>
      </c>
      <c r="EG102" s="51">
        <f t="shared" ref="EG102:FH102" si="25">IFERROR(IF(AND(EG$6&gt;=$D$32,EG$6&lt;EDATE($D$32,$D$39)),$D$38/$D$39,IF(AND(EG$6&gt;=$D$43,EG$6&lt;$D$35),$D$42/$D$44,IF(AND(EG$6&gt;=$D$45,EG$6&lt;$D$46),$D$40/$D$41,0))),0)</f>
        <v>0</v>
      </c>
      <c r="EH102" s="51">
        <f t="shared" si="25"/>
        <v>0</v>
      </c>
      <c r="EI102" s="51">
        <f t="shared" si="25"/>
        <v>0</v>
      </c>
      <c r="EJ102" s="51">
        <f t="shared" si="25"/>
        <v>0</v>
      </c>
      <c r="EK102" s="51">
        <f t="shared" si="25"/>
        <v>0</v>
      </c>
      <c r="EL102" s="51">
        <f t="shared" si="25"/>
        <v>0</v>
      </c>
      <c r="EM102" s="51">
        <f t="shared" si="25"/>
        <v>0</v>
      </c>
      <c r="EN102" s="51">
        <f t="shared" si="25"/>
        <v>0</v>
      </c>
      <c r="EO102" s="51">
        <f t="shared" si="25"/>
        <v>0</v>
      </c>
      <c r="EP102" s="51">
        <f t="shared" si="25"/>
        <v>0</v>
      </c>
      <c r="EQ102" s="51">
        <f t="shared" si="25"/>
        <v>0</v>
      </c>
      <c r="ER102" s="51">
        <f t="shared" si="25"/>
        <v>0</v>
      </c>
      <c r="ES102" s="51">
        <f t="shared" si="25"/>
        <v>0</v>
      </c>
      <c r="ET102" s="51">
        <f t="shared" si="25"/>
        <v>0</v>
      </c>
      <c r="EU102" s="51">
        <f t="shared" si="25"/>
        <v>0</v>
      </c>
      <c r="EV102" s="51">
        <f t="shared" si="25"/>
        <v>0</v>
      </c>
      <c r="EW102" s="51">
        <f t="shared" si="25"/>
        <v>0</v>
      </c>
      <c r="EX102" s="51">
        <f t="shared" si="25"/>
        <v>0</v>
      </c>
      <c r="EY102" s="51">
        <f t="shared" si="25"/>
        <v>0</v>
      </c>
      <c r="EZ102" s="51">
        <f t="shared" si="25"/>
        <v>0</v>
      </c>
      <c r="FA102" s="51">
        <f t="shared" si="25"/>
        <v>0</v>
      </c>
      <c r="FB102" s="51">
        <f t="shared" si="25"/>
        <v>0</v>
      </c>
      <c r="FC102" s="51">
        <f t="shared" si="25"/>
        <v>0</v>
      </c>
      <c r="FD102" s="51">
        <f t="shared" si="25"/>
        <v>0</v>
      </c>
      <c r="FE102" s="51">
        <f t="shared" si="25"/>
        <v>0</v>
      </c>
      <c r="FF102" s="51">
        <f t="shared" si="25"/>
        <v>0</v>
      </c>
      <c r="FG102" s="51">
        <f t="shared" si="25"/>
        <v>0</v>
      </c>
      <c r="FH102" s="51">
        <f t="shared" si="25"/>
        <v>0</v>
      </c>
    </row>
    <row r="103" spans="1:164" x14ac:dyDescent="0.2">
      <c r="A103" s="10"/>
      <c r="B103" s="10"/>
      <c r="C103" s="10" t="s">
        <v>909</v>
      </c>
      <c r="D103" s="10"/>
      <c r="E103" s="10"/>
      <c r="F103" s="10"/>
      <c r="G103" s="10"/>
      <c r="H103" s="12">
        <f>SUM(I103:FH103)</f>
        <v>179680.00000000017</v>
      </c>
      <c r="I103" s="12">
        <f t="shared" ref="I103:AN103" si="26">I102*$D$23*(1+$D$11)^(MAX(0,DATEDIF($D$10,I$6,"m"))/12)</f>
        <v>0</v>
      </c>
      <c r="J103" s="12">
        <f t="shared" si="26"/>
        <v>0</v>
      </c>
      <c r="K103" s="12">
        <f t="shared" si="26"/>
        <v>0</v>
      </c>
      <c r="L103" s="12">
        <f t="shared" si="26"/>
        <v>0</v>
      </c>
      <c r="M103" s="12">
        <f t="shared" si="26"/>
        <v>0</v>
      </c>
      <c r="N103" s="12">
        <f t="shared" si="26"/>
        <v>0</v>
      </c>
      <c r="O103" s="12">
        <f t="shared" si="26"/>
        <v>0</v>
      </c>
      <c r="P103" s="12">
        <f t="shared" si="26"/>
        <v>0</v>
      </c>
      <c r="Q103" s="12">
        <f t="shared" si="26"/>
        <v>0</v>
      </c>
      <c r="R103" s="12">
        <f t="shared" si="26"/>
        <v>0</v>
      </c>
      <c r="S103" s="12">
        <f t="shared" si="26"/>
        <v>0</v>
      </c>
      <c r="T103" s="12">
        <f t="shared" si="26"/>
        <v>0</v>
      </c>
      <c r="U103" s="12">
        <f t="shared" si="26"/>
        <v>11978.666666666666</v>
      </c>
      <c r="V103" s="12">
        <f t="shared" si="26"/>
        <v>11978.666666666666</v>
      </c>
      <c r="W103" s="12">
        <f t="shared" si="26"/>
        <v>11978.666666666666</v>
      </c>
      <c r="X103" s="12">
        <f t="shared" si="26"/>
        <v>11978.666666666666</v>
      </c>
      <c r="Y103" s="12">
        <f t="shared" si="26"/>
        <v>11978.666666666666</v>
      </c>
      <c r="Z103" s="12">
        <f t="shared" si="26"/>
        <v>11978.666666666666</v>
      </c>
      <c r="AA103" s="12">
        <f t="shared" si="26"/>
        <v>2395.7333333333331</v>
      </c>
      <c r="AB103" s="12">
        <f t="shared" si="26"/>
        <v>2395.7333333333331</v>
      </c>
      <c r="AC103" s="12">
        <f t="shared" si="26"/>
        <v>2395.7333333333331</v>
      </c>
      <c r="AD103" s="12">
        <f t="shared" si="26"/>
        <v>2395.7333333333331</v>
      </c>
      <c r="AE103" s="12">
        <f t="shared" si="26"/>
        <v>2395.7333333333331</v>
      </c>
      <c r="AF103" s="12">
        <f t="shared" si="26"/>
        <v>2395.7333333333331</v>
      </c>
      <c r="AG103" s="12">
        <f t="shared" si="26"/>
        <v>2395.7333333333331</v>
      </c>
      <c r="AH103" s="12">
        <f t="shared" si="26"/>
        <v>2395.7333333333331</v>
      </c>
      <c r="AI103" s="12">
        <f t="shared" si="26"/>
        <v>2395.7333333333331</v>
      </c>
      <c r="AJ103" s="12">
        <f t="shared" si="26"/>
        <v>2395.7333333333331</v>
      </c>
      <c r="AK103" s="12">
        <f t="shared" si="26"/>
        <v>2395.7333333333331</v>
      </c>
      <c r="AL103" s="12">
        <f t="shared" si="26"/>
        <v>2395.7333333333331</v>
      </c>
      <c r="AM103" s="12">
        <f t="shared" si="26"/>
        <v>2395.7333333333331</v>
      </c>
      <c r="AN103" s="12">
        <f t="shared" si="26"/>
        <v>2395.7333333333331</v>
      </c>
      <c r="AO103" s="12">
        <f t="shared" ref="AO103:BT103" si="27">AO102*$D$23*(1+$D$11)^(MAX(0,DATEDIF($D$10,AO$6,"m"))/12)</f>
        <v>2395.7333333333331</v>
      </c>
      <c r="AP103" s="12">
        <f t="shared" si="27"/>
        <v>2395.7333333333331</v>
      </c>
      <c r="AQ103" s="12">
        <f t="shared" si="27"/>
        <v>2395.7333333333331</v>
      </c>
      <c r="AR103" s="12">
        <f t="shared" si="27"/>
        <v>2395.7333333333331</v>
      </c>
      <c r="AS103" s="12">
        <f t="shared" si="27"/>
        <v>2395.7333333333331</v>
      </c>
      <c r="AT103" s="12">
        <f t="shared" si="27"/>
        <v>2395.7333333333331</v>
      </c>
      <c r="AU103" s="12">
        <f t="shared" si="27"/>
        <v>2395.7333333333331</v>
      </c>
      <c r="AV103" s="12">
        <f t="shared" si="27"/>
        <v>2395.7333333333331</v>
      </c>
      <c r="AW103" s="12">
        <f t="shared" si="27"/>
        <v>2395.7333333333331</v>
      </c>
      <c r="AX103" s="12">
        <f t="shared" si="27"/>
        <v>2395.7333333333331</v>
      </c>
      <c r="AY103" s="12">
        <f t="shared" si="27"/>
        <v>2395.7333333333331</v>
      </c>
      <c r="AZ103" s="12">
        <f t="shared" si="27"/>
        <v>2395.7333333333331</v>
      </c>
      <c r="BA103" s="12">
        <f t="shared" si="27"/>
        <v>2395.7333333333331</v>
      </c>
      <c r="BB103" s="12">
        <f t="shared" si="27"/>
        <v>2395.7333333333331</v>
      </c>
      <c r="BC103" s="12">
        <f t="shared" si="27"/>
        <v>2395.7333333333331</v>
      </c>
      <c r="BD103" s="12">
        <f t="shared" si="27"/>
        <v>2395.7333333333331</v>
      </c>
      <c r="BE103" s="12">
        <f t="shared" si="27"/>
        <v>0</v>
      </c>
      <c r="BF103" s="12">
        <f t="shared" si="27"/>
        <v>3593.6</v>
      </c>
      <c r="BG103" s="12">
        <f t="shared" si="27"/>
        <v>3593.6</v>
      </c>
      <c r="BH103" s="12">
        <f t="shared" si="27"/>
        <v>3593.6</v>
      </c>
      <c r="BI103" s="12">
        <f t="shared" si="27"/>
        <v>3593.6</v>
      </c>
      <c r="BJ103" s="12">
        <f t="shared" si="27"/>
        <v>3593.6</v>
      </c>
      <c r="BK103" s="12">
        <f t="shared" si="27"/>
        <v>3593.6</v>
      </c>
      <c r="BL103" s="12">
        <f t="shared" si="27"/>
        <v>3593.6</v>
      </c>
      <c r="BM103" s="12">
        <f t="shared" si="27"/>
        <v>3593.6</v>
      </c>
      <c r="BN103" s="12">
        <f t="shared" si="27"/>
        <v>3593.6</v>
      </c>
      <c r="BO103" s="12">
        <f t="shared" si="27"/>
        <v>3593.6</v>
      </c>
      <c r="BP103" s="12">
        <f t="shared" si="27"/>
        <v>0</v>
      </c>
      <c r="BQ103" s="12">
        <f t="shared" si="27"/>
        <v>0</v>
      </c>
      <c r="BR103" s="12">
        <f t="shared" si="27"/>
        <v>0</v>
      </c>
      <c r="BS103" s="12">
        <f t="shared" si="27"/>
        <v>0</v>
      </c>
      <c r="BT103" s="12">
        <f t="shared" si="27"/>
        <v>0</v>
      </c>
      <c r="BU103" s="12">
        <f t="shared" ref="BU103:CZ103" si="28">BU102*$D$23*(1+$D$11)^(MAX(0,DATEDIF($D$10,BU$6,"m"))/12)</f>
        <v>0</v>
      </c>
      <c r="BV103" s="12">
        <f t="shared" si="28"/>
        <v>0</v>
      </c>
      <c r="BW103" s="12">
        <f t="shared" si="28"/>
        <v>0</v>
      </c>
      <c r="BX103" s="12">
        <f t="shared" si="28"/>
        <v>0</v>
      </c>
      <c r="BY103" s="12">
        <f t="shared" si="28"/>
        <v>0</v>
      </c>
      <c r="BZ103" s="12">
        <f t="shared" si="28"/>
        <v>0</v>
      </c>
      <c r="CA103" s="12">
        <f t="shared" si="28"/>
        <v>0</v>
      </c>
      <c r="CB103" s="12">
        <f t="shared" si="28"/>
        <v>0</v>
      </c>
      <c r="CC103" s="12">
        <f t="shared" si="28"/>
        <v>0</v>
      </c>
      <c r="CD103" s="12">
        <f t="shared" si="28"/>
        <v>0</v>
      </c>
      <c r="CE103" s="12">
        <f t="shared" si="28"/>
        <v>0</v>
      </c>
      <c r="CF103" s="12">
        <f t="shared" si="28"/>
        <v>0</v>
      </c>
      <c r="CG103" s="12">
        <f t="shared" si="28"/>
        <v>0</v>
      </c>
      <c r="CH103" s="12">
        <f t="shared" si="28"/>
        <v>0</v>
      </c>
      <c r="CI103" s="12">
        <f t="shared" si="28"/>
        <v>0</v>
      </c>
      <c r="CJ103" s="12">
        <f t="shared" si="28"/>
        <v>0</v>
      </c>
      <c r="CK103" s="12">
        <f t="shared" si="28"/>
        <v>0</v>
      </c>
      <c r="CL103" s="12">
        <f t="shared" si="28"/>
        <v>0</v>
      </c>
      <c r="CM103" s="12">
        <f t="shared" si="28"/>
        <v>0</v>
      </c>
      <c r="CN103" s="12">
        <f t="shared" si="28"/>
        <v>0</v>
      </c>
      <c r="CO103" s="12">
        <f t="shared" si="28"/>
        <v>0</v>
      </c>
      <c r="CP103" s="12">
        <f t="shared" si="28"/>
        <v>0</v>
      </c>
      <c r="CQ103" s="12">
        <f t="shared" si="28"/>
        <v>0</v>
      </c>
      <c r="CR103" s="12">
        <f t="shared" si="28"/>
        <v>0</v>
      </c>
      <c r="CS103" s="12">
        <f t="shared" si="28"/>
        <v>0</v>
      </c>
      <c r="CT103" s="12">
        <f t="shared" si="28"/>
        <v>0</v>
      </c>
      <c r="CU103" s="12">
        <f t="shared" si="28"/>
        <v>0</v>
      </c>
      <c r="CV103" s="12">
        <f t="shared" si="28"/>
        <v>0</v>
      </c>
      <c r="CW103" s="12">
        <f t="shared" si="28"/>
        <v>0</v>
      </c>
      <c r="CX103" s="12">
        <f t="shared" si="28"/>
        <v>0</v>
      </c>
      <c r="CY103" s="12">
        <f t="shared" si="28"/>
        <v>0</v>
      </c>
      <c r="CZ103" s="12">
        <f t="shared" si="28"/>
        <v>0</v>
      </c>
      <c r="DA103" s="12">
        <f t="shared" ref="DA103:EF103" si="29">DA102*$D$23*(1+$D$11)^(MAX(0,DATEDIF($D$10,DA$6,"m"))/12)</f>
        <v>0</v>
      </c>
      <c r="DB103" s="12">
        <f t="shared" si="29"/>
        <v>0</v>
      </c>
      <c r="DC103" s="12">
        <f t="shared" si="29"/>
        <v>0</v>
      </c>
      <c r="DD103" s="12">
        <f t="shared" si="29"/>
        <v>0</v>
      </c>
      <c r="DE103" s="12">
        <f t="shared" si="29"/>
        <v>0</v>
      </c>
      <c r="DF103" s="12">
        <f t="shared" si="29"/>
        <v>0</v>
      </c>
      <c r="DG103" s="12">
        <f t="shared" si="29"/>
        <v>0</v>
      </c>
      <c r="DH103" s="12">
        <f t="shared" si="29"/>
        <v>0</v>
      </c>
      <c r="DI103" s="12">
        <f t="shared" si="29"/>
        <v>0</v>
      </c>
      <c r="DJ103" s="12">
        <f t="shared" si="29"/>
        <v>0</v>
      </c>
      <c r="DK103" s="12">
        <f t="shared" si="29"/>
        <v>0</v>
      </c>
      <c r="DL103" s="12">
        <f t="shared" si="29"/>
        <v>0</v>
      </c>
      <c r="DM103" s="12">
        <f t="shared" si="29"/>
        <v>0</v>
      </c>
      <c r="DN103" s="12">
        <f t="shared" si="29"/>
        <v>0</v>
      </c>
      <c r="DO103" s="12">
        <f t="shared" si="29"/>
        <v>0</v>
      </c>
      <c r="DP103" s="12">
        <f t="shared" si="29"/>
        <v>0</v>
      </c>
      <c r="DQ103" s="12">
        <f t="shared" si="29"/>
        <v>0</v>
      </c>
      <c r="DR103" s="12">
        <f t="shared" si="29"/>
        <v>0</v>
      </c>
      <c r="DS103" s="12">
        <f t="shared" si="29"/>
        <v>0</v>
      </c>
      <c r="DT103" s="12">
        <f t="shared" si="29"/>
        <v>0</v>
      </c>
      <c r="DU103" s="12">
        <f t="shared" si="29"/>
        <v>0</v>
      </c>
      <c r="DV103" s="12">
        <f t="shared" si="29"/>
        <v>0</v>
      </c>
      <c r="DW103" s="12">
        <f t="shared" si="29"/>
        <v>0</v>
      </c>
      <c r="DX103" s="12">
        <f t="shared" si="29"/>
        <v>0</v>
      </c>
      <c r="DY103" s="12">
        <f t="shared" si="29"/>
        <v>0</v>
      </c>
      <c r="DZ103" s="12">
        <f t="shared" si="29"/>
        <v>0</v>
      </c>
      <c r="EA103" s="12">
        <f t="shared" si="29"/>
        <v>0</v>
      </c>
      <c r="EB103" s="12">
        <f t="shared" si="29"/>
        <v>0</v>
      </c>
      <c r="EC103" s="12">
        <f t="shared" si="29"/>
        <v>0</v>
      </c>
      <c r="ED103" s="12">
        <f t="shared" si="29"/>
        <v>0</v>
      </c>
      <c r="EE103" s="12">
        <f t="shared" si="29"/>
        <v>0</v>
      </c>
      <c r="EF103" s="12">
        <f t="shared" si="29"/>
        <v>0</v>
      </c>
      <c r="EG103" s="12">
        <f t="shared" ref="EG103:FH103" si="30">EG102*$D$23*(1+$D$11)^(MAX(0,DATEDIF($D$10,EG$6,"m"))/12)</f>
        <v>0</v>
      </c>
      <c r="EH103" s="12">
        <f t="shared" si="30"/>
        <v>0</v>
      </c>
      <c r="EI103" s="12">
        <f t="shared" si="30"/>
        <v>0</v>
      </c>
      <c r="EJ103" s="12">
        <f t="shared" si="30"/>
        <v>0</v>
      </c>
      <c r="EK103" s="12">
        <f t="shared" si="30"/>
        <v>0</v>
      </c>
      <c r="EL103" s="12">
        <f t="shared" si="30"/>
        <v>0</v>
      </c>
      <c r="EM103" s="12">
        <f t="shared" si="30"/>
        <v>0</v>
      </c>
      <c r="EN103" s="12">
        <f t="shared" si="30"/>
        <v>0</v>
      </c>
      <c r="EO103" s="12">
        <f t="shared" si="30"/>
        <v>0</v>
      </c>
      <c r="EP103" s="12">
        <f t="shared" si="30"/>
        <v>0</v>
      </c>
      <c r="EQ103" s="12">
        <f t="shared" si="30"/>
        <v>0</v>
      </c>
      <c r="ER103" s="12">
        <f t="shared" si="30"/>
        <v>0</v>
      </c>
      <c r="ES103" s="12">
        <f t="shared" si="30"/>
        <v>0</v>
      </c>
      <c r="ET103" s="12">
        <f t="shared" si="30"/>
        <v>0</v>
      </c>
      <c r="EU103" s="12">
        <f t="shared" si="30"/>
        <v>0</v>
      </c>
      <c r="EV103" s="12">
        <f t="shared" si="30"/>
        <v>0</v>
      </c>
      <c r="EW103" s="12">
        <f t="shared" si="30"/>
        <v>0</v>
      </c>
      <c r="EX103" s="12">
        <f t="shared" si="30"/>
        <v>0</v>
      </c>
      <c r="EY103" s="12">
        <f t="shared" si="30"/>
        <v>0</v>
      </c>
      <c r="EZ103" s="12">
        <f t="shared" si="30"/>
        <v>0</v>
      </c>
      <c r="FA103" s="12">
        <f t="shared" si="30"/>
        <v>0</v>
      </c>
      <c r="FB103" s="12">
        <f t="shared" si="30"/>
        <v>0</v>
      </c>
      <c r="FC103" s="12">
        <f t="shared" si="30"/>
        <v>0</v>
      </c>
      <c r="FD103" s="12">
        <f t="shared" si="30"/>
        <v>0</v>
      </c>
      <c r="FE103" s="12">
        <f t="shared" si="30"/>
        <v>0</v>
      </c>
      <c r="FF103" s="12">
        <f t="shared" si="30"/>
        <v>0</v>
      </c>
      <c r="FG103" s="12">
        <f t="shared" si="30"/>
        <v>0</v>
      </c>
      <c r="FH103" s="12">
        <f t="shared" si="30"/>
        <v>0</v>
      </c>
    </row>
    <row r="104" spans="1:164" x14ac:dyDescent="0.2">
      <c r="A104" s="10"/>
      <c r="B104" s="10"/>
      <c r="C104" s="201" t="s">
        <v>748</v>
      </c>
      <c r="D104" s="194"/>
      <c r="E104" s="194"/>
      <c r="F104" s="194"/>
      <c r="G104" s="194"/>
      <c r="H104" s="216"/>
      <c r="I104" s="216">
        <f t="shared" ref="I104:AN104" si="31">IF(I$6&lt;$D$35,I103*$D$50/DATEDIF(I$6,$D$35,"m"),0)</f>
        <v>0</v>
      </c>
      <c r="J104" s="216">
        <f t="shared" si="31"/>
        <v>0</v>
      </c>
      <c r="K104" s="216">
        <f t="shared" si="31"/>
        <v>0</v>
      </c>
      <c r="L104" s="216">
        <f t="shared" si="31"/>
        <v>0</v>
      </c>
      <c r="M104" s="216">
        <f t="shared" si="31"/>
        <v>0</v>
      </c>
      <c r="N104" s="216">
        <f t="shared" si="31"/>
        <v>0</v>
      </c>
      <c r="O104" s="216">
        <f t="shared" si="31"/>
        <v>0</v>
      </c>
      <c r="P104" s="216">
        <f t="shared" si="31"/>
        <v>0</v>
      </c>
      <c r="Q104" s="216">
        <f t="shared" si="31"/>
        <v>0</v>
      </c>
      <c r="R104" s="216">
        <f t="shared" si="31"/>
        <v>0</v>
      </c>
      <c r="S104" s="216">
        <f t="shared" si="31"/>
        <v>0</v>
      </c>
      <c r="T104" s="216">
        <f t="shared" si="31"/>
        <v>0</v>
      </c>
      <c r="U104" s="216">
        <f t="shared" si="31"/>
        <v>49.911111111111111</v>
      </c>
      <c r="V104" s="216">
        <f t="shared" si="31"/>
        <v>51.337142857142858</v>
      </c>
      <c r="W104" s="216">
        <f t="shared" si="31"/>
        <v>52.847058823529409</v>
      </c>
      <c r="X104" s="216">
        <f t="shared" si="31"/>
        <v>54.448484848484846</v>
      </c>
      <c r="Y104" s="216">
        <f t="shared" si="31"/>
        <v>56.15</v>
      </c>
      <c r="Z104" s="216">
        <f t="shared" si="31"/>
        <v>57.961290322580645</v>
      </c>
      <c r="AA104" s="216">
        <f t="shared" si="31"/>
        <v>11.978666666666665</v>
      </c>
      <c r="AB104" s="216">
        <f t="shared" si="31"/>
        <v>12.391724137931034</v>
      </c>
      <c r="AC104" s="216">
        <f t="shared" si="31"/>
        <v>12.834285714285713</v>
      </c>
      <c r="AD104" s="216">
        <f t="shared" si="31"/>
        <v>13.309629629629628</v>
      </c>
      <c r="AE104" s="216">
        <f t="shared" si="31"/>
        <v>13.821538461538459</v>
      </c>
      <c r="AF104" s="216">
        <f t="shared" si="31"/>
        <v>14.374399999999998</v>
      </c>
      <c r="AG104" s="216">
        <f t="shared" si="31"/>
        <v>14.973333333333331</v>
      </c>
      <c r="AH104" s="216">
        <f t="shared" si="31"/>
        <v>15.624347826086955</v>
      </c>
      <c r="AI104" s="216">
        <f t="shared" si="31"/>
        <v>16.334545454545452</v>
      </c>
      <c r="AJ104" s="216">
        <f t="shared" si="31"/>
        <v>17.112380952380949</v>
      </c>
      <c r="AK104" s="216">
        <f t="shared" si="31"/>
        <v>17.967999999999996</v>
      </c>
      <c r="AL104" s="216">
        <f t="shared" si="31"/>
        <v>18.913684210526313</v>
      </c>
      <c r="AM104" s="216">
        <f t="shared" si="31"/>
        <v>19.964444444444442</v>
      </c>
      <c r="AN104" s="216">
        <f t="shared" si="31"/>
        <v>21.138823529411763</v>
      </c>
      <c r="AO104" s="216">
        <f t="shared" ref="AO104:BT104" si="32">IF(AO$6&lt;$D$35,AO103*$D$50/DATEDIF(AO$6,$D$35,"m"),0)</f>
        <v>22.459999999999997</v>
      </c>
      <c r="AP104" s="216">
        <f t="shared" si="32"/>
        <v>23.957333333333331</v>
      </c>
      <c r="AQ104" s="216">
        <f t="shared" si="32"/>
        <v>25.668571428571425</v>
      </c>
      <c r="AR104" s="216">
        <f t="shared" si="32"/>
        <v>27.643076923076919</v>
      </c>
      <c r="AS104" s="216">
        <f t="shared" si="32"/>
        <v>29.946666666666662</v>
      </c>
      <c r="AT104" s="216">
        <f t="shared" si="32"/>
        <v>32.669090909090905</v>
      </c>
      <c r="AU104" s="216">
        <f t="shared" si="32"/>
        <v>35.935999999999993</v>
      </c>
      <c r="AV104" s="216">
        <f t="shared" si="32"/>
        <v>39.928888888888885</v>
      </c>
      <c r="AW104" s="216">
        <f t="shared" si="32"/>
        <v>44.919999999999995</v>
      </c>
      <c r="AX104" s="216">
        <f t="shared" si="32"/>
        <v>51.337142857142851</v>
      </c>
      <c r="AY104" s="216">
        <f t="shared" si="32"/>
        <v>59.893333333333324</v>
      </c>
      <c r="AZ104" s="216">
        <f t="shared" si="32"/>
        <v>71.871999999999986</v>
      </c>
      <c r="BA104" s="216">
        <f t="shared" si="32"/>
        <v>89.839999999999989</v>
      </c>
      <c r="BB104" s="216">
        <f t="shared" si="32"/>
        <v>119.78666666666665</v>
      </c>
      <c r="BC104" s="216">
        <f t="shared" si="32"/>
        <v>179.67999999999998</v>
      </c>
      <c r="BD104" s="216">
        <f t="shared" si="32"/>
        <v>359.35999999999996</v>
      </c>
      <c r="BE104" s="216">
        <f t="shared" si="32"/>
        <v>0</v>
      </c>
      <c r="BF104" s="216">
        <f t="shared" si="32"/>
        <v>0</v>
      </c>
      <c r="BG104" s="216">
        <f t="shared" si="32"/>
        <v>0</v>
      </c>
      <c r="BH104" s="216">
        <f t="shared" si="32"/>
        <v>0</v>
      </c>
      <c r="BI104" s="216">
        <f t="shared" si="32"/>
        <v>0</v>
      </c>
      <c r="BJ104" s="216">
        <f t="shared" si="32"/>
        <v>0</v>
      </c>
      <c r="BK104" s="216">
        <f t="shared" si="32"/>
        <v>0</v>
      </c>
      <c r="BL104" s="216">
        <f t="shared" si="32"/>
        <v>0</v>
      </c>
      <c r="BM104" s="216">
        <f t="shared" si="32"/>
        <v>0</v>
      </c>
      <c r="BN104" s="216">
        <f t="shared" si="32"/>
        <v>0</v>
      </c>
      <c r="BO104" s="216">
        <f t="shared" si="32"/>
        <v>0</v>
      </c>
      <c r="BP104" s="216">
        <f t="shared" si="32"/>
        <v>0</v>
      </c>
      <c r="BQ104" s="216">
        <f t="shared" si="32"/>
        <v>0</v>
      </c>
      <c r="BR104" s="216">
        <f t="shared" si="32"/>
        <v>0</v>
      </c>
      <c r="BS104" s="216">
        <f t="shared" si="32"/>
        <v>0</v>
      </c>
      <c r="BT104" s="216">
        <f t="shared" si="32"/>
        <v>0</v>
      </c>
      <c r="BU104" s="216">
        <f t="shared" ref="BU104:CZ104" si="33">IF(BU$6&lt;$D$35,BU103*$D$50/DATEDIF(BU$6,$D$35,"m"),0)</f>
        <v>0</v>
      </c>
      <c r="BV104" s="216">
        <f t="shared" si="33"/>
        <v>0</v>
      </c>
      <c r="BW104" s="216">
        <f t="shared" si="33"/>
        <v>0</v>
      </c>
      <c r="BX104" s="216">
        <f t="shared" si="33"/>
        <v>0</v>
      </c>
      <c r="BY104" s="216">
        <f t="shared" si="33"/>
        <v>0</v>
      </c>
      <c r="BZ104" s="216">
        <f t="shared" si="33"/>
        <v>0</v>
      </c>
      <c r="CA104" s="216">
        <f t="shared" si="33"/>
        <v>0</v>
      </c>
      <c r="CB104" s="216">
        <f t="shared" si="33"/>
        <v>0</v>
      </c>
      <c r="CC104" s="216">
        <f t="shared" si="33"/>
        <v>0</v>
      </c>
      <c r="CD104" s="216">
        <f t="shared" si="33"/>
        <v>0</v>
      </c>
      <c r="CE104" s="216">
        <f t="shared" si="33"/>
        <v>0</v>
      </c>
      <c r="CF104" s="216">
        <f t="shared" si="33"/>
        <v>0</v>
      </c>
      <c r="CG104" s="216">
        <f t="shared" si="33"/>
        <v>0</v>
      </c>
      <c r="CH104" s="216">
        <f t="shared" si="33"/>
        <v>0</v>
      </c>
      <c r="CI104" s="216">
        <f t="shared" si="33"/>
        <v>0</v>
      </c>
      <c r="CJ104" s="216">
        <f t="shared" si="33"/>
        <v>0</v>
      </c>
      <c r="CK104" s="216">
        <f t="shared" si="33"/>
        <v>0</v>
      </c>
      <c r="CL104" s="216">
        <f t="shared" si="33"/>
        <v>0</v>
      </c>
      <c r="CM104" s="216">
        <f t="shared" si="33"/>
        <v>0</v>
      </c>
      <c r="CN104" s="216">
        <f t="shared" si="33"/>
        <v>0</v>
      </c>
      <c r="CO104" s="216">
        <f t="shared" si="33"/>
        <v>0</v>
      </c>
      <c r="CP104" s="216">
        <f t="shared" si="33"/>
        <v>0</v>
      </c>
      <c r="CQ104" s="216">
        <f t="shared" si="33"/>
        <v>0</v>
      </c>
      <c r="CR104" s="216">
        <f t="shared" si="33"/>
        <v>0</v>
      </c>
      <c r="CS104" s="216">
        <f t="shared" si="33"/>
        <v>0</v>
      </c>
      <c r="CT104" s="216">
        <f t="shared" si="33"/>
        <v>0</v>
      </c>
      <c r="CU104" s="216">
        <f t="shared" si="33"/>
        <v>0</v>
      </c>
      <c r="CV104" s="216">
        <f t="shared" si="33"/>
        <v>0</v>
      </c>
      <c r="CW104" s="216">
        <f t="shared" si="33"/>
        <v>0</v>
      </c>
      <c r="CX104" s="216">
        <f t="shared" si="33"/>
        <v>0</v>
      </c>
      <c r="CY104" s="216">
        <f t="shared" si="33"/>
        <v>0</v>
      </c>
      <c r="CZ104" s="216">
        <f t="shared" si="33"/>
        <v>0</v>
      </c>
      <c r="DA104" s="216">
        <f t="shared" ref="DA104:EF104" si="34">IF(DA$6&lt;$D$35,DA103*$D$50/DATEDIF(DA$6,$D$35,"m"),0)</f>
        <v>0</v>
      </c>
      <c r="DB104" s="216">
        <f t="shared" si="34"/>
        <v>0</v>
      </c>
      <c r="DC104" s="216">
        <f t="shared" si="34"/>
        <v>0</v>
      </c>
      <c r="DD104" s="216">
        <f t="shared" si="34"/>
        <v>0</v>
      </c>
      <c r="DE104" s="216">
        <f t="shared" si="34"/>
        <v>0</v>
      </c>
      <c r="DF104" s="216">
        <f t="shared" si="34"/>
        <v>0</v>
      </c>
      <c r="DG104" s="216">
        <f t="shared" si="34"/>
        <v>0</v>
      </c>
      <c r="DH104" s="216">
        <f t="shared" si="34"/>
        <v>0</v>
      </c>
      <c r="DI104" s="216">
        <f t="shared" si="34"/>
        <v>0</v>
      </c>
      <c r="DJ104" s="216">
        <f t="shared" si="34"/>
        <v>0</v>
      </c>
      <c r="DK104" s="216">
        <f t="shared" si="34"/>
        <v>0</v>
      </c>
      <c r="DL104" s="216">
        <f t="shared" si="34"/>
        <v>0</v>
      </c>
      <c r="DM104" s="216">
        <f t="shared" si="34"/>
        <v>0</v>
      </c>
      <c r="DN104" s="216">
        <f t="shared" si="34"/>
        <v>0</v>
      </c>
      <c r="DO104" s="216">
        <f t="shared" si="34"/>
        <v>0</v>
      </c>
      <c r="DP104" s="216">
        <f t="shared" si="34"/>
        <v>0</v>
      </c>
      <c r="DQ104" s="216">
        <f t="shared" si="34"/>
        <v>0</v>
      </c>
      <c r="DR104" s="216">
        <f t="shared" si="34"/>
        <v>0</v>
      </c>
      <c r="DS104" s="216">
        <f t="shared" si="34"/>
        <v>0</v>
      </c>
      <c r="DT104" s="216">
        <f t="shared" si="34"/>
        <v>0</v>
      </c>
      <c r="DU104" s="216">
        <f t="shared" si="34"/>
        <v>0</v>
      </c>
      <c r="DV104" s="216">
        <f t="shared" si="34"/>
        <v>0</v>
      </c>
      <c r="DW104" s="216">
        <f t="shared" si="34"/>
        <v>0</v>
      </c>
      <c r="DX104" s="216">
        <f t="shared" si="34"/>
        <v>0</v>
      </c>
      <c r="DY104" s="216">
        <f t="shared" si="34"/>
        <v>0</v>
      </c>
      <c r="DZ104" s="216">
        <f t="shared" si="34"/>
        <v>0</v>
      </c>
      <c r="EA104" s="216">
        <f t="shared" si="34"/>
        <v>0</v>
      </c>
      <c r="EB104" s="216">
        <f t="shared" si="34"/>
        <v>0</v>
      </c>
      <c r="EC104" s="216">
        <f t="shared" si="34"/>
        <v>0</v>
      </c>
      <c r="ED104" s="216">
        <f t="shared" si="34"/>
        <v>0</v>
      </c>
      <c r="EE104" s="216">
        <f t="shared" si="34"/>
        <v>0</v>
      </c>
      <c r="EF104" s="216">
        <f t="shared" si="34"/>
        <v>0</v>
      </c>
      <c r="EG104" s="216">
        <f t="shared" ref="EG104:FH104" si="35">IF(EG$6&lt;$D$35,EG103*$D$50/DATEDIF(EG$6,$D$35,"m"),0)</f>
        <v>0</v>
      </c>
      <c r="EH104" s="216">
        <f t="shared" si="35"/>
        <v>0</v>
      </c>
      <c r="EI104" s="216">
        <f t="shared" si="35"/>
        <v>0</v>
      </c>
      <c r="EJ104" s="216">
        <f t="shared" si="35"/>
        <v>0</v>
      </c>
      <c r="EK104" s="216">
        <f t="shared" si="35"/>
        <v>0</v>
      </c>
      <c r="EL104" s="216">
        <f t="shared" si="35"/>
        <v>0</v>
      </c>
      <c r="EM104" s="216">
        <f t="shared" si="35"/>
        <v>0</v>
      </c>
      <c r="EN104" s="216">
        <f t="shared" si="35"/>
        <v>0</v>
      </c>
      <c r="EO104" s="216">
        <f t="shared" si="35"/>
        <v>0</v>
      </c>
      <c r="EP104" s="216">
        <f t="shared" si="35"/>
        <v>0</v>
      </c>
      <c r="EQ104" s="216">
        <f t="shared" si="35"/>
        <v>0</v>
      </c>
      <c r="ER104" s="216">
        <f t="shared" si="35"/>
        <v>0</v>
      </c>
      <c r="ES104" s="216">
        <f t="shared" si="35"/>
        <v>0</v>
      </c>
      <c r="ET104" s="216">
        <f t="shared" si="35"/>
        <v>0</v>
      </c>
      <c r="EU104" s="216">
        <f t="shared" si="35"/>
        <v>0</v>
      </c>
      <c r="EV104" s="216">
        <f t="shared" si="35"/>
        <v>0</v>
      </c>
      <c r="EW104" s="216">
        <f t="shared" si="35"/>
        <v>0</v>
      </c>
      <c r="EX104" s="216">
        <f t="shared" si="35"/>
        <v>0</v>
      </c>
      <c r="EY104" s="216">
        <f t="shared" si="35"/>
        <v>0</v>
      </c>
      <c r="EZ104" s="216">
        <f t="shared" si="35"/>
        <v>0</v>
      </c>
      <c r="FA104" s="216">
        <f t="shared" si="35"/>
        <v>0</v>
      </c>
      <c r="FB104" s="216">
        <f t="shared" si="35"/>
        <v>0</v>
      </c>
      <c r="FC104" s="216">
        <f t="shared" si="35"/>
        <v>0</v>
      </c>
      <c r="FD104" s="216">
        <f t="shared" si="35"/>
        <v>0</v>
      </c>
      <c r="FE104" s="216">
        <f t="shared" si="35"/>
        <v>0</v>
      </c>
      <c r="FF104" s="216">
        <f t="shared" si="35"/>
        <v>0</v>
      </c>
      <c r="FG104" s="216">
        <f t="shared" si="35"/>
        <v>0</v>
      </c>
      <c r="FH104" s="216">
        <f t="shared" si="35"/>
        <v>0</v>
      </c>
    </row>
    <row r="105" spans="1:164" x14ac:dyDescent="0.2">
      <c r="A105" s="10"/>
      <c r="B105" s="10"/>
      <c r="C105" s="10" t="s">
        <v>749</v>
      </c>
      <c r="D105" s="10"/>
      <c r="E105" s="10"/>
      <c r="F105" s="10"/>
      <c r="G105" s="10"/>
      <c r="H105" s="12">
        <f t="shared" ref="H105:H113" si="36">SUM(I105:FH105)</f>
        <v>34139.200000000004</v>
      </c>
      <c r="I105" s="12">
        <f t="shared" ref="I105:AN105" si="37">I103*$D$49+IF(I$6&gt;=$D$35,I103*($D$50+$D$51),0)</f>
        <v>0</v>
      </c>
      <c r="J105" s="12">
        <f t="shared" si="37"/>
        <v>0</v>
      </c>
      <c r="K105" s="12">
        <f t="shared" si="37"/>
        <v>0</v>
      </c>
      <c r="L105" s="12">
        <f t="shared" si="37"/>
        <v>0</v>
      </c>
      <c r="M105" s="12">
        <f t="shared" si="37"/>
        <v>0</v>
      </c>
      <c r="N105" s="12">
        <f t="shared" si="37"/>
        <v>0</v>
      </c>
      <c r="O105" s="12">
        <f t="shared" si="37"/>
        <v>0</v>
      </c>
      <c r="P105" s="12">
        <f t="shared" si="37"/>
        <v>0</v>
      </c>
      <c r="Q105" s="12">
        <f t="shared" si="37"/>
        <v>0</v>
      </c>
      <c r="R105" s="12">
        <f t="shared" si="37"/>
        <v>0</v>
      </c>
      <c r="S105" s="12">
        <f t="shared" si="37"/>
        <v>0</v>
      </c>
      <c r="T105" s="12">
        <f t="shared" si="37"/>
        <v>0</v>
      </c>
      <c r="U105" s="12">
        <f t="shared" si="37"/>
        <v>1796.8</v>
      </c>
      <c r="V105" s="12">
        <f t="shared" si="37"/>
        <v>1796.8</v>
      </c>
      <c r="W105" s="12">
        <f t="shared" si="37"/>
        <v>1796.8</v>
      </c>
      <c r="X105" s="12">
        <f t="shared" si="37"/>
        <v>1796.8</v>
      </c>
      <c r="Y105" s="12">
        <f t="shared" si="37"/>
        <v>1796.8</v>
      </c>
      <c r="Z105" s="12">
        <f t="shared" si="37"/>
        <v>1796.8</v>
      </c>
      <c r="AA105" s="12">
        <f t="shared" si="37"/>
        <v>359.35999999999996</v>
      </c>
      <c r="AB105" s="12">
        <f t="shared" si="37"/>
        <v>359.35999999999996</v>
      </c>
      <c r="AC105" s="12">
        <f t="shared" si="37"/>
        <v>359.35999999999996</v>
      </c>
      <c r="AD105" s="12">
        <f t="shared" si="37"/>
        <v>359.35999999999996</v>
      </c>
      <c r="AE105" s="12">
        <f t="shared" si="37"/>
        <v>359.35999999999996</v>
      </c>
      <c r="AF105" s="12">
        <f t="shared" si="37"/>
        <v>359.35999999999996</v>
      </c>
      <c r="AG105" s="12">
        <f t="shared" si="37"/>
        <v>359.35999999999996</v>
      </c>
      <c r="AH105" s="12">
        <f t="shared" si="37"/>
        <v>359.35999999999996</v>
      </c>
      <c r="AI105" s="12">
        <f t="shared" si="37"/>
        <v>359.35999999999996</v>
      </c>
      <c r="AJ105" s="12">
        <f t="shared" si="37"/>
        <v>359.35999999999996</v>
      </c>
      <c r="AK105" s="12">
        <f t="shared" si="37"/>
        <v>359.35999999999996</v>
      </c>
      <c r="AL105" s="12">
        <f t="shared" si="37"/>
        <v>359.35999999999996</v>
      </c>
      <c r="AM105" s="12">
        <f t="shared" si="37"/>
        <v>359.35999999999996</v>
      </c>
      <c r="AN105" s="12">
        <f t="shared" si="37"/>
        <v>359.35999999999996</v>
      </c>
      <c r="AO105" s="12">
        <f t="shared" ref="AO105:BT105" si="38">AO103*$D$49+IF(AO$6&gt;=$D$35,AO103*($D$50+$D$51),0)</f>
        <v>359.35999999999996</v>
      </c>
      <c r="AP105" s="12">
        <f t="shared" si="38"/>
        <v>359.35999999999996</v>
      </c>
      <c r="AQ105" s="12">
        <f t="shared" si="38"/>
        <v>359.35999999999996</v>
      </c>
      <c r="AR105" s="12">
        <f t="shared" si="38"/>
        <v>359.35999999999996</v>
      </c>
      <c r="AS105" s="12">
        <f t="shared" si="38"/>
        <v>359.35999999999996</v>
      </c>
      <c r="AT105" s="12">
        <f t="shared" si="38"/>
        <v>359.35999999999996</v>
      </c>
      <c r="AU105" s="12">
        <f t="shared" si="38"/>
        <v>359.35999999999996</v>
      </c>
      <c r="AV105" s="12">
        <f t="shared" si="38"/>
        <v>359.35999999999996</v>
      </c>
      <c r="AW105" s="12">
        <f t="shared" si="38"/>
        <v>359.35999999999996</v>
      </c>
      <c r="AX105" s="12">
        <f t="shared" si="38"/>
        <v>359.35999999999996</v>
      </c>
      <c r="AY105" s="12">
        <f t="shared" si="38"/>
        <v>359.35999999999996</v>
      </c>
      <c r="AZ105" s="12">
        <f t="shared" si="38"/>
        <v>359.35999999999996</v>
      </c>
      <c r="BA105" s="12">
        <f t="shared" si="38"/>
        <v>359.35999999999996</v>
      </c>
      <c r="BB105" s="12">
        <f t="shared" si="38"/>
        <v>359.35999999999996</v>
      </c>
      <c r="BC105" s="12">
        <f t="shared" si="38"/>
        <v>359.35999999999996</v>
      </c>
      <c r="BD105" s="12">
        <f t="shared" si="38"/>
        <v>359.35999999999996</v>
      </c>
      <c r="BE105" s="12">
        <f t="shared" si="38"/>
        <v>0</v>
      </c>
      <c r="BF105" s="12">
        <f t="shared" si="38"/>
        <v>1257.76</v>
      </c>
      <c r="BG105" s="12">
        <f t="shared" si="38"/>
        <v>1257.76</v>
      </c>
      <c r="BH105" s="12">
        <f t="shared" si="38"/>
        <v>1257.76</v>
      </c>
      <c r="BI105" s="12">
        <f t="shared" si="38"/>
        <v>1257.76</v>
      </c>
      <c r="BJ105" s="12">
        <f t="shared" si="38"/>
        <v>1257.76</v>
      </c>
      <c r="BK105" s="12">
        <f t="shared" si="38"/>
        <v>1257.76</v>
      </c>
      <c r="BL105" s="12">
        <f t="shared" si="38"/>
        <v>1257.76</v>
      </c>
      <c r="BM105" s="12">
        <f t="shared" si="38"/>
        <v>1257.76</v>
      </c>
      <c r="BN105" s="12">
        <f t="shared" si="38"/>
        <v>1257.76</v>
      </c>
      <c r="BO105" s="12">
        <f t="shared" si="38"/>
        <v>1257.76</v>
      </c>
      <c r="BP105" s="12">
        <f t="shared" si="38"/>
        <v>0</v>
      </c>
      <c r="BQ105" s="12">
        <f t="shared" si="38"/>
        <v>0</v>
      </c>
      <c r="BR105" s="12">
        <f t="shared" si="38"/>
        <v>0</v>
      </c>
      <c r="BS105" s="12">
        <f t="shared" si="38"/>
        <v>0</v>
      </c>
      <c r="BT105" s="12">
        <f t="shared" si="38"/>
        <v>0</v>
      </c>
      <c r="BU105" s="12">
        <f t="shared" ref="BU105:CZ105" si="39">BU103*$D$49+IF(BU$6&gt;=$D$35,BU103*($D$50+$D$51),0)</f>
        <v>0</v>
      </c>
      <c r="BV105" s="12">
        <f t="shared" si="39"/>
        <v>0</v>
      </c>
      <c r="BW105" s="12">
        <f t="shared" si="39"/>
        <v>0</v>
      </c>
      <c r="BX105" s="12">
        <f t="shared" si="39"/>
        <v>0</v>
      </c>
      <c r="BY105" s="12">
        <f t="shared" si="39"/>
        <v>0</v>
      </c>
      <c r="BZ105" s="12">
        <f t="shared" si="39"/>
        <v>0</v>
      </c>
      <c r="CA105" s="12">
        <f t="shared" si="39"/>
        <v>0</v>
      </c>
      <c r="CB105" s="12">
        <f t="shared" si="39"/>
        <v>0</v>
      </c>
      <c r="CC105" s="12">
        <f t="shared" si="39"/>
        <v>0</v>
      </c>
      <c r="CD105" s="12">
        <f t="shared" si="39"/>
        <v>0</v>
      </c>
      <c r="CE105" s="12">
        <f t="shared" si="39"/>
        <v>0</v>
      </c>
      <c r="CF105" s="12">
        <f t="shared" si="39"/>
        <v>0</v>
      </c>
      <c r="CG105" s="12">
        <f t="shared" si="39"/>
        <v>0</v>
      </c>
      <c r="CH105" s="12">
        <f t="shared" si="39"/>
        <v>0</v>
      </c>
      <c r="CI105" s="12">
        <f t="shared" si="39"/>
        <v>0</v>
      </c>
      <c r="CJ105" s="12">
        <f t="shared" si="39"/>
        <v>0</v>
      </c>
      <c r="CK105" s="12">
        <f t="shared" si="39"/>
        <v>0</v>
      </c>
      <c r="CL105" s="12">
        <f t="shared" si="39"/>
        <v>0</v>
      </c>
      <c r="CM105" s="12">
        <f t="shared" si="39"/>
        <v>0</v>
      </c>
      <c r="CN105" s="12">
        <f t="shared" si="39"/>
        <v>0</v>
      </c>
      <c r="CO105" s="12">
        <f t="shared" si="39"/>
        <v>0</v>
      </c>
      <c r="CP105" s="12">
        <f t="shared" si="39"/>
        <v>0</v>
      </c>
      <c r="CQ105" s="12">
        <f t="shared" si="39"/>
        <v>0</v>
      </c>
      <c r="CR105" s="12">
        <f t="shared" si="39"/>
        <v>0</v>
      </c>
      <c r="CS105" s="12">
        <f t="shared" si="39"/>
        <v>0</v>
      </c>
      <c r="CT105" s="12">
        <f t="shared" si="39"/>
        <v>0</v>
      </c>
      <c r="CU105" s="12">
        <f t="shared" si="39"/>
        <v>0</v>
      </c>
      <c r="CV105" s="12">
        <f t="shared" si="39"/>
        <v>0</v>
      </c>
      <c r="CW105" s="12">
        <f t="shared" si="39"/>
        <v>0</v>
      </c>
      <c r="CX105" s="12">
        <f t="shared" si="39"/>
        <v>0</v>
      </c>
      <c r="CY105" s="12">
        <f t="shared" si="39"/>
        <v>0</v>
      </c>
      <c r="CZ105" s="12">
        <f t="shared" si="39"/>
        <v>0</v>
      </c>
      <c r="DA105" s="12">
        <f t="shared" ref="DA105:EF105" si="40">DA103*$D$49+IF(DA$6&gt;=$D$35,DA103*($D$50+$D$51),0)</f>
        <v>0</v>
      </c>
      <c r="DB105" s="12">
        <f t="shared" si="40"/>
        <v>0</v>
      </c>
      <c r="DC105" s="12">
        <f t="shared" si="40"/>
        <v>0</v>
      </c>
      <c r="DD105" s="12">
        <f t="shared" si="40"/>
        <v>0</v>
      </c>
      <c r="DE105" s="12">
        <f t="shared" si="40"/>
        <v>0</v>
      </c>
      <c r="DF105" s="12">
        <f t="shared" si="40"/>
        <v>0</v>
      </c>
      <c r="DG105" s="12">
        <f t="shared" si="40"/>
        <v>0</v>
      </c>
      <c r="DH105" s="12">
        <f t="shared" si="40"/>
        <v>0</v>
      </c>
      <c r="DI105" s="12">
        <f t="shared" si="40"/>
        <v>0</v>
      </c>
      <c r="DJ105" s="12">
        <f t="shared" si="40"/>
        <v>0</v>
      </c>
      <c r="DK105" s="12">
        <f t="shared" si="40"/>
        <v>0</v>
      </c>
      <c r="DL105" s="12">
        <f t="shared" si="40"/>
        <v>0</v>
      </c>
      <c r="DM105" s="12">
        <f t="shared" si="40"/>
        <v>0</v>
      </c>
      <c r="DN105" s="12">
        <f t="shared" si="40"/>
        <v>0</v>
      </c>
      <c r="DO105" s="12">
        <f t="shared" si="40"/>
        <v>0</v>
      </c>
      <c r="DP105" s="12">
        <f t="shared" si="40"/>
        <v>0</v>
      </c>
      <c r="DQ105" s="12">
        <f t="shared" si="40"/>
        <v>0</v>
      </c>
      <c r="DR105" s="12">
        <f t="shared" si="40"/>
        <v>0</v>
      </c>
      <c r="DS105" s="12">
        <f t="shared" si="40"/>
        <v>0</v>
      </c>
      <c r="DT105" s="12">
        <f t="shared" si="40"/>
        <v>0</v>
      </c>
      <c r="DU105" s="12">
        <f t="shared" si="40"/>
        <v>0</v>
      </c>
      <c r="DV105" s="12">
        <f t="shared" si="40"/>
        <v>0</v>
      </c>
      <c r="DW105" s="12">
        <f t="shared" si="40"/>
        <v>0</v>
      </c>
      <c r="DX105" s="12">
        <f t="shared" si="40"/>
        <v>0</v>
      </c>
      <c r="DY105" s="12">
        <f t="shared" si="40"/>
        <v>0</v>
      </c>
      <c r="DZ105" s="12">
        <f t="shared" si="40"/>
        <v>0</v>
      </c>
      <c r="EA105" s="12">
        <f t="shared" si="40"/>
        <v>0</v>
      </c>
      <c r="EB105" s="12">
        <f t="shared" si="40"/>
        <v>0</v>
      </c>
      <c r="EC105" s="12">
        <f t="shared" si="40"/>
        <v>0</v>
      </c>
      <c r="ED105" s="12">
        <f t="shared" si="40"/>
        <v>0</v>
      </c>
      <c r="EE105" s="12">
        <f t="shared" si="40"/>
        <v>0</v>
      </c>
      <c r="EF105" s="12">
        <f t="shared" si="40"/>
        <v>0</v>
      </c>
      <c r="EG105" s="12">
        <f t="shared" ref="EG105:FH105" si="41">EG103*$D$49+IF(EG$6&gt;=$D$35,EG103*($D$50+$D$51),0)</f>
        <v>0</v>
      </c>
      <c r="EH105" s="12">
        <f t="shared" si="41"/>
        <v>0</v>
      </c>
      <c r="EI105" s="12">
        <f t="shared" si="41"/>
        <v>0</v>
      </c>
      <c r="EJ105" s="12">
        <f t="shared" si="41"/>
        <v>0</v>
      </c>
      <c r="EK105" s="12">
        <f t="shared" si="41"/>
        <v>0</v>
      </c>
      <c r="EL105" s="12">
        <f t="shared" si="41"/>
        <v>0</v>
      </c>
      <c r="EM105" s="12">
        <f t="shared" si="41"/>
        <v>0</v>
      </c>
      <c r="EN105" s="12">
        <f t="shared" si="41"/>
        <v>0</v>
      </c>
      <c r="EO105" s="12">
        <f t="shared" si="41"/>
        <v>0</v>
      </c>
      <c r="EP105" s="12">
        <f t="shared" si="41"/>
        <v>0</v>
      </c>
      <c r="EQ105" s="12">
        <f t="shared" si="41"/>
        <v>0</v>
      </c>
      <c r="ER105" s="12">
        <f t="shared" si="41"/>
        <v>0</v>
      </c>
      <c r="ES105" s="12">
        <f t="shared" si="41"/>
        <v>0</v>
      </c>
      <c r="ET105" s="12">
        <f t="shared" si="41"/>
        <v>0</v>
      </c>
      <c r="EU105" s="12">
        <f t="shared" si="41"/>
        <v>0</v>
      </c>
      <c r="EV105" s="12">
        <f t="shared" si="41"/>
        <v>0</v>
      </c>
      <c r="EW105" s="12">
        <f t="shared" si="41"/>
        <v>0</v>
      </c>
      <c r="EX105" s="12">
        <f t="shared" si="41"/>
        <v>0</v>
      </c>
      <c r="EY105" s="12">
        <f t="shared" si="41"/>
        <v>0</v>
      </c>
      <c r="EZ105" s="12">
        <f t="shared" si="41"/>
        <v>0</v>
      </c>
      <c r="FA105" s="12">
        <f t="shared" si="41"/>
        <v>0</v>
      </c>
      <c r="FB105" s="12">
        <f t="shared" si="41"/>
        <v>0</v>
      </c>
      <c r="FC105" s="12">
        <f t="shared" si="41"/>
        <v>0</v>
      </c>
      <c r="FD105" s="12">
        <f t="shared" si="41"/>
        <v>0</v>
      </c>
      <c r="FE105" s="12">
        <f t="shared" si="41"/>
        <v>0</v>
      </c>
      <c r="FF105" s="12">
        <f t="shared" si="41"/>
        <v>0</v>
      </c>
      <c r="FG105" s="12">
        <f t="shared" si="41"/>
        <v>0</v>
      </c>
      <c r="FH105" s="12">
        <f t="shared" si="41"/>
        <v>0</v>
      </c>
    </row>
    <row r="106" spans="1:164" x14ac:dyDescent="0.2">
      <c r="A106" s="10"/>
      <c r="B106" s="10"/>
      <c r="C106" s="10" t="s">
        <v>750</v>
      </c>
      <c r="D106" s="10"/>
      <c r="E106" s="10"/>
      <c r="F106" s="10"/>
      <c r="G106" s="10"/>
      <c r="H106" s="12">
        <f t="shared" si="36"/>
        <v>21561.599999999999</v>
      </c>
      <c r="I106" s="12">
        <f>IF(I$6&lt;$D$35,SUM($I104:I104),0)</f>
        <v>0</v>
      </c>
      <c r="J106" s="12">
        <f>IF(J$6&lt;$D$35,SUM($I104:J104),0)</f>
        <v>0</v>
      </c>
      <c r="K106" s="12">
        <f>IF(K$6&lt;$D$35,SUM($I104:K104),0)</f>
        <v>0</v>
      </c>
      <c r="L106" s="12">
        <f>IF(L$6&lt;$D$35,SUM($I104:L104),0)</f>
        <v>0</v>
      </c>
      <c r="M106" s="12">
        <f>IF(M$6&lt;$D$35,SUM($I104:M104),0)</f>
        <v>0</v>
      </c>
      <c r="N106" s="12">
        <f>IF(N$6&lt;$D$35,SUM($I104:N104),0)</f>
        <v>0</v>
      </c>
      <c r="O106" s="12">
        <f>IF(O$6&lt;$D$35,SUM($I104:O104),0)</f>
        <v>0</v>
      </c>
      <c r="P106" s="12">
        <f>IF(P$6&lt;$D$35,SUM($I104:P104),0)</f>
        <v>0</v>
      </c>
      <c r="Q106" s="12">
        <f>IF(Q$6&lt;$D$35,SUM($I104:Q104),0)</f>
        <v>0</v>
      </c>
      <c r="R106" s="12">
        <f>IF(R$6&lt;$D$35,SUM($I104:R104),0)</f>
        <v>0</v>
      </c>
      <c r="S106" s="12">
        <f>IF(S$6&lt;$D$35,SUM($I104:S104),0)</f>
        <v>0</v>
      </c>
      <c r="T106" s="12">
        <f>IF(T$6&lt;$D$35,SUM($I104:T104),0)</f>
        <v>0</v>
      </c>
      <c r="U106" s="12">
        <f>IF(U$6&lt;$D$35,SUM($I104:U104),0)</f>
        <v>49.911111111111111</v>
      </c>
      <c r="V106" s="12">
        <f>IF(V$6&lt;$D$35,SUM($I104:V104),0)</f>
        <v>101.24825396825398</v>
      </c>
      <c r="W106" s="12">
        <f>IF(W$6&lt;$D$35,SUM($I104:W104),0)</f>
        <v>154.09531279178339</v>
      </c>
      <c r="X106" s="12">
        <f>IF(X$6&lt;$D$35,SUM($I104:X104),0)</f>
        <v>208.54379764026822</v>
      </c>
      <c r="Y106" s="12">
        <f>IF(Y$6&lt;$D$35,SUM($I104:Y104),0)</f>
        <v>264.6937976402682</v>
      </c>
      <c r="Z106" s="12">
        <f>IF(Z$6&lt;$D$35,SUM($I104:Z104),0)</f>
        <v>322.65508796284882</v>
      </c>
      <c r="AA106" s="12">
        <f>IF(AA$6&lt;$D$35,SUM($I104:AA104),0)</f>
        <v>334.63375462951547</v>
      </c>
      <c r="AB106" s="12">
        <f>IF(AB$6&lt;$D$35,SUM($I104:AB104),0)</f>
        <v>347.02547876744649</v>
      </c>
      <c r="AC106" s="12">
        <f>IF(AC$6&lt;$D$35,SUM($I104:AC104),0)</f>
        <v>359.85976448173221</v>
      </c>
      <c r="AD106" s="12">
        <f>IF(AD$6&lt;$D$35,SUM($I104:AD104),0)</f>
        <v>373.16939411136184</v>
      </c>
      <c r="AE106" s="12">
        <f>IF(AE$6&lt;$D$35,SUM($I104:AE104),0)</f>
        <v>386.99093257290031</v>
      </c>
      <c r="AF106" s="12">
        <f>IF(AF$6&lt;$D$35,SUM($I104:AF104),0)</f>
        <v>401.36533257290029</v>
      </c>
      <c r="AG106" s="12">
        <f>IF(AG$6&lt;$D$35,SUM($I104:AG104),0)</f>
        <v>416.33866590623364</v>
      </c>
      <c r="AH106" s="12">
        <f>IF(AH$6&lt;$D$35,SUM($I104:AH104),0)</f>
        <v>431.96301373232058</v>
      </c>
      <c r="AI106" s="12">
        <f>IF(AI$6&lt;$D$35,SUM($I104:AI104),0)</f>
        <v>448.29755918686601</v>
      </c>
      <c r="AJ106" s="12">
        <f>IF(AJ$6&lt;$D$35,SUM($I104:AJ104),0)</f>
        <v>465.40994013924694</v>
      </c>
      <c r="AK106" s="12">
        <f>IF(AK$6&lt;$D$35,SUM($I104:AK104),0)</f>
        <v>483.37794013924696</v>
      </c>
      <c r="AL106" s="12">
        <f>IF(AL$6&lt;$D$35,SUM($I104:AL104),0)</f>
        <v>502.29162434977326</v>
      </c>
      <c r="AM106" s="12">
        <f>IF(AM$6&lt;$D$35,SUM($I104:AM104),0)</f>
        <v>522.25606879421775</v>
      </c>
      <c r="AN106" s="12">
        <f>IF(AN$6&lt;$D$35,SUM($I104:AN104),0)</f>
        <v>543.39489232362951</v>
      </c>
      <c r="AO106" s="12">
        <f>IF(AO$6&lt;$D$35,SUM($I104:AO104),0)</f>
        <v>565.85489232362954</v>
      </c>
      <c r="AP106" s="12">
        <f>IF(AP$6&lt;$D$35,SUM($I104:AP104),0)</f>
        <v>589.81222565696282</v>
      </c>
      <c r="AQ106" s="12">
        <f>IF(AQ$6&lt;$D$35,SUM($I104:AQ104),0)</f>
        <v>615.48079708553428</v>
      </c>
      <c r="AR106" s="12">
        <f>IF(AR$6&lt;$D$35,SUM($I104:AR104),0)</f>
        <v>643.12387400861121</v>
      </c>
      <c r="AS106" s="12">
        <f>IF(AS$6&lt;$D$35,SUM($I104:AS104),0)</f>
        <v>673.07054067527793</v>
      </c>
      <c r="AT106" s="12">
        <f>IF(AT$6&lt;$D$35,SUM($I104:AT104),0)</f>
        <v>705.73963158436879</v>
      </c>
      <c r="AU106" s="12">
        <f>IF(AU$6&lt;$D$35,SUM($I104:AU104),0)</f>
        <v>741.67563158436883</v>
      </c>
      <c r="AV106" s="12">
        <f>IF(AV$6&lt;$D$35,SUM($I104:AV104),0)</f>
        <v>781.60452047325771</v>
      </c>
      <c r="AW106" s="12">
        <f>IF(AW$6&lt;$D$35,SUM($I104:AW104),0)</f>
        <v>826.52452047325767</v>
      </c>
      <c r="AX106" s="12">
        <f>IF(AX$6&lt;$D$35,SUM($I104:AX104),0)</f>
        <v>877.86166333040046</v>
      </c>
      <c r="AY106" s="12">
        <f>IF(AY$6&lt;$D$35,SUM($I104:AY104),0)</f>
        <v>937.75499666373378</v>
      </c>
      <c r="AZ106" s="12">
        <f>IF(AZ$6&lt;$D$35,SUM($I104:AZ104),0)</f>
        <v>1009.6269966637337</v>
      </c>
      <c r="BA106" s="12">
        <f>IF(BA$6&lt;$D$35,SUM($I104:BA104),0)</f>
        <v>1099.4669966637337</v>
      </c>
      <c r="BB106" s="12">
        <f>IF(BB$6&lt;$D$35,SUM($I104:BB104),0)</f>
        <v>1219.2536633304003</v>
      </c>
      <c r="BC106" s="12">
        <f>IF(BC$6&lt;$D$35,SUM($I104:BC104),0)</f>
        <v>1398.9336633304003</v>
      </c>
      <c r="BD106" s="12">
        <f>IF(BD$6&lt;$D$35,SUM($I104:BD104),0)</f>
        <v>1758.2936633304002</v>
      </c>
      <c r="BE106" s="12">
        <f>IF(BE$6&lt;$D$35,SUM($I104:BE104),0)</f>
        <v>0</v>
      </c>
      <c r="BF106" s="12">
        <f>IF(BF$6&lt;$D$35,SUM($I104:BF104),0)</f>
        <v>0</v>
      </c>
      <c r="BG106" s="12">
        <f>IF(BG$6&lt;$D$35,SUM($I104:BG104),0)</f>
        <v>0</v>
      </c>
      <c r="BH106" s="12">
        <f>IF(BH$6&lt;$D$35,SUM($I104:BH104),0)</f>
        <v>0</v>
      </c>
      <c r="BI106" s="12">
        <f>IF(BI$6&lt;$D$35,SUM($I104:BI104),0)</f>
        <v>0</v>
      </c>
      <c r="BJ106" s="12">
        <f>IF(BJ$6&lt;$D$35,SUM($I104:BJ104),0)</f>
        <v>0</v>
      </c>
      <c r="BK106" s="12">
        <f>IF(BK$6&lt;$D$35,SUM($I104:BK104),0)</f>
        <v>0</v>
      </c>
      <c r="BL106" s="12">
        <f>IF(BL$6&lt;$D$35,SUM($I104:BL104),0)</f>
        <v>0</v>
      </c>
      <c r="BM106" s="12">
        <f>IF(BM$6&lt;$D$35,SUM($I104:BM104),0)</f>
        <v>0</v>
      </c>
      <c r="BN106" s="12">
        <f>IF(BN$6&lt;$D$35,SUM($I104:BN104),0)</f>
        <v>0</v>
      </c>
      <c r="BO106" s="12">
        <f>IF(BO$6&lt;$D$35,SUM($I104:BO104),0)</f>
        <v>0</v>
      </c>
      <c r="BP106" s="12">
        <f>IF(BP$6&lt;$D$35,SUM($I104:BP104),0)</f>
        <v>0</v>
      </c>
      <c r="BQ106" s="12">
        <f>IF(BQ$6&lt;$D$35,SUM($I104:BQ104),0)</f>
        <v>0</v>
      </c>
      <c r="BR106" s="12">
        <f>IF(BR$6&lt;$D$35,SUM($I104:BR104),0)</f>
        <v>0</v>
      </c>
      <c r="BS106" s="12">
        <f>IF(BS$6&lt;$D$35,SUM($I104:BS104),0)</f>
        <v>0</v>
      </c>
      <c r="BT106" s="12">
        <f>IF(BT$6&lt;$D$35,SUM($I104:BT104),0)</f>
        <v>0</v>
      </c>
      <c r="BU106" s="12">
        <f>IF(BU$6&lt;$D$35,SUM($I104:BU104),0)</f>
        <v>0</v>
      </c>
      <c r="BV106" s="12">
        <f>IF(BV$6&lt;$D$35,SUM($I104:BV104),0)</f>
        <v>0</v>
      </c>
      <c r="BW106" s="12">
        <f>IF(BW$6&lt;$D$35,SUM($I104:BW104),0)</f>
        <v>0</v>
      </c>
      <c r="BX106" s="12">
        <f>IF(BX$6&lt;$D$35,SUM($I104:BX104),0)</f>
        <v>0</v>
      </c>
      <c r="BY106" s="12">
        <f>IF(BY$6&lt;$D$35,SUM($I104:BY104),0)</f>
        <v>0</v>
      </c>
      <c r="BZ106" s="12">
        <f>IF(BZ$6&lt;$D$35,SUM($I104:BZ104),0)</f>
        <v>0</v>
      </c>
      <c r="CA106" s="12">
        <f>IF(CA$6&lt;$D$35,SUM($I104:CA104),0)</f>
        <v>0</v>
      </c>
      <c r="CB106" s="12">
        <f>IF(CB$6&lt;$D$35,SUM($I104:CB104),0)</f>
        <v>0</v>
      </c>
      <c r="CC106" s="12">
        <f>IF(CC$6&lt;$D$35,SUM($I104:CC104),0)</f>
        <v>0</v>
      </c>
      <c r="CD106" s="12">
        <f>IF(CD$6&lt;$D$35,SUM($I104:CD104),0)</f>
        <v>0</v>
      </c>
      <c r="CE106" s="12">
        <f>IF(CE$6&lt;$D$35,SUM($I104:CE104),0)</f>
        <v>0</v>
      </c>
      <c r="CF106" s="12">
        <f>IF(CF$6&lt;$D$35,SUM($I104:CF104),0)</f>
        <v>0</v>
      </c>
      <c r="CG106" s="12">
        <f>IF(CG$6&lt;$D$35,SUM($I104:CG104),0)</f>
        <v>0</v>
      </c>
      <c r="CH106" s="12">
        <f>IF(CH$6&lt;$D$35,SUM($I104:CH104),0)</f>
        <v>0</v>
      </c>
      <c r="CI106" s="12">
        <f>IF(CI$6&lt;$D$35,SUM($I104:CI104),0)</f>
        <v>0</v>
      </c>
      <c r="CJ106" s="12">
        <f>IF(CJ$6&lt;$D$35,SUM($I104:CJ104),0)</f>
        <v>0</v>
      </c>
      <c r="CK106" s="12">
        <f>IF(CK$6&lt;$D$35,SUM($I104:CK104),0)</f>
        <v>0</v>
      </c>
      <c r="CL106" s="12">
        <f>IF(CL$6&lt;$D$35,SUM($I104:CL104),0)</f>
        <v>0</v>
      </c>
      <c r="CM106" s="12">
        <f>IF(CM$6&lt;$D$35,SUM($I104:CM104),0)</f>
        <v>0</v>
      </c>
      <c r="CN106" s="12">
        <f>IF(CN$6&lt;$D$35,SUM($I104:CN104),0)</f>
        <v>0</v>
      </c>
      <c r="CO106" s="12">
        <f>IF(CO$6&lt;$D$35,SUM($I104:CO104),0)</f>
        <v>0</v>
      </c>
      <c r="CP106" s="12">
        <f>IF(CP$6&lt;$D$35,SUM($I104:CP104),0)</f>
        <v>0</v>
      </c>
      <c r="CQ106" s="12">
        <f>IF(CQ$6&lt;$D$35,SUM($I104:CQ104),0)</f>
        <v>0</v>
      </c>
      <c r="CR106" s="12">
        <f>IF(CR$6&lt;$D$35,SUM($I104:CR104),0)</f>
        <v>0</v>
      </c>
      <c r="CS106" s="12">
        <f>IF(CS$6&lt;$D$35,SUM($I104:CS104),0)</f>
        <v>0</v>
      </c>
      <c r="CT106" s="12">
        <f>IF(CT$6&lt;$D$35,SUM($I104:CT104),0)</f>
        <v>0</v>
      </c>
      <c r="CU106" s="12">
        <f>IF(CU$6&lt;$D$35,SUM($I104:CU104),0)</f>
        <v>0</v>
      </c>
      <c r="CV106" s="12">
        <f>IF(CV$6&lt;$D$35,SUM($I104:CV104),0)</f>
        <v>0</v>
      </c>
      <c r="CW106" s="12">
        <f>IF(CW$6&lt;$D$35,SUM($I104:CW104),0)</f>
        <v>0</v>
      </c>
      <c r="CX106" s="12">
        <f>IF(CX$6&lt;$D$35,SUM($I104:CX104),0)</f>
        <v>0</v>
      </c>
      <c r="CY106" s="12">
        <f>IF(CY$6&lt;$D$35,SUM($I104:CY104),0)</f>
        <v>0</v>
      </c>
      <c r="CZ106" s="12">
        <f>IF(CZ$6&lt;$D$35,SUM($I104:CZ104),0)</f>
        <v>0</v>
      </c>
      <c r="DA106" s="12">
        <f>IF(DA$6&lt;$D$35,SUM($I104:DA104),0)</f>
        <v>0</v>
      </c>
      <c r="DB106" s="12">
        <f>IF(DB$6&lt;$D$35,SUM($I104:DB104),0)</f>
        <v>0</v>
      </c>
      <c r="DC106" s="12">
        <f>IF(DC$6&lt;$D$35,SUM($I104:DC104),0)</f>
        <v>0</v>
      </c>
      <c r="DD106" s="12">
        <f>IF(DD$6&lt;$D$35,SUM($I104:DD104),0)</f>
        <v>0</v>
      </c>
      <c r="DE106" s="12">
        <f>IF(DE$6&lt;$D$35,SUM($I104:DE104),0)</f>
        <v>0</v>
      </c>
      <c r="DF106" s="12">
        <f>IF(DF$6&lt;$D$35,SUM($I104:DF104),0)</f>
        <v>0</v>
      </c>
      <c r="DG106" s="12">
        <f>IF(DG$6&lt;$D$35,SUM($I104:DG104),0)</f>
        <v>0</v>
      </c>
      <c r="DH106" s="12">
        <f>IF(DH$6&lt;$D$35,SUM($I104:DH104),0)</f>
        <v>0</v>
      </c>
      <c r="DI106" s="12">
        <f>IF(DI$6&lt;$D$35,SUM($I104:DI104),0)</f>
        <v>0</v>
      </c>
      <c r="DJ106" s="12">
        <f>IF(DJ$6&lt;$D$35,SUM($I104:DJ104),0)</f>
        <v>0</v>
      </c>
      <c r="DK106" s="12">
        <f>IF(DK$6&lt;$D$35,SUM($I104:DK104),0)</f>
        <v>0</v>
      </c>
      <c r="DL106" s="12">
        <f>IF(DL$6&lt;$D$35,SUM($I104:DL104),0)</f>
        <v>0</v>
      </c>
      <c r="DM106" s="12">
        <f>IF(DM$6&lt;$D$35,SUM($I104:DM104),0)</f>
        <v>0</v>
      </c>
      <c r="DN106" s="12">
        <f>IF(DN$6&lt;$D$35,SUM($I104:DN104),0)</f>
        <v>0</v>
      </c>
      <c r="DO106" s="12">
        <f>IF(DO$6&lt;$D$35,SUM($I104:DO104),0)</f>
        <v>0</v>
      </c>
      <c r="DP106" s="12">
        <f>IF(DP$6&lt;$D$35,SUM($I104:DP104),0)</f>
        <v>0</v>
      </c>
      <c r="DQ106" s="12">
        <f>IF(DQ$6&lt;$D$35,SUM($I104:DQ104),0)</f>
        <v>0</v>
      </c>
      <c r="DR106" s="12">
        <f>IF(DR$6&lt;$D$35,SUM($I104:DR104),0)</f>
        <v>0</v>
      </c>
      <c r="DS106" s="12">
        <f>IF(DS$6&lt;$D$35,SUM($I104:DS104),0)</f>
        <v>0</v>
      </c>
      <c r="DT106" s="12">
        <f>IF(DT$6&lt;$D$35,SUM($I104:DT104),0)</f>
        <v>0</v>
      </c>
      <c r="DU106" s="12">
        <f>IF(DU$6&lt;$D$35,SUM($I104:DU104),0)</f>
        <v>0</v>
      </c>
      <c r="DV106" s="12">
        <f>IF(DV$6&lt;$D$35,SUM($I104:DV104),0)</f>
        <v>0</v>
      </c>
      <c r="DW106" s="12">
        <f>IF(DW$6&lt;$D$35,SUM($I104:DW104),0)</f>
        <v>0</v>
      </c>
      <c r="DX106" s="12">
        <f>IF(DX$6&lt;$D$35,SUM($I104:DX104),0)</f>
        <v>0</v>
      </c>
      <c r="DY106" s="12">
        <f>IF(DY$6&lt;$D$35,SUM($I104:DY104),0)</f>
        <v>0</v>
      </c>
      <c r="DZ106" s="12">
        <f>IF(DZ$6&lt;$D$35,SUM($I104:DZ104),0)</f>
        <v>0</v>
      </c>
      <c r="EA106" s="12">
        <f>IF(EA$6&lt;$D$35,SUM($I104:EA104),0)</f>
        <v>0</v>
      </c>
      <c r="EB106" s="12">
        <f>IF(EB$6&lt;$D$35,SUM($I104:EB104),0)</f>
        <v>0</v>
      </c>
      <c r="EC106" s="12">
        <f>IF(EC$6&lt;$D$35,SUM($I104:EC104),0)</f>
        <v>0</v>
      </c>
      <c r="ED106" s="12">
        <f>IF(ED$6&lt;$D$35,SUM($I104:ED104),0)</f>
        <v>0</v>
      </c>
      <c r="EE106" s="12">
        <f>IF(EE$6&lt;$D$35,SUM($I104:EE104),0)</f>
        <v>0</v>
      </c>
      <c r="EF106" s="12">
        <f>IF(EF$6&lt;$D$35,SUM($I104:EF104),0)</f>
        <v>0</v>
      </c>
      <c r="EG106" s="12">
        <f>IF(EG$6&lt;$D$35,SUM($I104:EG104),0)</f>
        <v>0</v>
      </c>
      <c r="EH106" s="12">
        <f>IF(EH$6&lt;$D$35,SUM($I104:EH104),0)</f>
        <v>0</v>
      </c>
      <c r="EI106" s="12">
        <f>IF(EI$6&lt;$D$35,SUM($I104:EI104),0)</f>
        <v>0</v>
      </c>
      <c r="EJ106" s="12">
        <f>IF(EJ$6&lt;$D$35,SUM($I104:EJ104),0)</f>
        <v>0</v>
      </c>
      <c r="EK106" s="12">
        <f>IF(EK$6&lt;$D$35,SUM($I104:EK104),0)</f>
        <v>0</v>
      </c>
      <c r="EL106" s="12">
        <f>IF(EL$6&lt;$D$35,SUM($I104:EL104),0)</f>
        <v>0</v>
      </c>
      <c r="EM106" s="12">
        <f>IF(EM$6&lt;$D$35,SUM($I104:EM104),0)</f>
        <v>0</v>
      </c>
      <c r="EN106" s="12">
        <f>IF(EN$6&lt;$D$35,SUM($I104:EN104),0)</f>
        <v>0</v>
      </c>
      <c r="EO106" s="12">
        <f>IF(EO$6&lt;$D$35,SUM($I104:EO104),0)</f>
        <v>0</v>
      </c>
      <c r="EP106" s="12">
        <f>IF(EP$6&lt;$D$35,SUM($I104:EP104),0)</f>
        <v>0</v>
      </c>
      <c r="EQ106" s="12">
        <f>IF(EQ$6&lt;$D$35,SUM($I104:EQ104),0)</f>
        <v>0</v>
      </c>
      <c r="ER106" s="12">
        <f>IF(ER$6&lt;$D$35,SUM($I104:ER104),0)</f>
        <v>0</v>
      </c>
      <c r="ES106" s="12">
        <f>IF(ES$6&lt;$D$35,SUM($I104:ES104),0)</f>
        <v>0</v>
      </c>
      <c r="ET106" s="12">
        <f>IF(ET$6&lt;$D$35,SUM($I104:ET104),0)</f>
        <v>0</v>
      </c>
      <c r="EU106" s="12">
        <f>IF(EU$6&lt;$D$35,SUM($I104:EU104),0)</f>
        <v>0</v>
      </c>
      <c r="EV106" s="12">
        <f>IF(EV$6&lt;$D$35,SUM($I104:EV104),0)</f>
        <v>0</v>
      </c>
      <c r="EW106" s="12">
        <f>IF(EW$6&lt;$D$35,SUM($I104:EW104),0)</f>
        <v>0</v>
      </c>
      <c r="EX106" s="12">
        <f>IF(EX$6&lt;$D$35,SUM($I104:EX104),0)</f>
        <v>0</v>
      </c>
      <c r="EY106" s="12">
        <f>IF(EY$6&lt;$D$35,SUM($I104:EY104),0)</f>
        <v>0</v>
      </c>
      <c r="EZ106" s="12">
        <f>IF(EZ$6&lt;$D$35,SUM($I104:EZ104),0)</f>
        <v>0</v>
      </c>
      <c r="FA106" s="12">
        <f>IF(FA$6&lt;$D$35,SUM($I104:FA104),0)</f>
        <v>0</v>
      </c>
      <c r="FB106" s="12">
        <f>IF(FB$6&lt;$D$35,SUM($I104:FB104),0)</f>
        <v>0</v>
      </c>
      <c r="FC106" s="12">
        <f>IF(FC$6&lt;$D$35,SUM($I104:FC104),0)</f>
        <v>0</v>
      </c>
      <c r="FD106" s="12">
        <f>IF(FD$6&lt;$D$35,SUM($I104:FD104),0)</f>
        <v>0</v>
      </c>
      <c r="FE106" s="12">
        <f>IF(FE$6&lt;$D$35,SUM($I104:FE104),0)</f>
        <v>0</v>
      </c>
      <c r="FF106" s="12">
        <f>IF(FF$6&lt;$D$35,SUM($I104:FF104),0)</f>
        <v>0</v>
      </c>
      <c r="FG106" s="12">
        <f>IF(FG$6&lt;$D$35,SUM($I104:FG104),0)</f>
        <v>0</v>
      </c>
      <c r="FH106" s="12">
        <f>IF(FH$6&lt;$D$35,SUM($I104:FH104),0)</f>
        <v>0</v>
      </c>
    </row>
    <row r="107" spans="1:164" x14ac:dyDescent="0.2">
      <c r="A107" s="10"/>
      <c r="B107" s="10"/>
      <c r="C107" s="10" t="s">
        <v>709</v>
      </c>
      <c r="D107" s="10"/>
      <c r="E107" s="10"/>
      <c r="F107" s="10"/>
      <c r="G107" s="10"/>
      <c r="H107" s="12">
        <f t="shared" si="36"/>
        <v>7187.2000000000062</v>
      </c>
      <c r="I107" s="12">
        <f t="shared" ref="I107:AN107" si="42">IF(I$6=$D$35,SUMIF($I$6:$FH$6,"&lt;"&amp;$D$35,$I$103:$FH$103)*$D$51,0)</f>
        <v>0</v>
      </c>
      <c r="J107" s="12">
        <f t="shared" si="42"/>
        <v>0</v>
      </c>
      <c r="K107" s="12">
        <f t="shared" si="42"/>
        <v>0</v>
      </c>
      <c r="L107" s="12">
        <f t="shared" si="42"/>
        <v>0</v>
      </c>
      <c r="M107" s="12">
        <f t="shared" si="42"/>
        <v>0</v>
      </c>
      <c r="N107" s="12">
        <f t="shared" si="42"/>
        <v>0</v>
      </c>
      <c r="O107" s="12">
        <f t="shared" si="42"/>
        <v>0</v>
      </c>
      <c r="P107" s="12">
        <f t="shared" si="42"/>
        <v>0</v>
      </c>
      <c r="Q107" s="12">
        <f t="shared" si="42"/>
        <v>0</v>
      </c>
      <c r="R107" s="12">
        <f t="shared" si="42"/>
        <v>0</v>
      </c>
      <c r="S107" s="12">
        <f t="shared" si="42"/>
        <v>0</v>
      </c>
      <c r="T107" s="12">
        <f t="shared" si="42"/>
        <v>0</v>
      </c>
      <c r="U107" s="12">
        <f t="shared" si="42"/>
        <v>0</v>
      </c>
      <c r="V107" s="12">
        <f t="shared" si="42"/>
        <v>0</v>
      </c>
      <c r="W107" s="12">
        <f t="shared" si="42"/>
        <v>0</v>
      </c>
      <c r="X107" s="12">
        <f t="shared" si="42"/>
        <v>0</v>
      </c>
      <c r="Y107" s="12">
        <f t="shared" si="42"/>
        <v>0</v>
      </c>
      <c r="Z107" s="12">
        <f t="shared" si="42"/>
        <v>0</v>
      </c>
      <c r="AA107" s="12">
        <f t="shared" si="42"/>
        <v>0</v>
      </c>
      <c r="AB107" s="12">
        <f t="shared" si="42"/>
        <v>0</v>
      </c>
      <c r="AC107" s="12">
        <f t="shared" si="42"/>
        <v>0</v>
      </c>
      <c r="AD107" s="12">
        <f t="shared" si="42"/>
        <v>0</v>
      </c>
      <c r="AE107" s="12">
        <f t="shared" si="42"/>
        <v>0</v>
      </c>
      <c r="AF107" s="12">
        <f t="shared" si="42"/>
        <v>0</v>
      </c>
      <c r="AG107" s="12">
        <f t="shared" si="42"/>
        <v>0</v>
      </c>
      <c r="AH107" s="12">
        <f t="shared" si="42"/>
        <v>0</v>
      </c>
      <c r="AI107" s="12">
        <f t="shared" si="42"/>
        <v>0</v>
      </c>
      <c r="AJ107" s="12">
        <f t="shared" si="42"/>
        <v>0</v>
      </c>
      <c r="AK107" s="12">
        <f t="shared" si="42"/>
        <v>0</v>
      </c>
      <c r="AL107" s="12">
        <f t="shared" si="42"/>
        <v>0</v>
      </c>
      <c r="AM107" s="12">
        <f t="shared" si="42"/>
        <v>0</v>
      </c>
      <c r="AN107" s="12">
        <f t="shared" si="42"/>
        <v>0</v>
      </c>
      <c r="AO107" s="12">
        <f t="shared" ref="AO107:BT107" si="43">IF(AO$6=$D$35,SUMIF($I$6:$FH$6,"&lt;"&amp;$D$35,$I$103:$FH$103)*$D$51,0)</f>
        <v>0</v>
      </c>
      <c r="AP107" s="12">
        <f t="shared" si="43"/>
        <v>0</v>
      </c>
      <c r="AQ107" s="12">
        <f t="shared" si="43"/>
        <v>0</v>
      </c>
      <c r="AR107" s="12">
        <f t="shared" si="43"/>
        <v>0</v>
      </c>
      <c r="AS107" s="12">
        <f t="shared" si="43"/>
        <v>0</v>
      </c>
      <c r="AT107" s="12">
        <f t="shared" si="43"/>
        <v>0</v>
      </c>
      <c r="AU107" s="12">
        <f t="shared" si="43"/>
        <v>0</v>
      </c>
      <c r="AV107" s="12">
        <f t="shared" si="43"/>
        <v>0</v>
      </c>
      <c r="AW107" s="12">
        <f t="shared" si="43"/>
        <v>0</v>
      </c>
      <c r="AX107" s="12">
        <f t="shared" si="43"/>
        <v>0</v>
      </c>
      <c r="AY107" s="12">
        <f t="shared" si="43"/>
        <v>0</v>
      </c>
      <c r="AZ107" s="12">
        <f t="shared" si="43"/>
        <v>0</v>
      </c>
      <c r="BA107" s="12">
        <f t="shared" si="43"/>
        <v>0</v>
      </c>
      <c r="BB107" s="12">
        <f t="shared" si="43"/>
        <v>0</v>
      </c>
      <c r="BC107" s="12">
        <f t="shared" si="43"/>
        <v>0</v>
      </c>
      <c r="BD107" s="12">
        <f t="shared" si="43"/>
        <v>0</v>
      </c>
      <c r="BE107" s="12">
        <f t="shared" si="43"/>
        <v>7187.2000000000062</v>
      </c>
      <c r="BF107" s="12">
        <f t="shared" si="43"/>
        <v>0</v>
      </c>
      <c r="BG107" s="12">
        <f t="shared" si="43"/>
        <v>0</v>
      </c>
      <c r="BH107" s="12">
        <f t="shared" si="43"/>
        <v>0</v>
      </c>
      <c r="BI107" s="12">
        <f t="shared" si="43"/>
        <v>0</v>
      </c>
      <c r="BJ107" s="12">
        <f t="shared" si="43"/>
        <v>0</v>
      </c>
      <c r="BK107" s="12">
        <f t="shared" si="43"/>
        <v>0</v>
      </c>
      <c r="BL107" s="12">
        <f t="shared" si="43"/>
        <v>0</v>
      </c>
      <c r="BM107" s="12">
        <f t="shared" si="43"/>
        <v>0</v>
      </c>
      <c r="BN107" s="12">
        <f t="shared" si="43"/>
        <v>0</v>
      </c>
      <c r="BO107" s="12">
        <f t="shared" si="43"/>
        <v>0</v>
      </c>
      <c r="BP107" s="12">
        <f t="shared" si="43"/>
        <v>0</v>
      </c>
      <c r="BQ107" s="12">
        <f t="shared" si="43"/>
        <v>0</v>
      </c>
      <c r="BR107" s="12">
        <f t="shared" si="43"/>
        <v>0</v>
      </c>
      <c r="BS107" s="12">
        <f t="shared" si="43"/>
        <v>0</v>
      </c>
      <c r="BT107" s="12">
        <f t="shared" si="43"/>
        <v>0</v>
      </c>
      <c r="BU107" s="12">
        <f t="shared" ref="BU107:CZ107" si="44">IF(BU$6=$D$35,SUMIF($I$6:$FH$6,"&lt;"&amp;$D$35,$I$103:$FH$103)*$D$51,0)</f>
        <v>0</v>
      </c>
      <c r="BV107" s="12">
        <f t="shared" si="44"/>
        <v>0</v>
      </c>
      <c r="BW107" s="12">
        <f t="shared" si="44"/>
        <v>0</v>
      </c>
      <c r="BX107" s="12">
        <f t="shared" si="44"/>
        <v>0</v>
      </c>
      <c r="BY107" s="12">
        <f t="shared" si="44"/>
        <v>0</v>
      </c>
      <c r="BZ107" s="12">
        <f t="shared" si="44"/>
        <v>0</v>
      </c>
      <c r="CA107" s="12">
        <f t="shared" si="44"/>
        <v>0</v>
      </c>
      <c r="CB107" s="12">
        <f t="shared" si="44"/>
        <v>0</v>
      </c>
      <c r="CC107" s="12">
        <f t="shared" si="44"/>
        <v>0</v>
      </c>
      <c r="CD107" s="12">
        <f t="shared" si="44"/>
        <v>0</v>
      </c>
      <c r="CE107" s="12">
        <f t="shared" si="44"/>
        <v>0</v>
      </c>
      <c r="CF107" s="12">
        <f t="shared" si="44"/>
        <v>0</v>
      </c>
      <c r="CG107" s="12">
        <f t="shared" si="44"/>
        <v>0</v>
      </c>
      <c r="CH107" s="12">
        <f t="shared" si="44"/>
        <v>0</v>
      </c>
      <c r="CI107" s="12">
        <f t="shared" si="44"/>
        <v>0</v>
      </c>
      <c r="CJ107" s="12">
        <f t="shared" si="44"/>
        <v>0</v>
      </c>
      <c r="CK107" s="12">
        <f t="shared" si="44"/>
        <v>0</v>
      </c>
      <c r="CL107" s="12">
        <f t="shared" si="44"/>
        <v>0</v>
      </c>
      <c r="CM107" s="12">
        <f t="shared" si="44"/>
        <v>0</v>
      </c>
      <c r="CN107" s="12">
        <f t="shared" si="44"/>
        <v>0</v>
      </c>
      <c r="CO107" s="12">
        <f t="shared" si="44"/>
        <v>0</v>
      </c>
      <c r="CP107" s="12">
        <f t="shared" si="44"/>
        <v>0</v>
      </c>
      <c r="CQ107" s="12">
        <f t="shared" si="44"/>
        <v>0</v>
      </c>
      <c r="CR107" s="12">
        <f t="shared" si="44"/>
        <v>0</v>
      </c>
      <c r="CS107" s="12">
        <f t="shared" si="44"/>
        <v>0</v>
      </c>
      <c r="CT107" s="12">
        <f t="shared" si="44"/>
        <v>0</v>
      </c>
      <c r="CU107" s="12">
        <f t="shared" si="44"/>
        <v>0</v>
      </c>
      <c r="CV107" s="12">
        <f t="shared" si="44"/>
        <v>0</v>
      </c>
      <c r="CW107" s="12">
        <f t="shared" si="44"/>
        <v>0</v>
      </c>
      <c r="CX107" s="12">
        <f t="shared" si="44"/>
        <v>0</v>
      </c>
      <c r="CY107" s="12">
        <f t="shared" si="44"/>
        <v>0</v>
      </c>
      <c r="CZ107" s="12">
        <f t="shared" si="44"/>
        <v>0</v>
      </c>
      <c r="DA107" s="12">
        <f t="shared" ref="DA107:EF107" si="45">IF(DA$6=$D$35,SUMIF($I$6:$FH$6,"&lt;"&amp;$D$35,$I$103:$FH$103)*$D$51,0)</f>
        <v>0</v>
      </c>
      <c r="DB107" s="12">
        <f t="shared" si="45"/>
        <v>0</v>
      </c>
      <c r="DC107" s="12">
        <f t="shared" si="45"/>
        <v>0</v>
      </c>
      <c r="DD107" s="12">
        <f t="shared" si="45"/>
        <v>0</v>
      </c>
      <c r="DE107" s="12">
        <f t="shared" si="45"/>
        <v>0</v>
      </c>
      <c r="DF107" s="12">
        <f t="shared" si="45"/>
        <v>0</v>
      </c>
      <c r="DG107" s="12">
        <f t="shared" si="45"/>
        <v>0</v>
      </c>
      <c r="DH107" s="12">
        <f t="shared" si="45"/>
        <v>0</v>
      </c>
      <c r="DI107" s="12">
        <f t="shared" si="45"/>
        <v>0</v>
      </c>
      <c r="DJ107" s="12">
        <f t="shared" si="45"/>
        <v>0</v>
      </c>
      <c r="DK107" s="12">
        <f t="shared" si="45"/>
        <v>0</v>
      </c>
      <c r="DL107" s="12">
        <f t="shared" si="45"/>
        <v>0</v>
      </c>
      <c r="DM107" s="12">
        <f t="shared" si="45"/>
        <v>0</v>
      </c>
      <c r="DN107" s="12">
        <f t="shared" si="45"/>
        <v>0</v>
      </c>
      <c r="DO107" s="12">
        <f t="shared" si="45"/>
        <v>0</v>
      </c>
      <c r="DP107" s="12">
        <f t="shared" si="45"/>
        <v>0</v>
      </c>
      <c r="DQ107" s="12">
        <f t="shared" si="45"/>
        <v>0</v>
      </c>
      <c r="DR107" s="12">
        <f t="shared" si="45"/>
        <v>0</v>
      </c>
      <c r="DS107" s="12">
        <f t="shared" si="45"/>
        <v>0</v>
      </c>
      <c r="DT107" s="12">
        <f t="shared" si="45"/>
        <v>0</v>
      </c>
      <c r="DU107" s="12">
        <f t="shared" si="45"/>
        <v>0</v>
      </c>
      <c r="DV107" s="12">
        <f t="shared" si="45"/>
        <v>0</v>
      </c>
      <c r="DW107" s="12">
        <f t="shared" si="45"/>
        <v>0</v>
      </c>
      <c r="DX107" s="12">
        <f t="shared" si="45"/>
        <v>0</v>
      </c>
      <c r="DY107" s="12">
        <f t="shared" si="45"/>
        <v>0</v>
      </c>
      <c r="DZ107" s="12">
        <f t="shared" si="45"/>
        <v>0</v>
      </c>
      <c r="EA107" s="12">
        <f t="shared" si="45"/>
        <v>0</v>
      </c>
      <c r="EB107" s="12">
        <f t="shared" si="45"/>
        <v>0</v>
      </c>
      <c r="EC107" s="12">
        <f t="shared" si="45"/>
        <v>0</v>
      </c>
      <c r="ED107" s="12">
        <f t="shared" si="45"/>
        <v>0</v>
      </c>
      <c r="EE107" s="12">
        <f t="shared" si="45"/>
        <v>0</v>
      </c>
      <c r="EF107" s="12">
        <f t="shared" si="45"/>
        <v>0</v>
      </c>
      <c r="EG107" s="12">
        <f t="shared" ref="EG107:FH107" si="46">IF(EG$6=$D$35,SUMIF($I$6:$FH$6,"&lt;"&amp;$D$35,$I$103:$FH$103)*$D$51,0)</f>
        <v>0</v>
      </c>
      <c r="EH107" s="12">
        <f t="shared" si="46"/>
        <v>0</v>
      </c>
      <c r="EI107" s="12">
        <f t="shared" si="46"/>
        <v>0</v>
      </c>
      <c r="EJ107" s="12">
        <f t="shared" si="46"/>
        <v>0</v>
      </c>
      <c r="EK107" s="12">
        <f t="shared" si="46"/>
        <v>0</v>
      </c>
      <c r="EL107" s="12">
        <f t="shared" si="46"/>
        <v>0</v>
      </c>
      <c r="EM107" s="12">
        <f t="shared" si="46"/>
        <v>0</v>
      </c>
      <c r="EN107" s="12">
        <f t="shared" si="46"/>
        <v>0</v>
      </c>
      <c r="EO107" s="12">
        <f t="shared" si="46"/>
        <v>0</v>
      </c>
      <c r="EP107" s="12">
        <f t="shared" si="46"/>
        <v>0</v>
      </c>
      <c r="EQ107" s="12">
        <f t="shared" si="46"/>
        <v>0</v>
      </c>
      <c r="ER107" s="12">
        <f t="shared" si="46"/>
        <v>0</v>
      </c>
      <c r="ES107" s="12">
        <f t="shared" si="46"/>
        <v>0</v>
      </c>
      <c r="ET107" s="12">
        <f t="shared" si="46"/>
        <v>0</v>
      </c>
      <c r="EU107" s="12">
        <f t="shared" si="46"/>
        <v>0</v>
      </c>
      <c r="EV107" s="12">
        <f t="shared" si="46"/>
        <v>0</v>
      </c>
      <c r="EW107" s="12">
        <f t="shared" si="46"/>
        <v>0</v>
      </c>
      <c r="EX107" s="12">
        <f t="shared" si="46"/>
        <v>0</v>
      </c>
      <c r="EY107" s="12">
        <f t="shared" si="46"/>
        <v>0</v>
      </c>
      <c r="EZ107" s="12">
        <f t="shared" si="46"/>
        <v>0</v>
      </c>
      <c r="FA107" s="12">
        <f t="shared" si="46"/>
        <v>0</v>
      </c>
      <c r="FB107" s="12">
        <f t="shared" si="46"/>
        <v>0</v>
      </c>
      <c r="FC107" s="12">
        <f t="shared" si="46"/>
        <v>0</v>
      </c>
      <c r="FD107" s="12">
        <f t="shared" si="46"/>
        <v>0</v>
      </c>
      <c r="FE107" s="12">
        <f t="shared" si="46"/>
        <v>0</v>
      </c>
      <c r="FF107" s="12">
        <f t="shared" si="46"/>
        <v>0</v>
      </c>
      <c r="FG107" s="12">
        <f t="shared" si="46"/>
        <v>0</v>
      </c>
      <c r="FH107" s="12">
        <f t="shared" si="46"/>
        <v>0</v>
      </c>
    </row>
    <row r="108" spans="1:164" x14ac:dyDescent="0.2">
      <c r="A108" s="10"/>
      <c r="B108" s="10"/>
      <c r="C108" s="10" t="s">
        <v>751</v>
      </c>
      <c r="D108" s="10"/>
      <c r="E108" s="10"/>
      <c r="F108" s="10"/>
      <c r="G108" s="10"/>
      <c r="H108" s="12">
        <f t="shared" si="36"/>
        <v>116792.00000000012</v>
      </c>
      <c r="I108" s="12">
        <f t="shared" ref="I108:AN108" si="47">IF(I$6=$D$46,SUMIF($I$6:$FH$6,"&lt;"&amp;$D$46,$I$103:$FH$103)*$D$52,0)</f>
        <v>0</v>
      </c>
      <c r="J108" s="12">
        <f t="shared" si="47"/>
        <v>0</v>
      </c>
      <c r="K108" s="12">
        <f t="shared" si="47"/>
        <v>0</v>
      </c>
      <c r="L108" s="12">
        <f t="shared" si="47"/>
        <v>0</v>
      </c>
      <c r="M108" s="12">
        <f t="shared" si="47"/>
        <v>0</v>
      </c>
      <c r="N108" s="12">
        <f t="shared" si="47"/>
        <v>0</v>
      </c>
      <c r="O108" s="12">
        <f t="shared" si="47"/>
        <v>0</v>
      </c>
      <c r="P108" s="12">
        <f t="shared" si="47"/>
        <v>0</v>
      </c>
      <c r="Q108" s="12">
        <f t="shared" si="47"/>
        <v>0</v>
      </c>
      <c r="R108" s="12">
        <f t="shared" si="47"/>
        <v>0</v>
      </c>
      <c r="S108" s="12">
        <f t="shared" si="47"/>
        <v>0</v>
      </c>
      <c r="T108" s="12">
        <f t="shared" si="47"/>
        <v>0</v>
      </c>
      <c r="U108" s="12">
        <f t="shared" si="47"/>
        <v>0</v>
      </c>
      <c r="V108" s="12">
        <f t="shared" si="47"/>
        <v>0</v>
      </c>
      <c r="W108" s="12">
        <f t="shared" si="47"/>
        <v>0</v>
      </c>
      <c r="X108" s="12">
        <f t="shared" si="47"/>
        <v>0</v>
      </c>
      <c r="Y108" s="12">
        <f t="shared" si="47"/>
        <v>0</v>
      </c>
      <c r="Z108" s="12">
        <f t="shared" si="47"/>
        <v>0</v>
      </c>
      <c r="AA108" s="12">
        <f t="shared" si="47"/>
        <v>0</v>
      </c>
      <c r="AB108" s="12">
        <f t="shared" si="47"/>
        <v>0</v>
      </c>
      <c r="AC108" s="12">
        <f t="shared" si="47"/>
        <v>0</v>
      </c>
      <c r="AD108" s="12">
        <f t="shared" si="47"/>
        <v>0</v>
      </c>
      <c r="AE108" s="12">
        <f t="shared" si="47"/>
        <v>0</v>
      </c>
      <c r="AF108" s="12">
        <f t="shared" si="47"/>
        <v>0</v>
      </c>
      <c r="AG108" s="12">
        <f t="shared" si="47"/>
        <v>0</v>
      </c>
      <c r="AH108" s="12">
        <f t="shared" si="47"/>
        <v>0</v>
      </c>
      <c r="AI108" s="12">
        <f t="shared" si="47"/>
        <v>0</v>
      </c>
      <c r="AJ108" s="12">
        <f t="shared" si="47"/>
        <v>0</v>
      </c>
      <c r="AK108" s="12">
        <f t="shared" si="47"/>
        <v>0</v>
      </c>
      <c r="AL108" s="12">
        <f t="shared" si="47"/>
        <v>0</v>
      </c>
      <c r="AM108" s="12">
        <f t="shared" si="47"/>
        <v>0</v>
      </c>
      <c r="AN108" s="12">
        <f t="shared" si="47"/>
        <v>0</v>
      </c>
      <c r="AO108" s="12">
        <f t="shared" ref="AO108:BT108" si="48">IF(AO$6=$D$46,SUMIF($I$6:$FH$6,"&lt;"&amp;$D$46,$I$103:$FH$103)*$D$52,0)</f>
        <v>0</v>
      </c>
      <c r="AP108" s="12">
        <f t="shared" si="48"/>
        <v>0</v>
      </c>
      <c r="AQ108" s="12">
        <f t="shared" si="48"/>
        <v>0</v>
      </c>
      <c r="AR108" s="12">
        <f t="shared" si="48"/>
        <v>0</v>
      </c>
      <c r="AS108" s="12">
        <f t="shared" si="48"/>
        <v>0</v>
      </c>
      <c r="AT108" s="12">
        <f t="shared" si="48"/>
        <v>0</v>
      </c>
      <c r="AU108" s="12">
        <f t="shared" si="48"/>
        <v>0</v>
      </c>
      <c r="AV108" s="12">
        <f t="shared" si="48"/>
        <v>0</v>
      </c>
      <c r="AW108" s="12">
        <f t="shared" si="48"/>
        <v>0</v>
      </c>
      <c r="AX108" s="12">
        <f t="shared" si="48"/>
        <v>0</v>
      </c>
      <c r="AY108" s="12">
        <f t="shared" si="48"/>
        <v>0</v>
      </c>
      <c r="AZ108" s="12">
        <f t="shared" si="48"/>
        <v>0</v>
      </c>
      <c r="BA108" s="12">
        <f t="shared" si="48"/>
        <v>0</v>
      </c>
      <c r="BB108" s="12">
        <f t="shared" si="48"/>
        <v>0</v>
      </c>
      <c r="BC108" s="12">
        <f t="shared" si="48"/>
        <v>0</v>
      </c>
      <c r="BD108" s="12">
        <f t="shared" si="48"/>
        <v>0</v>
      </c>
      <c r="BE108" s="12">
        <f t="shared" si="48"/>
        <v>0</v>
      </c>
      <c r="BF108" s="12">
        <f t="shared" si="48"/>
        <v>0</v>
      </c>
      <c r="BG108" s="12">
        <f t="shared" si="48"/>
        <v>0</v>
      </c>
      <c r="BH108" s="12">
        <f t="shared" si="48"/>
        <v>0</v>
      </c>
      <c r="BI108" s="12">
        <f t="shared" si="48"/>
        <v>0</v>
      </c>
      <c r="BJ108" s="12">
        <f t="shared" si="48"/>
        <v>0</v>
      </c>
      <c r="BK108" s="12">
        <f t="shared" si="48"/>
        <v>0</v>
      </c>
      <c r="BL108" s="12">
        <f t="shared" si="48"/>
        <v>0</v>
      </c>
      <c r="BM108" s="12">
        <f t="shared" si="48"/>
        <v>0</v>
      </c>
      <c r="BN108" s="12">
        <f t="shared" si="48"/>
        <v>0</v>
      </c>
      <c r="BO108" s="12">
        <f t="shared" si="48"/>
        <v>0</v>
      </c>
      <c r="BP108" s="12">
        <f t="shared" si="48"/>
        <v>116792.00000000012</v>
      </c>
      <c r="BQ108" s="12">
        <f t="shared" si="48"/>
        <v>0</v>
      </c>
      <c r="BR108" s="12">
        <f t="shared" si="48"/>
        <v>0</v>
      </c>
      <c r="BS108" s="12">
        <f t="shared" si="48"/>
        <v>0</v>
      </c>
      <c r="BT108" s="12">
        <f t="shared" si="48"/>
        <v>0</v>
      </c>
      <c r="BU108" s="12">
        <f t="shared" ref="BU108:CZ108" si="49">IF(BU$6=$D$46,SUMIF($I$6:$FH$6,"&lt;"&amp;$D$46,$I$103:$FH$103)*$D$52,0)</f>
        <v>0</v>
      </c>
      <c r="BV108" s="12">
        <f t="shared" si="49"/>
        <v>0</v>
      </c>
      <c r="BW108" s="12">
        <f t="shared" si="49"/>
        <v>0</v>
      </c>
      <c r="BX108" s="12">
        <f t="shared" si="49"/>
        <v>0</v>
      </c>
      <c r="BY108" s="12">
        <f t="shared" si="49"/>
        <v>0</v>
      </c>
      <c r="BZ108" s="12">
        <f t="shared" si="49"/>
        <v>0</v>
      </c>
      <c r="CA108" s="12">
        <f t="shared" si="49"/>
        <v>0</v>
      </c>
      <c r="CB108" s="12">
        <f t="shared" si="49"/>
        <v>0</v>
      </c>
      <c r="CC108" s="12">
        <f t="shared" si="49"/>
        <v>0</v>
      </c>
      <c r="CD108" s="12">
        <f t="shared" si="49"/>
        <v>0</v>
      </c>
      <c r="CE108" s="12">
        <f t="shared" si="49"/>
        <v>0</v>
      </c>
      <c r="CF108" s="12">
        <f t="shared" si="49"/>
        <v>0</v>
      </c>
      <c r="CG108" s="12">
        <f t="shared" si="49"/>
        <v>0</v>
      </c>
      <c r="CH108" s="12">
        <f t="shared" si="49"/>
        <v>0</v>
      </c>
      <c r="CI108" s="12">
        <f t="shared" si="49"/>
        <v>0</v>
      </c>
      <c r="CJ108" s="12">
        <f t="shared" si="49"/>
        <v>0</v>
      </c>
      <c r="CK108" s="12">
        <f t="shared" si="49"/>
        <v>0</v>
      </c>
      <c r="CL108" s="12">
        <f t="shared" si="49"/>
        <v>0</v>
      </c>
      <c r="CM108" s="12">
        <f t="shared" si="49"/>
        <v>0</v>
      </c>
      <c r="CN108" s="12">
        <f t="shared" si="49"/>
        <v>0</v>
      </c>
      <c r="CO108" s="12">
        <f t="shared" si="49"/>
        <v>0</v>
      </c>
      <c r="CP108" s="12">
        <f t="shared" si="49"/>
        <v>0</v>
      </c>
      <c r="CQ108" s="12">
        <f t="shared" si="49"/>
        <v>0</v>
      </c>
      <c r="CR108" s="12">
        <f t="shared" si="49"/>
        <v>0</v>
      </c>
      <c r="CS108" s="12">
        <f t="shared" si="49"/>
        <v>0</v>
      </c>
      <c r="CT108" s="12">
        <f t="shared" si="49"/>
        <v>0</v>
      </c>
      <c r="CU108" s="12">
        <f t="shared" si="49"/>
        <v>0</v>
      </c>
      <c r="CV108" s="12">
        <f t="shared" si="49"/>
        <v>0</v>
      </c>
      <c r="CW108" s="12">
        <f t="shared" si="49"/>
        <v>0</v>
      </c>
      <c r="CX108" s="12">
        <f t="shared" si="49"/>
        <v>0</v>
      </c>
      <c r="CY108" s="12">
        <f t="shared" si="49"/>
        <v>0</v>
      </c>
      <c r="CZ108" s="12">
        <f t="shared" si="49"/>
        <v>0</v>
      </c>
      <c r="DA108" s="12">
        <f t="shared" ref="DA108:EF108" si="50">IF(DA$6=$D$46,SUMIF($I$6:$FH$6,"&lt;"&amp;$D$46,$I$103:$FH$103)*$D$52,0)</f>
        <v>0</v>
      </c>
      <c r="DB108" s="12">
        <f t="shared" si="50"/>
        <v>0</v>
      </c>
      <c r="DC108" s="12">
        <f t="shared" si="50"/>
        <v>0</v>
      </c>
      <c r="DD108" s="12">
        <f t="shared" si="50"/>
        <v>0</v>
      </c>
      <c r="DE108" s="12">
        <f t="shared" si="50"/>
        <v>0</v>
      </c>
      <c r="DF108" s="12">
        <f t="shared" si="50"/>
        <v>0</v>
      </c>
      <c r="DG108" s="12">
        <f t="shared" si="50"/>
        <v>0</v>
      </c>
      <c r="DH108" s="12">
        <f t="shared" si="50"/>
        <v>0</v>
      </c>
      <c r="DI108" s="12">
        <f t="shared" si="50"/>
        <v>0</v>
      </c>
      <c r="DJ108" s="12">
        <f t="shared" si="50"/>
        <v>0</v>
      </c>
      <c r="DK108" s="12">
        <f t="shared" si="50"/>
        <v>0</v>
      </c>
      <c r="DL108" s="12">
        <f t="shared" si="50"/>
        <v>0</v>
      </c>
      <c r="DM108" s="12">
        <f t="shared" si="50"/>
        <v>0</v>
      </c>
      <c r="DN108" s="12">
        <f t="shared" si="50"/>
        <v>0</v>
      </c>
      <c r="DO108" s="12">
        <f t="shared" si="50"/>
        <v>0</v>
      </c>
      <c r="DP108" s="12">
        <f t="shared" si="50"/>
        <v>0</v>
      </c>
      <c r="DQ108" s="12">
        <f t="shared" si="50"/>
        <v>0</v>
      </c>
      <c r="DR108" s="12">
        <f t="shared" si="50"/>
        <v>0</v>
      </c>
      <c r="DS108" s="12">
        <f t="shared" si="50"/>
        <v>0</v>
      </c>
      <c r="DT108" s="12">
        <f t="shared" si="50"/>
        <v>0</v>
      </c>
      <c r="DU108" s="12">
        <f t="shared" si="50"/>
        <v>0</v>
      </c>
      <c r="DV108" s="12">
        <f t="shared" si="50"/>
        <v>0</v>
      </c>
      <c r="DW108" s="12">
        <f t="shared" si="50"/>
        <v>0</v>
      </c>
      <c r="DX108" s="12">
        <f t="shared" si="50"/>
        <v>0</v>
      </c>
      <c r="DY108" s="12">
        <f t="shared" si="50"/>
        <v>0</v>
      </c>
      <c r="DZ108" s="12">
        <f t="shared" si="50"/>
        <v>0</v>
      </c>
      <c r="EA108" s="12">
        <f t="shared" si="50"/>
        <v>0</v>
      </c>
      <c r="EB108" s="12">
        <f t="shared" si="50"/>
        <v>0</v>
      </c>
      <c r="EC108" s="12">
        <f t="shared" si="50"/>
        <v>0</v>
      </c>
      <c r="ED108" s="12">
        <f t="shared" si="50"/>
        <v>0</v>
      </c>
      <c r="EE108" s="12">
        <f t="shared" si="50"/>
        <v>0</v>
      </c>
      <c r="EF108" s="12">
        <f t="shared" si="50"/>
        <v>0</v>
      </c>
      <c r="EG108" s="12">
        <f t="shared" ref="EG108:FH108" si="51">IF(EG$6=$D$46,SUMIF($I$6:$FH$6,"&lt;"&amp;$D$46,$I$103:$FH$103)*$D$52,0)</f>
        <v>0</v>
      </c>
      <c r="EH108" s="12">
        <f t="shared" si="51"/>
        <v>0</v>
      </c>
      <c r="EI108" s="12">
        <f t="shared" si="51"/>
        <v>0</v>
      </c>
      <c r="EJ108" s="12">
        <f t="shared" si="51"/>
        <v>0</v>
      </c>
      <c r="EK108" s="12">
        <f t="shared" si="51"/>
        <v>0</v>
      </c>
      <c r="EL108" s="12">
        <f t="shared" si="51"/>
        <v>0</v>
      </c>
      <c r="EM108" s="12">
        <f t="shared" si="51"/>
        <v>0</v>
      </c>
      <c r="EN108" s="12">
        <f t="shared" si="51"/>
        <v>0</v>
      </c>
      <c r="EO108" s="12">
        <f t="shared" si="51"/>
        <v>0</v>
      </c>
      <c r="EP108" s="12">
        <f t="shared" si="51"/>
        <v>0</v>
      </c>
      <c r="EQ108" s="12">
        <f t="shared" si="51"/>
        <v>0</v>
      </c>
      <c r="ER108" s="12">
        <f t="shared" si="51"/>
        <v>0</v>
      </c>
      <c r="ES108" s="12">
        <f t="shared" si="51"/>
        <v>0</v>
      </c>
      <c r="ET108" s="12">
        <f t="shared" si="51"/>
        <v>0</v>
      </c>
      <c r="EU108" s="12">
        <f t="shared" si="51"/>
        <v>0</v>
      </c>
      <c r="EV108" s="12">
        <f t="shared" si="51"/>
        <v>0</v>
      </c>
      <c r="EW108" s="12">
        <f t="shared" si="51"/>
        <v>0</v>
      </c>
      <c r="EX108" s="12">
        <f t="shared" si="51"/>
        <v>0</v>
      </c>
      <c r="EY108" s="12">
        <f t="shared" si="51"/>
        <v>0</v>
      </c>
      <c r="EZ108" s="12">
        <f t="shared" si="51"/>
        <v>0</v>
      </c>
      <c r="FA108" s="12">
        <f t="shared" si="51"/>
        <v>0</v>
      </c>
      <c r="FB108" s="12">
        <f t="shared" si="51"/>
        <v>0</v>
      </c>
      <c r="FC108" s="12">
        <f t="shared" si="51"/>
        <v>0</v>
      </c>
      <c r="FD108" s="12">
        <f t="shared" si="51"/>
        <v>0</v>
      </c>
      <c r="FE108" s="12">
        <f t="shared" si="51"/>
        <v>0</v>
      </c>
      <c r="FF108" s="12">
        <f t="shared" si="51"/>
        <v>0</v>
      </c>
      <c r="FG108" s="12">
        <f t="shared" si="51"/>
        <v>0</v>
      </c>
      <c r="FH108" s="12">
        <f t="shared" si="51"/>
        <v>0</v>
      </c>
    </row>
    <row r="109" spans="1:164" x14ac:dyDescent="0.2">
      <c r="A109" s="10"/>
      <c r="B109" s="10"/>
      <c r="C109" s="238" t="s">
        <v>747</v>
      </c>
      <c r="D109" s="238"/>
      <c r="E109" s="238"/>
      <c r="F109" s="238"/>
      <c r="G109" s="238"/>
      <c r="H109" s="239">
        <f t="shared" si="36"/>
        <v>179680.00000000012</v>
      </c>
      <c r="I109" s="239">
        <f t="shared" ref="I109:AN109" si="52">SUM(I105:I108)</f>
        <v>0</v>
      </c>
      <c r="J109" s="239">
        <f t="shared" si="52"/>
        <v>0</v>
      </c>
      <c r="K109" s="239">
        <f t="shared" si="52"/>
        <v>0</v>
      </c>
      <c r="L109" s="239">
        <f t="shared" si="52"/>
        <v>0</v>
      </c>
      <c r="M109" s="239">
        <f t="shared" si="52"/>
        <v>0</v>
      </c>
      <c r="N109" s="239">
        <f t="shared" si="52"/>
        <v>0</v>
      </c>
      <c r="O109" s="239">
        <f t="shared" si="52"/>
        <v>0</v>
      </c>
      <c r="P109" s="239">
        <f t="shared" si="52"/>
        <v>0</v>
      </c>
      <c r="Q109" s="239">
        <f t="shared" si="52"/>
        <v>0</v>
      </c>
      <c r="R109" s="239">
        <f t="shared" si="52"/>
        <v>0</v>
      </c>
      <c r="S109" s="239">
        <f t="shared" si="52"/>
        <v>0</v>
      </c>
      <c r="T109" s="239">
        <f t="shared" si="52"/>
        <v>0</v>
      </c>
      <c r="U109" s="239">
        <f t="shared" si="52"/>
        <v>1846.711111111111</v>
      </c>
      <c r="V109" s="239">
        <f t="shared" si="52"/>
        <v>1898.0482539682539</v>
      </c>
      <c r="W109" s="239">
        <f t="shared" si="52"/>
        <v>1950.8953127917835</v>
      </c>
      <c r="X109" s="239">
        <f t="shared" si="52"/>
        <v>2005.3437976402681</v>
      </c>
      <c r="Y109" s="239">
        <f t="shared" si="52"/>
        <v>2061.493797640268</v>
      </c>
      <c r="Z109" s="239">
        <f t="shared" si="52"/>
        <v>2119.4550879628487</v>
      </c>
      <c r="AA109" s="239">
        <f t="shared" si="52"/>
        <v>693.99375462951548</v>
      </c>
      <c r="AB109" s="239">
        <f t="shared" si="52"/>
        <v>706.38547876744644</v>
      </c>
      <c r="AC109" s="239">
        <f t="shared" si="52"/>
        <v>719.21976448173223</v>
      </c>
      <c r="AD109" s="239">
        <f t="shared" si="52"/>
        <v>732.52939411136185</v>
      </c>
      <c r="AE109" s="239">
        <f t="shared" si="52"/>
        <v>746.35093257290032</v>
      </c>
      <c r="AF109" s="239">
        <f t="shared" si="52"/>
        <v>760.72533257290024</v>
      </c>
      <c r="AG109" s="239">
        <f t="shared" si="52"/>
        <v>775.6986659062336</v>
      </c>
      <c r="AH109" s="239">
        <f t="shared" si="52"/>
        <v>791.32301373232053</v>
      </c>
      <c r="AI109" s="239">
        <f t="shared" si="52"/>
        <v>807.65755918686591</v>
      </c>
      <c r="AJ109" s="239">
        <f t="shared" si="52"/>
        <v>824.76994013924696</v>
      </c>
      <c r="AK109" s="239">
        <f t="shared" si="52"/>
        <v>842.73794013924692</v>
      </c>
      <c r="AL109" s="239">
        <f t="shared" si="52"/>
        <v>861.65162434977321</v>
      </c>
      <c r="AM109" s="239">
        <f t="shared" si="52"/>
        <v>881.61606879421765</v>
      </c>
      <c r="AN109" s="239">
        <f t="shared" si="52"/>
        <v>902.75489232362952</v>
      </c>
      <c r="AO109" s="239">
        <f t="shared" ref="AO109:BT109" si="53">SUM(AO105:AO108)</f>
        <v>925.21489232362956</v>
      </c>
      <c r="AP109" s="239">
        <f t="shared" si="53"/>
        <v>949.17222565696284</v>
      </c>
      <c r="AQ109" s="239">
        <f t="shared" si="53"/>
        <v>974.84079708553418</v>
      </c>
      <c r="AR109" s="239">
        <f t="shared" si="53"/>
        <v>1002.4838740086111</v>
      </c>
      <c r="AS109" s="239">
        <f t="shared" si="53"/>
        <v>1032.4305406752778</v>
      </c>
      <c r="AT109" s="239">
        <f t="shared" si="53"/>
        <v>1065.0996315843688</v>
      </c>
      <c r="AU109" s="239">
        <f t="shared" si="53"/>
        <v>1101.0356315843687</v>
      </c>
      <c r="AV109" s="239">
        <f t="shared" si="53"/>
        <v>1140.9645204732576</v>
      </c>
      <c r="AW109" s="239">
        <f t="shared" si="53"/>
        <v>1185.8845204732577</v>
      </c>
      <c r="AX109" s="239">
        <f t="shared" si="53"/>
        <v>1237.2216633304004</v>
      </c>
      <c r="AY109" s="239">
        <f t="shared" si="53"/>
        <v>1297.1149966637338</v>
      </c>
      <c r="AZ109" s="239">
        <f t="shared" si="53"/>
        <v>1368.9869966637336</v>
      </c>
      <c r="BA109" s="239">
        <f t="shared" si="53"/>
        <v>1458.8269966637336</v>
      </c>
      <c r="BB109" s="239">
        <f t="shared" si="53"/>
        <v>1578.6136633304002</v>
      </c>
      <c r="BC109" s="239">
        <f t="shared" si="53"/>
        <v>1758.2936633304002</v>
      </c>
      <c r="BD109" s="239">
        <f t="shared" si="53"/>
        <v>2117.6536633304004</v>
      </c>
      <c r="BE109" s="239">
        <f t="shared" si="53"/>
        <v>7187.2000000000062</v>
      </c>
      <c r="BF109" s="239">
        <f t="shared" si="53"/>
        <v>1257.76</v>
      </c>
      <c r="BG109" s="239">
        <f t="shared" si="53"/>
        <v>1257.76</v>
      </c>
      <c r="BH109" s="239">
        <f t="shared" si="53"/>
        <v>1257.76</v>
      </c>
      <c r="BI109" s="239">
        <f t="shared" si="53"/>
        <v>1257.76</v>
      </c>
      <c r="BJ109" s="239">
        <f t="shared" si="53"/>
        <v>1257.76</v>
      </c>
      <c r="BK109" s="239">
        <f t="shared" si="53"/>
        <v>1257.76</v>
      </c>
      <c r="BL109" s="239">
        <f t="shared" si="53"/>
        <v>1257.76</v>
      </c>
      <c r="BM109" s="239">
        <f t="shared" si="53"/>
        <v>1257.76</v>
      </c>
      <c r="BN109" s="239">
        <f t="shared" si="53"/>
        <v>1257.76</v>
      </c>
      <c r="BO109" s="239">
        <f t="shared" si="53"/>
        <v>1257.76</v>
      </c>
      <c r="BP109" s="239">
        <f t="shared" si="53"/>
        <v>116792.00000000012</v>
      </c>
      <c r="BQ109" s="239">
        <f t="shared" si="53"/>
        <v>0</v>
      </c>
      <c r="BR109" s="239">
        <f t="shared" si="53"/>
        <v>0</v>
      </c>
      <c r="BS109" s="239">
        <f t="shared" si="53"/>
        <v>0</v>
      </c>
      <c r="BT109" s="239">
        <f t="shared" si="53"/>
        <v>0</v>
      </c>
      <c r="BU109" s="239">
        <f t="shared" ref="BU109:CZ109" si="54">SUM(BU105:BU108)</f>
        <v>0</v>
      </c>
      <c r="BV109" s="239">
        <f t="shared" si="54"/>
        <v>0</v>
      </c>
      <c r="BW109" s="239">
        <f t="shared" si="54"/>
        <v>0</v>
      </c>
      <c r="BX109" s="239">
        <f t="shared" si="54"/>
        <v>0</v>
      </c>
      <c r="BY109" s="239">
        <f t="shared" si="54"/>
        <v>0</v>
      </c>
      <c r="BZ109" s="239">
        <f t="shared" si="54"/>
        <v>0</v>
      </c>
      <c r="CA109" s="239">
        <f t="shared" si="54"/>
        <v>0</v>
      </c>
      <c r="CB109" s="239">
        <f t="shared" si="54"/>
        <v>0</v>
      </c>
      <c r="CC109" s="239">
        <f t="shared" si="54"/>
        <v>0</v>
      </c>
      <c r="CD109" s="239">
        <f t="shared" si="54"/>
        <v>0</v>
      </c>
      <c r="CE109" s="239">
        <f t="shared" si="54"/>
        <v>0</v>
      </c>
      <c r="CF109" s="239">
        <f t="shared" si="54"/>
        <v>0</v>
      </c>
      <c r="CG109" s="239">
        <f t="shared" si="54"/>
        <v>0</v>
      </c>
      <c r="CH109" s="239">
        <f t="shared" si="54"/>
        <v>0</v>
      </c>
      <c r="CI109" s="239">
        <f t="shared" si="54"/>
        <v>0</v>
      </c>
      <c r="CJ109" s="239">
        <f t="shared" si="54"/>
        <v>0</v>
      </c>
      <c r="CK109" s="239">
        <f t="shared" si="54"/>
        <v>0</v>
      </c>
      <c r="CL109" s="239">
        <f t="shared" si="54"/>
        <v>0</v>
      </c>
      <c r="CM109" s="239">
        <f t="shared" si="54"/>
        <v>0</v>
      </c>
      <c r="CN109" s="239">
        <f t="shared" si="54"/>
        <v>0</v>
      </c>
      <c r="CO109" s="239">
        <f t="shared" si="54"/>
        <v>0</v>
      </c>
      <c r="CP109" s="239">
        <f t="shared" si="54"/>
        <v>0</v>
      </c>
      <c r="CQ109" s="239">
        <f t="shared" si="54"/>
        <v>0</v>
      </c>
      <c r="CR109" s="239">
        <f t="shared" si="54"/>
        <v>0</v>
      </c>
      <c r="CS109" s="239">
        <f t="shared" si="54"/>
        <v>0</v>
      </c>
      <c r="CT109" s="239">
        <f t="shared" si="54"/>
        <v>0</v>
      </c>
      <c r="CU109" s="239">
        <f t="shared" si="54"/>
        <v>0</v>
      </c>
      <c r="CV109" s="239">
        <f t="shared" si="54"/>
        <v>0</v>
      </c>
      <c r="CW109" s="239">
        <f t="shared" si="54"/>
        <v>0</v>
      </c>
      <c r="CX109" s="239">
        <f t="shared" si="54"/>
        <v>0</v>
      </c>
      <c r="CY109" s="239">
        <f t="shared" si="54"/>
        <v>0</v>
      </c>
      <c r="CZ109" s="239">
        <f t="shared" si="54"/>
        <v>0</v>
      </c>
      <c r="DA109" s="239">
        <f t="shared" ref="DA109:EF109" si="55">SUM(DA105:DA108)</f>
        <v>0</v>
      </c>
      <c r="DB109" s="239">
        <f t="shared" si="55"/>
        <v>0</v>
      </c>
      <c r="DC109" s="239">
        <f t="shared" si="55"/>
        <v>0</v>
      </c>
      <c r="DD109" s="239">
        <f t="shared" si="55"/>
        <v>0</v>
      </c>
      <c r="DE109" s="239">
        <f t="shared" si="55"/>
        <v>0</v>
      </c>
      <c r="DF109" s="239">
        <f t="shared" si="55"/>
        <v>0</v>
      </c>
      <c r="DG109" s="239">
        <f t="shared" si="55"/>
        <v>0</v>
      </c>
      <c r="DH109" s="239">
        <f t="shared" si="55"/>
        <v>0</v>
      </c>
      <c r="DI109" s="239">
        <f t="shared" si="55"/>
        <v>0</v>
      </c>
      <c r="DJ109" s="239">
        <f t="shared" si="55"/>
        <v>0</v>
      </c>
      <c r="DK109" s="239">
        <f t="shared" si="55"/>
        <v>0</v>
      </c>
      <c r="DL109" s="239">
        <f t="shared" si="55"/>
        <v>0</v>
      </c>
      <c r="DM109" s="239">
        <f t="shared" si="55"/>
        <v>0</v>
      </c>
      <c r="DN109" s="239">
        <f t="shared" si="55"/>
        <v>0</v>
      </c>
      <c r="DO109" s="239">
        <f t="shared" si="55"/>
        <v>0</v>
      </c>
      <c r="DP109" s="239">
        <f t="shared" si="55"/>
        <v>0</v>
      </c>
      <c r="DQ109" s="239">
        <f t="shared" si="55"/>
        <v>0</v>
      </c>
      <c r="DR109" s="239">
        <f t="shared" si="55"/>
        <v>0</v>
      </c>
      <c r="DS109" s="239">
        <f t="shared" si="55"/>
        <v>0</v>
      </c>
      <c r="DT109" s="239">
        <f t="shared" si="55"/>
        <v>0</v>
      </c>
      <c r="DU109" s="239">
        <f t="shared" si="55"/>
        <v>0</v>
      </c>
      <c r="DV109" s="239">
        <f t="shared" si="55"/>
        <v>0</v>
      </c>
      <c r="DW109" s="239">
        <f t="shared" si="55"/>
        <v>0</v>
      </c>
      <c r="DX109" s="239">
        <f t="shared" si="55"/>
        <v>0</v>
      </c>
      <c r="DY109" s="239">
        <f t="shared" si="55"/>
        <v>0</v>
      </c>
      <c r="DZ109" s="239">
        <f t="shared" si="55"/>
        <v>0</v>
      </c>
      <c r="EA109" s="239">
        <f t="shared" si="55"/>
        <v>0</v>
      </c>
      <c r="EB109" s="239">
        <f t="shared" si="55"/>
        <v>0</v>
      </c>
      <c r="EC109" s="239">
        <f t="shared" si="55"/>
        <v>0</v>
      </c>
      <c r="ED109" s="239">
        <f t="shared" si="55"/>
        <v>0</v>
      </c>
      <c r="EE109" s="239">
        <f t="shared" si="55"/>
        <v>0</v>
      </c>
      <c r="EF109" s="239">
        <f t="shared" si="55"/>
        <v>0</v>
      </c>
      <c r="EG109" s="239">
        <f t="shared" ref="EG109:FH109" si="56">SUM(EG105:EG108)</f>
        <v>0</v>
      </c>
      <c r="EH109" s="239">
        <f t="shared" si="56"/>
        <v>0</v>
      </c>
      <c r="EI109" s="239">
        <f t="shared" si="56"/>
        <v>0</v>
      </c>
      <c r="EJ109" s="239">
        <f t="shared" si="56"/>
        <v>0</v>
      </c>
      <c r="EK109" s="239">
        <f t="shared" si="56"/>
        <v>0</v>
      </c>
      <c r="EL109" s="239">
        <f t="shared" si="56"/>
        <v>0</v>
      </c>
      <c r="EM109" s="239">
        <f t="shared" si="56"/>
        <v>0</v>
      </c>
      <c r="EN109" s="239">
        <f t="shared" si="56"/>
        <v>0</v>
      </c>
      <c r="EO109" s="239">
        <f t="shared" si="56"/>
        <v>0</v>
      </c>
      <c r="EP109" s="239">
        <f t="shared" si="56"/>
        <v>0</v>
      </c>
      <c r="EQ109" s="239">
        <f t="shared" si="56"/>
        <v>0</v>
      </c>
      <c r="ER109" s="239">
        <f t="shared" si="56"/>
        <v>0</v>
      </c>
      <c r="ES109" s="239">
        <f t="shared" si="56"/>
        <v>0</v>
      </c>
      <c r="ET109" s="239">
        <f t="shared" si="56"/>
        <v>0</v>
      </c>
      <c r="EU109" s="239">
        <f t="shared" si="56"/>
        <v>0</v>
      </c>
      <c r="EV109" s="239">
        <f t="shared" si="56"/>
        <v>0</v>
      </c>
      <c r="EW109" s="239">
        <f t="shared" si="56"/>
        <v>0</v>
      </c>
      <c r="EX109" s="239">
        <f t="shared" si="56"/>
        <v>0</v>
      </c>
      <c r="EY109" s="239">
        <f t="shared" si="56"/>
        <v>0</v>
      </c>
      <c r="EZ109" s="239">
        <f t="shared" si="56"/>
        <v>0</v>
      </c>
      <c r="FA109" s="239">
        <f t="shared" si="56"/>
        <v>0</v>
      </c>
      <c r="FB109" s="239">
        <f t="shared" si="56"/>
        <v>0</v>
      </c>
      <c r="FC109" s="239">
        <f t="shared" si="56"/>
        <v>0</v>
      </c>
      <c r="FD109" s="239">
        <f t="shared" si="56"/>
        <v>0</v>
      </c>
      <c r="FE109" s="239">
        <f t="shared" si="56"/>
        <v>0</v>
      </c>
      <c r="FF109" s="239">
        <f t="shared" si="56"/>
        <v>0</v>
      </c>
      <c r="FG109" s="239">
        <f t="shared" si="56"/>
        <v>0</v>
      </c>
      <c r="FH109" s="239">
        <f t="shared" si="56"/>
        <v>0</v>
      </c>
    </row>
    <row r="110" spans="1:164" x14ac:dyDescent="0.2">
      <c r="A110" s="10"/>
      <c r="B110" s="10"/>
      <c r="C110" s="10" t="s">
        <v>753</v>
      </c>
      <c r="D110" s="10"/>
      <c r="E110" s="10"/>
      <c r="F110" s="10"/>
      <c r="G110" s="10"/>
      <c r="H110" s="12">
        <f t="shared" si="36"/>
        <v>-8984.0000000000073</v>
      </c>
      <c r="I110" s="12">
        <f t="shared" ref="I110:AN110" si="57">-I103*$D$61</f>
        <v>0</v>
      </c>
      <c r="J110" s="12">
        <f t="shared" si="57"/>
        <v>0</v>
      </c>
      <c r="K110" s="12">
        <f t="shared" si="57"/>
        <v>0</v>
      </c>
      <c r="L110" s="12">
        <f t="shared" si="57"/>
        <v>0</v>
      </c>
      <c r="M110" s="12">
        <f t="shared" si="57"/>
        <v>0</v>
      </c>
      <c r="N110" s="12">
        <f t="shared" si="57"/>
        <v>0</v>
      </c>
      <c r="O110" s="12">
        <f t="shared" si="57"/>
        <v>0</v>
      </c>
      <c r="P110" s="12">
        <f t="shared" si="57"/>
        <v>0</v>
      </c>
      <c r="Q110" s="12">
        <f t="shared" si="57"/>
        <v>0</v>
      </c>
      <c r="R110" s="12">
        <f t="shared" si="57"/>
        <v>0</v>
      </c>
      <c r="S110" s="12">
        <f t="shared" si="57"/>
        <v>0</v>
      </c>
      <c r="T110" s="12">
        <f t="shared" si="57"/>
        <v>0</v>
      </c>
      <c r="U110" s="12">
        <f t="shared" si="57"/>
        <v>-598.93333333333328</v>
      </c>
      <c r="V110" s="12">
        <f t="shared" si="57"/>
        <v>-598.93333333333328</v>
      </c>
      <c r="W110" s="12">
        <f t="shared" si="57"/>
        <v>-598.93333333333328</v>
      </c>
      <c r="X110" s="12">
        <f t="shared" si="57"/>
        <v>-598.93333333333328</v>
      </c>
      <c r="Y110" s="12">
        <f t="shared" si="57"/>
        <v>-598.93333333333328</v>
      </c>
      <c r="Z110" s="12">
        <f t="shared" si="57"/>
        <v>-598.93333333333328</v>
      </c>
      <c r="AA110" s="12">
        <f t="shared" si="57"/>
        <v>-119.78666666666666</v>
      </c>
      <c r="AB110" s="12">
        <f t="shared" si="57"/>
        <v>-119.78666666666666</v>
      </c>
      <c r="AC110" s="12">
        <f t="shared" si="57"/>
        <v>-119.78666666666666</v>
      </c>
      <c r="AD110" s="12">
        <f t="shared" si="57"/>
        <v>-119.78666666666666</v>
      </c>
      <c r="AE110" s="12">
        <f t="shared" si="57"/>
        <v>-119.78666666666666</v>
      </c>
      <c r="AF110" s="12">
        <f t="shared" si="57"/>
        <v>-119.78666666666666</v>
      </c>
      <c r="AG110" s="12">
        <f t="shared" si="57"/>
        <v>-119.78666666666666</v>
      </c>
      <c r="AH110" s="12">
        <f t="shared" si="57"/>
        <v>-119.78666666666666</v>
      </c>
      <c r="AI110" s="12">
        <f t="shared" si="57"/>
        <v>-119.78666666666666</v>
      </c>
      <c r="AJ110" s="12">
        <f t="shared" si="57"/>
        <v>-119.78666666666666</v>
      </c>
      <c r="AK110" s="12">
        <f t="shared" si="57"/>
        <v>-119.78666666666666</v>
      </c>
      <c r="AL110" s="12">
        <f t="shared" si="57"/>
        <v>-119.78666666666666</v>
      </c>
      <c r="AM110" s="12">
        <f t="shared" si="57"/>
        <v>-119.78666666666666</v>
      </c>
      <c r="AN110" s="12">
        <f t="shared" si="57"/>
        <v>-119.78666666666666</v>
      </c>
      <c r="AO110" s="12">
        <f t="shared" ref="AO110:BT110" si="58">-AO103*$D$61</f>
        <v>-119.78666666666666</v>
      </c>
      <c r="AP110" s="12">
        <f t="shared" si="58"/>
        <v>-119.78666666666666</v>
      </c>
      <c r="AQ110" s="12">
        <f t="shared" si="58"/>
        <v>-119.78666666666666</v>
      </c>
      <c r="AR110" s="12">
        <f t="shared" si="58"/>
        <v>-119.78666666666666</v>
      </c>
      <c r="AS110" s="12">
        <f t="shared" si="58"/>
        <v>-119.78666666666666</v>
      </c>
      <c r="AT110" s="12">
        <f t="shared" si="58"/>
        <v>-119.78666666666666</v>
      </c>
      <c r="AU110" s="12">
        <f t="shared" si="58"/>
        <v>-119.78666666666666</v>
      </c>
      <c r="AV110" s="12">
        <f t="shared" si="58"/>
        <v>-119.78666666666666</v>
      </c>
      <c r="AW110" s="12">
        <f t="shared" si="58"/>
        <v>-119.78666666666666</v>
      </c>
      <c r="AX110" s="12">
        <f t="shared" si="58"/>
        <v>-119.78666666666666</v>
      </c>
      <c r="AY110" s="12">
        <f t="shared" si="58"/>
        <v>-119.78666666666666</v>
      </c>
      <c r="AZ110" s="12">
        <f t="shared" si="58"/>
        <v>-119.78666666666666</v>
      </c>
      <c r="BA110" s="12">
        <f t="shared" si="58"/>
        <v>-119.78666666666666</v>
      </c>
      <c r="BB110" s="12">
        <f t="shared" si="58"/>
        <v>-119.78666666666666</v>
      </c>
      <c r="BC110" s="12">
        <f t="shared" si="58"/>
        <v>-119.78666666666666</v>
      </c>
      <c r="BD110" s="12">
        <f t="shared" si="58"/>
        <v>-119.78666666666666</v>
      </c>
      <c r="BE110" s="12">
        <f t="shared" si="58"/>
        <v>0</v>
      </c>
      <c r="BF110" s="12">
        <f t="shared" si="58"/>
        <v>-179.68</v>
      </c>
      <c r="BG110" s="12">
        <f t="shared" si="58"/>
        <v>-179.68</v>
      </c>
      <c r="BH110" s="12">
        <f t="shared" si="58"/>
        <v>-179.68</v>
      </c>
      <c r="BI110" s="12">
        <f t="shared" si="58"/>
        <v>-179.68</v>
      </c>
      <c r="BJ110" s="12">
        <f t="shared" si="58"/>
        <v>-179.68</v>
      </c>
      <c r="BK110" s="12">
        <f t="shared" si="58"/>
        <v>-179.68</v>
      </c>
      <c r="BL110" s="12">
        <f t="shared" si="58"/>
        <v>-179.68</v>
      </c>
      <c r="BM110" s="12">
        <f t="shared" si="58"/>
        <v>-179.68</v>
      </c>
      <c r="BN110" s="12">
        <f t="shared" si="58"/>
        <v>-179.68</v>
      </c>
      <c r="BO110" s="12">
        <f t="shared" si="58"/>
        <v>-179.68</v>
      </c>
      <c r="BP110" s="12">
        <f t="shared" si="58"/>
        <v>0</v>
      </c>
      <c r="BQ110" s="12">
        <f t="shared" si="58"/>
        <v>0</v>
      </c>
      <c r="BR110" s="12">
        <f t="shared" si="58"/>
        <v>0</v>
      </c>
      <c r="BS110" s="12">
        <f t="shared" si="58"/>
        <v>0</v>
      </c>
      <c r="BT110" s="12">
        <f t="shared" si="58"/>
        <v>0</v>
      </c>
      <c r="BU110" s="12">
        <f t="shared" ref="BU110:CZ110" si="59">-BU103*$D$61</f>
        <v>0</v>
      </c>
      <c r="BV110" s="12">
        <f t="shared" si="59"/>
        <v>0</v>
      </c>
      <c r="BW110" s="12">
        <f t="shared" si="59"/>
        <v>0</v>
      </c>
      <c r="BX110" s="12">
        <f t="shared" si="59"/>
        <v>0</v>
      </c>
      <c r="BY110" s="12">
        <f t="shared" si="59"/>
        <v>0</v>
      </c>
      <c r="BZ110" s="12">
        <f t="shared" si="59"/>
        <v>0</v>
      </c>
      <c r="CA110" s="12">
        <f t="shared" si="59"/>
        <v>0</v>
      </c>
      <c r="CB110" s="12">
        <f t="shared" si="59"/>
        <v>0</v>
      </c>
      <c r="CC110" s="12">
        <f t="shared" si="59"/>
        <v>0</v>
      </c>
      <c r="CD110" s="12">
        <f t="shared" si="59"/>
        <v>0</v>
      </c>
      <c r="CE110" s="12">
        <f t="shared" si="59"/>
        <v>0</v>
      </c>
      <c r="CF110" s="12">
        <f t="shared" si="59"/>
        <v>0</v>
      </c>
      <c r="CG110" s="12">
        <f t="shared" si="59"/>
        <v>0</v>
      </c>
      <c r="CH110" s="12">
        <f t="shared" si="59"/>
        <v>0</v>
      </c>
      <c r="CI110" s="12">
        <f t="shared" si="59"/>
        <v>0</v>
      </c>
      <c r="CJ110" s="12">
        <f t="shared" si="59"/>
        <v>0</v>
      </c>
      <c r="CK110" s="12">
        <f t="shared" si="59"/>
        <v>0</v>
      </c>
      <c r="CL110" s="12">
        <f t="shared" si="59"/>
        <v>0</v>
      </c>
      <c r="CM110" s="12">
        <f t="shared" si="59"/>
        <v>0</v>
      </c>
      <c r="CN110" s="12">
        <f t="shared" si="59"/>
        <v>0</v>
      </c>
      <c r="CO110" s="12">
        <f t="shared" si="59"/>
        <v>0</v>
      </c>
      <c r="CP110" s="12">
        <f t="shared" si="59"/>
        <v>0</v>
      </c>
      <c r="CQ110" s="12">
        <f t="shared" si="59"/>
        <v>0</v>
      </c>
      <c r="CR110" s="12">
        <f t="shared" si="59"/>
        <v>0</v>
      </c>
      <c r="CS110" s="12">
        <f t="shared" si="59"/>
        <v>0</v>
      </c>
      <c r="CT110" s="12">
        <f t="shared" si="59"/>
        <v>0</v>
      </c>
      <c r="CU110" s="12">
        <f t="shared" si="59"/>
        <v>0</v>
      </c>
      <c r="CV110" s="12">
        <f t="shared" si="59"/>
        <v>0</v>
      </c>
      <c r="CW110" s="12">
        <f t="shared" si="59"/>
        <v>0</v>
      </c>
      <c r="CX110" s="12">
        <f t="shared" si="59"/>
        <v>0</v>
      </c>
      <c r="CY110" s="12">
        <f t="shared" si="59"/>
        <v>0</v>
      </c>
      <c r="CZ110" s="12">
        <f t="shared" si="59"/>
        <v>0</v>
      </c>
      <c r="DA110" s="12">
        <f t="shared" ref="DA110:EF110" si="60">-DA103*$D$61</f>
        <v>0</v>
      </c>
      <c r="DB110" s="12">
        <f t="shared" si="60"/>
        <v>0</v>
      </c>
      <c r="DC110" s="12">
        <f t="shared" si="60"/>
        <v>0</v>
      </c>
      <c r="DD110" s="12">
        <f t="shared" si="60"/>
        <v>0</v>
      </c>
      <c r="DE110" s="12">
        <f t="shared" si="60"/>
        <v>0</v>
      </c>
      <c r="DF110" s="12">
        <f t="shared" si="60"/>
        <v>0</v>
      </c>
      <c r="DG110" s="12">
        <f t="shared" si="60"/>
        <v>0</v>
      </c>
      <c r="DH110" s="12">
        <f t="shared" si="60"/>
        <v>0</v>
      </c>
      <c r="DI110" s="12">
        <f t="shared" si="60"/>
        <v>0</v>
      </c>
      <c r="DJ110" s="12">
        <f t="shared" si="60"/>
        <v>0</v>
      </c>
      <c r="DK110" s="12">
        <f t="shared" si="60"/>
        <v>0</v>
      </c>
      <c r="DL110" s="12">
        <f t="shared" si="60"/>
        <v>0</v>
      </c>
      <c r="DM110" s="12">
        <f t="shared" si="60"/>
        <v>0</v>
      </c>
      <c r="DN110" s="12">
        <f t="shared" si="60"/>
        <v>0</v>
      </c>
      <c r="DO110" s="12">
        <f t="shared" si="60"/>
        <v>0</v>
      </c>
      <c r="DP110" s="12">
        <f t="shared" si="60"/>
        <v>0</v>
      </c>
      <c r="DQ110" s="12">
        <f t="shared" si="60"/>
        <v>0</v>
      </c>
      <c r="DR110" s="12">
        <f t="shared" si="60"/>
        <v>0</v>
      </c>
      <c r="DS110" s="12">
        <f t="shared" si="60"/>
        <v>0</v>
      </c>
      <c r="DT110" s="12">
        <f t="shared" si="60"/>
        <v>0</v>
      </c>
      <c r="DU110" s="12">
        <f t="shared" si="60"/>
        <v>0</v>
      </c>
      <c r="DV110" s="12">
        <f t="shared" si="60"/>
        <v>0</v>
      </c>
      <c r="DW110" s="12">
        <f t="shared" si="60"/>
        <v>0</v>
      </c>
      <c r="DX110" s="12">
        <f t="shared" si="60"/>
        <v>0</v>
      </c>
      <c r="DY110" s="12">
        <f t="shared" si="60"/>
        <v>0</v>
      </c>
      <c r="DZ110" s="12">
        <f t="shared" si="60"/>
        <v>0</v>
      </c>
      <c r="EA110" s="12">
        <f t="shared" si="60"/>
        <v>0</v>
      </c>
      <c r="EB110" s="12">
        <f t="shared" si="60"/>
        <v>0</v>
      </c>
      <c r="EC110" s="12">
        <f t="shared" si="60"/>
        <v>0</v>
      </c>
      <c r="ED110" s="12">
        <f t="shared" si="60"/>
        <v>0</v>
      </c>
      <c r="EE110" s="12">
        <f t="shared" si="60"/>
        <v>0</v>
      </c>
      <c r="EF110" s="12">
        <f t="shared" si="60"/>
        <v>0</v>
      </c>
      <c r="EG110" s="12">
        <f t="shared" ref="EG110:FH110" si="61">-EG103*$D$61</f>
        <v>0</v>
      </c>
      <c r="EH110" s="12">
        <f t="shared" si="61"/>
        <v>0</v>
      </c>
      <c r="EI110" s="12">
        <f t="shared" si="61"/>
        <v>0</v>
      </c>
      <c r="EJ110" s="12">
        <f t="shared" si="61"/>
        <v>0</v>
      </c>
      <c r="EK110" s="12">
        <f t="shared" si="61"/>
        <v>0</v>
      </c>
      <c r="EL110" s="12">
        <f t="shared" si="61"/>
        <v>0</v>
      </c>
      <c r="EM110" s="12">
        <f t="shared" si="61"/>
        <v>0</v>
      </c>
      <c r="EN110" s="12">
        <f t="shared" si="61"/>
        <v>0</v>
      </c>
      <c r="EO110" s="12">
        <f t="shared" si="61"/>
        <v>0</v>
      </c>
      <c r="EP110" s="12">
        <f t="shared" si="61"/>
        <v>0</v>
      </c>
      <c r="EQ110" s="12">
        <f t="shared" si="61"/>
        <v>0</v>
      </c>
      <c r="ER110" s="12">
        <f t="shared" si="61"/>
        <v>0</v>
      </c>
      <c r="ES110" s="12">
        <f t="shared" si="61"/>
        <v>0</v>
      </c>
      <c r="ET110" s="12">
        <f t="shared" si="61"/>
        <v>0</v>
      </c>
      <c r="EU110" s="12">
        <f t="shared" si="61"/>
        <v>0</v>
      </c>
      <c r="EV110" s="12">
        <f t="shared" si="61"/>
        <v>0</v>
      </c>
      <c r="EW110" s="12">
        <f t="shared" si="61"/>
        <v>0</v>
      </c>
      <c r="EX110" s="12">
        <f t="shared" si="61"/>
        <v>0</v>
      </c>
      <c r="EY110" s="12">
        <f t="shared" si="61"/>
        <v>0</v>
      </c>
      <c r="EZ110" s="12">
        <f t="shared" si="61"/>
        <v>0</v>
      </c>
      <c r="FA110" s="12">
        <f t="shared" si="61"/>
        <v>0</v>
      </c>
      <c r="FB110" s="12">
        <f t="shared" si="61"/>
        <v>0</v>
      </c>
      <c r="FC110" s="12">
        <f t="shared" si="61"/>
        <v>0</v>
      </c>
      <c r="FD110" s="12">
        <f t="shared" si="61"/>
        <v>0</v>
      </c>
      <c r="FE110" s="12">
        <f t="shared" si="61"/>
        <v>0</v>
      </c>
      <c r="FF110" s="12">
        <f t="shared" si="61"/>
        <v>0</v>
      </c>
      <c r="FG110" s="12">
        <f t="shared" si="61"/>
        <v>0</v>
      </c>
      <c r="FH110" s="12">
        <f t="shared" si="61"/>
        <v>0</v>
      </c>
    </row>
    <row r="111" spans="1:164" x14ac:dyDescent="0.2">
      <c r="A111" s="10"/>
      <c r="B111" s="10"/>
      <c r="C111" s="10" t="s">
        <v>492</v>
      </c>
      <c r="D111" s="10"/>
      <c r="E111" s="10"/>
      <c r="F111" s="10"/>
      <c r="G111" s="10"/>
      <c r="H111" s="12">
        <f t="shared" si="36"/>
        <v>-6827.8400000000047</v>
      </c>
      <c r="I111" s="12">
        <f t="shared" ref="I111:AN111" si="62">-(I109+I110)*$D$62</f>
        <v>0</v>
      </c>
      <c r="J111" s="12">
        <f t="shared" si="62"/>
        <v>0</v>
      </c>
      <c r="K111" s="12">
        <f t="shared" si="62"/>
        <v>0</v>
      </c>
      <c r="L111" s="12">
        <f t="shared" si="62"/>
        <v>0</v>
      </c>
      <c r="M111" s="12">
        <f t="shared" si="62"/>
        <v>0</v>
      </c>
      <c r="N111" s="12">
        <f t="shared" si="62"/>
        <v>0</v>
      </c>
      <c r="O111" s="12">
        <f t="shared" si="62"/>
        <v>0</v>
      </c>
      <c r="P111" s="12">
        <f t="shared" si="62"/>
        <v>0</v>
      </c>
      <c r="Q111" s="12">
        <f t="shared" si="62"/>
        <v>0</v>
      </c>
      <c r="R111" s="12">
        <f t="shared" si="62"/>
        <v>0</v>
      </c>
      <c r="S111" s="12">
        <f t="shared" si="62"/>
        <v>0</v>
      </c>
      <c r="T111" s="12">
        <f t="shared" si="62"/>
        <v>0</v>
      </c>
      <c r="U111" s="12">
        <f t="shared" si="62"/>
        <v>-49.911111111111111</v>
      </c>
      <c r="V111" s="12">
        <f t="shared" si="62"/>
        <v>-51.964596825396825</v>
      </c>
      <c r="W111" s="12">
        <f t="shared" si="62"/>
        <v>-54.078479178338</v>
      </c>
      <c r="X111" s="12">
        <f t="shared" si="62"/>
        <v>-56.256418572277397</v>
      </c>
      <c r="Y111" s="12">
        <f t="shared" si="62"/>
        <v>-58.502418572277385</v>
      </c>
      <c r="Z111" s="12">
        <f t="shared" si="62"/>
        <v>-60.82087018518061</v>
      </c>
      <c r="AA111" s="12">
        <f t="shared" si="62"/>
        <v>-22.968283518513953</v>
      </c>
      <c r="AB111" s="12">
        <f t="shared" si="62"/>
        <v>-23.463952484031193</v>
      </c>
      <c r="AC111" s="12">
        <f t="shared" si="62"/>
        <v>-23.977323912602625</v>
      </c>
      <c r="AD111" s="12">
        <f t="shared" si="62"/>
        <v>-24.509709097787809</v>
      </c>
      <c r="AE111" s="12">
        <f t="shared" si="62"/>
        <v>-25.062570636249347</v>
      </c>
      <c r="AF111" s="12">
        <f t="shared" si="62"/>
        <v>-25.637546636249343</v>
      </c>
      <c r="AG111" s="12">
        <f t="shared" si="62"/>
        <v>-26.236479969582678</v>
      </c>
      <c r="AH111" s="12">
        <f t="shared" si="62"/>
        <v>-26.861453882626158</v>
      </c>
      <c r="AI111" s="12">
        <f t="shared" si="62"/>
        <v>-27.514835700807971</v>
      </c>
      <c r="AJ111" s="12">
        <f t="shared" si="62"/>
        <v>-28.199330938903213</v>
      </c>
      <c r="AK111" s="12">
        <f t="shared" si="62"/>
        <v>-28.91805093890321</v>
      </c>
      <c r="AL111" s="12">
        <f t="shared" si="62"/>
        <v>-29.674598307324263</v>
      </c>
      <c r="AM111" s="12">
        <f t="shared" si="62"/>
        <v>-30.47317608510204</v>
      </c>
      <c r="AN111" s="12">
        <f t="shared" si="62"/>
        <v>-31.318729026278515</v>
      </c>
      <c r="AO111" s="12">
        <f t="shared" ref="AO111:BT111" si="63">-(AO109+AO110)*$D$62</f>
        <v>-32.217129026278521</v>
      </c>
      <c r="AP111" s="12">
        <f t="shared" si="63"/>
        <v>-33.175422359611851</v>
      </c>
      <c r="AQ111" s="12">
        <f t="shared" si="63"/>
        <v>-34.2021652167547</v>
      </c>
      <c r="AR111" s="12">
        <f t="shared" si="63"/>
        <v>-35.307888293677777</v>
      </c>
      <c r="AS111" s="12">
        <f t="shared" si="63"/>
        <v>-36.505754960344447</v>
      </c>
      <c r="AT111" s="12">
        <f t="shared" si="63"/>
        <v>-37.812518596708088</v>
      </c>
      <c r="AU111" s="12">
        <f t="shared" si="63"/>
        <v>-39.249958596708083</v>
      </c>
      <c r="AV111" s="12">
        <f t="shared" si="63"/>
        <v>-40.847114152263643</v>
      </c>
      <c r="AW111" s="12">
        <f t="shared" si="63"/>
        <v>-42.64391415226364</v>
      </c>
      <c r="AX111" s="12">
        <f t="shared" si="63"/>
        <v>-44.697399866549347</v>
      </c>
      <c r="AY111" s="12">
        <f t="shared" si="63"/>
        <v>-47.093133199882686</v>
      </c>
      <c r="AZ111" s="12">
        <f t="shared" si="63"/>
        <v>-49.968013199882684</v>
      </c>
      <c r="BA111" s="12">
        <f t="shared" si="63"/>
        <v>-53.561613199882679</v>
      </c>
      <c r="BB111" s="12">
        <f t="shared" si="63"/>
        <v>-58.353079866549344</v>
      </c>
      <c r="BC111" s="12">
        <f t="shared" si="63"/>
        <v>-65.540279866549341</v>
      </c>
      <c r="BD111" s="12">
        <f t="shared" si="63"/>
        <v>-79.914679866549349</v>
      </c>
      <c r="BE111" s="12">
        <f t="shared" si="63"/>
        <v>-287.48800000000023</v>
      </c>
      <c r="BF111" s="12">
        <f t="shared" si="63"/>
        <v>-43.123199999999997</v>
      </c>
      <c r="BG111" s="12">
        <f t="shared" si="63"/>
        <v>-43.123199999999997</v>
      </c>
      <c r="BH111" s="12">
        <f t="shared" si="63"/>
        <v>-43.123199999999997</v>
      </c>
      <c r="BI111" s="12">
        <f t="shared" si="63"/>
        <v>-43.123199999999997</v>
      </c>
      <c r="BJ111" s="12">
        <f t="shared" si="63"/>
        <v>-43.123199999999997</v>
      </c>
      <c r="BK111" s="12">
        <f t="shared" si="63"/>
        <v>-43.123199999999997</v>
      </c>
      <c r="BL111" s="12">
        <f t="shared" si="63"/>
        <v>-43.123199999999997</v>
      </c>
      <c r="BM111" s="12">
        <f t="shared" si="63"/>
        <v>-43.123199999999997</v>
      </c>
      <c r="BN111" s="12">
        <f t="shared" si="63"/>
        <v>-43.123199999999997</v>
      </c>
      <c r="BO111" s="12">
        <f t="shared" si="63"/>
        <v>-43.123199999999997</v>
      </c>
      <c r="BP111" s="12">
        <f t="shared" si="63"/>
        <v>-4671.6800000000048</v>
      </c>
      <c r="BQ111" s="12">
        <f t="shared" si="63"/>
        <v>0</v>
      </c>
      <c r="BR111" s="12">
        <f t="shared" si="63"/>
        <v>0</v>
      </c>
      <c r="BS111" s="12">
        <f t="shared" si="63"/>
        <v>0</v>
      </c>
      <c r="BT111" s="12">
        <f t="shared" si="63"/>
        <v>0</v>
      </c>
      <c r="BU111" s="12">
        <f t="shared" ref="BU111:CZ111" si="64">-(BU109+BU110)*$D$62</f>
        <v>0</v>
      </c>
      <c r="BV111" s="12">
        <f t="shared" si="64"/>
        <v>0</v>
      </c>
      <c r="BW111" s="12">
        <f t="shared" si="64"/>
        <v>0</v>
      </c>
      <c r="BX111" s="12">
        <f t="shared" si="64"/>
        <v>0</v>
      </c>
      <c r="BY111" s="12">
        <f t="shared" si="64"/>
        <v>0</v>
      </c>
      <c r="BZ111" s="12">
        <f t="shared" si="64"/>
        <v>0</v>
      </c>
      <c r="CA111" s="12">
        <f t="shared" si="64"/>
        <v>0</v>
      </c>
      <c r="CB111" s="12">
        <f t="shared" si="64"/>
        <v>0</v>
      </c>
      <c r="CC111" s="12">
        <f t="shared" si="64"/>
        <v>0</v>
      </c>
      <c r="CD111" s="12">
        <f t="shared" si="64"/>
        <v>0</v>
      </c>
      <c r="CE111" s="12">
        <f t="shared" si="64"/>
        <v>0</v>
      </c>
      <c r="CF111" s="12">
        <f t="shared" si="64"/>
        <v>0</v>
      </c>
      <c r="CG111" s="12">
        <f t="shared" si="64"/>
        <v>0</v>
      </c>
      <c r="CH111" s="12">
        <f t="shared" si="64"/>
        <v>0</v>
      </c>
      <c r="CI111" s="12">
        <f t="shared" si="64"/>
        <v>0</v>
      </c>
      <c r="CJ111" s="12">
        <f t="shared" si="64"/>
        <v>0</v>
      </c>
      <c r="CK111" s="12">
        <f t="shared" si="64"/>
        <v>0</v>
      </c>
      <c r="CL111" s="12">
        <f t="shared" si="64"/>
        <v>0</v>
      </c>
      <c r="CM111" s="12">
        <f t="shared" si="64"/>
        <v>0</v>
      </c>
      <c r="CN111" s="12">
        <f t="shared" si="64"/>
        <v>0</v>
      </c>
      <c r="CO111" s="12">
        <f t="shared" si="64"/>
        <v>0</v>
      </c>
      <c r="CP111" s="12">
        <f t="shared" si="64"/>
        <v>0</v>
      </c>
      <c r="CQ111" s="12">
        <f t="shared" si="64"/>
        <v>0</v>
      </c>
      <c r="CR111" s="12">
        <f t="shared" si="64"/>
        <v>0</v>
      </c>
      <c r="CS111" s="12">
        <f t="shared" si="64"/>
        <v>0</v>
      </c>
      <c r="CT111" s="12">
        <f t="shared" si="64"/>
        <v>0</v>
      </c>
      <c r="CU111" s="12">
        <f t="shared" si="64"/>
        <v>0</v>
      </c>
      <c r="CV111" s="12">
        <f t="shared" si="64"/>
        <v>0</v>
      </c>
      <c r="CW111" s="12">
        <f t="shared" si="64"/>
        <v>0</v>
      </c>
      <c r="CX111" s="12">
        <f t="shared" si="64"/>
        <v>0</v>
      </c>
      <c r="CY111" s="12">
        <f t="shared" si="64"/>
        <v>0</v>
      </c>
      <c r="CZ111" s="12">
        <f t="shared" si="64"/>
        <v>0</v>
      </c>
      <c r="DA111" s="12">
        <f t="shared" ref="DA111:EF111" si="65">-(DA109+DA110)*$D$62</f>
        <v>0</v>
      </c>
      <c r="DB111" s="12">
        <f t="shared" si="65"/>
        <v>0</v>
      </c>
      <c r="DC111" s="12">
        <f t="shared" si="65"/>
        <v>0</v>
      </c>
      <c r="DD111" s="12">
        <f t="shared" si="65"/>
        <v>0</v>
      </c>
      <c r="DE111" s="12">
        <f t="shared" si="65"/>
        <v>0</v>
      </c>
      <c r="DF111" s="12">
        <f t="shared" si="65"/>
        <v>0</v>
      </c>
      <c r="DG111" s="12">
        <f t="shared" si="65"/>
        <v>0</v>
      </c>
      <c r="DH111" s="12">
        <f t="shared" si="65"/>
        <v>0</v>
      </c>
      <c r="DI111" s="12">
        <f t="shared" si="65"/>
        <v>0</v>
      </c>
      <c r="DJ111" s="12">
        <f t="shared" si="65"/>
        <v>0</v>
      </c>
      <c r="DK111" s="12">
        <f t="shared" si="65"/>
        <v>0</v>
      </c>
      <c r="DL111" s="12">
        <f t="shared" si="65"/>
        <v>0</v>
      </c>
      <c r="DM111" s="12">
        <f t="shared" si="65"/>
        <v>0</v>
      </c>
      <c r="DN111" s="12">
        <f t="shared" si="65"/>
        <v>0</v>
      </c>
      <c r="DO111" s="12">
        <f t="shared" si="65"/>
        <v>0</v>
      </c>
      <c r="DP111" s="12">
        <f t="shared" si="65"/>
        <v>0</v>
      </c>
      <c r="DQ111" s="12">
        <f t="shared" si="65"/>
        <v>0</v>
      </c>
      <c r="DR111" s="12">
        <f t="shared" si="65"/>
        <v>0</v>
      </c>
      <c r="DS111" s="12">
        <f t="shared" si="65"/>
        <v>0</v>
      </c>
      <c r="DT111" s="12">
        <f t="shared" si="65"/>
        <v>0</v>
      </c>
      <c r="DU111" s="12">
        <f t="shared" si="65"/>
        <v>0</v>
      </c>
      <c r="DV111" s="12">
        <f t="shared" si="65"/>
        <v>0</v>
      </c>
      <c r="DW111" s="12">
        <f t="shared" si="65"/>
        <v>0</v>
      </c>
      <c r="DX111" s="12">
        <f t="shared" si="65"/>
        <v>0</v>
      </c>
      <c r="DY111" s="12">
        <f t="shared" si="65"/>
        <v>0</v>
      </c>
      <c r="DZ111" s="12">
        <f t="shared" si="65"/>
        <v>0</v>
      </c>
      <c r="EA111" s="12">
        <f t="shared" si="65"/>
        <v>0</v>
      </c>
      <c r="EB111" s="12">
        <f t="shared" si="65"/>
        <v>0</v>
      </c>
      <c r="EC111" s="12">
        <f t="shared" si="65"/>
        <v>0</v>
      </c>
      <c r="ED111" s="12">
        <f t="shared" si="65"/>
        <v>0</v>
      </c>
      <c r="EE111" s="12">
        <f t="shared" si="65"/>
        <v>0</v>
      </c>
      <c r="EF111" s="12">
        <f t="shared" si="65"/>
        <v>0</v>
      </c>
      <c r="EG111" s="12">
        <f t="shared" ref="EG111:FH111" si="66">-(EG109+EG110)*$D$62</f>
        <v>0</v>
      </c>
      <c r="EH111" s="12">
        <f t="shared" si="66"/>
        <v>0</v>
      </c>
      <c r="EI111" s="12">
        <f t="shared" si="66"/>
        <v>0</v>
      </c>
      <c r="EJ111" s="12">
        <f t="shared" si="66"/>
        <v>0</v>
      </c>
      <c r="EK111" s="12">
        <f t="shared" si="66"/>
        <v>0</v>
      </c>
      <c r="EL111" s="12">
        <f t="shared" si="66"/>
        <v>0</v>
      </c>
      <c r="EM111" s="12">
        <f t="shared" si="66"/>
        <v>0</v>
      </c>
      <c r="EN111" s="12">
        <f t="shared" si="66"/>
        <v>0</v>
      </c>
      <c r="EO111" s="12">
        <f t="shared" si="66"/>
        <v>0</v>
      </c>
      <c r="EP111" s="12">
        <f t="shared" si="66"/>
        <v>0</v>
      </c>
      <c r="EQ111" s="12">
        <f t="shared" si="66"/>
        <v>0</v>
      </c>
      <c r="ER111" s="12">
        <f t="shared" si="66"/>
        <v>0</v>
      </c>
      <c r="ES111" s="12">
        <f t="shared" si="66"/>
        <v>0</v>
      </c>
      <c r="ET111" s="12">
        <f t="shared" si="66"/>
        <v>0</v>
      </c>
      <c r="EU111" s="12">
        <f t="shared" si="66"/>
        <v>0</v>
      </c>
      <c r="EV111" s="12">
        <f t="shared" si="66"/>
        <v>0</v>
      </c>
      <c r="EW111" s="12">
        <f t="shared" si="66"/>
        <v>0</v>
      </c>
      <c r="EX111" s="12">
        <f t="shared" si="66"/>
        <v>0</v>
      </c>
      <c r="EY111" s="12">
        <f t="shared" si="66"/>
        <v>0</v>
      </c>
      <c r="EZ111" s="12">
        <f t="shared" si="66"/>
        <v>0</v>
      </c>
      <c r="FA111" s="12">
        <f t="shared" si="66"/>
        <v>0</v>
      </c>
      <c r="FB111" s="12">
        <f t="shared" si="66"/>
        <v>0</v>
      </c>
      <c r="FC111" s="12">
        <f t="shared" si="66"/>
        <v>0</v>
      </c>
      <c r="FD111" s="12">
        <f t="shared" si="66"/>
        <v>0</v>
      </c>
      <c r="FE111" s="12">
        <f t="shared" si="66"/>
        <v>0</v>
      </c>
      <c r="FF111" s="12">
        <f t="shared" si="66"/>
        <v>0</v>
      </c>
      <c r="FG111" s="12">
        <f t="shared" si="66"/>
        <v>0</v>
      </c>
      <c r="FH111" s="12">
        <f t="shared" si="66"/>
        <v>0</v>
      </c>
    </row>
    <row r="112" spans="1:164" x14ac:dyDescent="0.2">
      <c r="A112" s="10"/>
      <c r="B112" s="10"/>
      <c r="C112" s="10" t="s">
        <v>754</v>
      </c>
      <c r="D112" s="10"/>
      <c r="E112" s="10"/>
      <c r="F112" s="10"/>
      <c r="G112" s="10"/>
      <c r="H112" s="12">
        <f t="shared" si="36"/>
        <v>0</v>
      </c>
      <c r="I112" s="12">
        <f t="shared" ref="I112:AN112" si="67">-I109*$D$63</f>
        <v>0</v>
      </c>
      <c r="J112" s="12">
        <f t="shared" si="67"/>
        <v>0</v>
      </c>
      <c r="K112" s="12">
        <f t="shared" si="67"/>
        <v>0</v>
      </c>
      <c r="L112" s="12">
        <f t="shared" si="67"/>
        <v>0</v>
      </c>
      <c r="M112" s="12">
        <f t="shared" si="67"/>
        <v>0</v>
      </c>
      <c r="N112" s="12">
        <f t="shared" si="67"/>
        <v>0</v>
      </c>
      <c r="O112" s="12">
        <f t="shared" si="67"/>
        <v>0</v>
      </c>
      <c r="P112" s="12">
        <f t="shared" si="67"/>
        <v>0</v>
      </c>
      <c r="Q112" s="12">
        <f t="shared" si="67"/>
        <v>0</v>
      </c>
      <c r="R112" s="12">
        <f t="shared" si="67"/>
        <v>0</v>
      </c>
      <c r="S112" s="12">
        <f t="shared" si="67"/>
        <v>0</v>
      </c>
      <c r="T112" s="12">
        <f t="shared" si="67"/>
        <v>0</v>
      </c>
      <c r="U112" s="12">
        <f t="shared" si="67"/>
        <v>0</v>
      </c>
      <c r="V112" s="12">
        <f t="shared" si="67"/>
        <v>0</v>
      </c>
      <c r="W112" s="12">
        <f t="shared" si="67"/>
        <v>0</v>
      </c>
      <c r="X112" s="12">
        <f t="shared" si="67"/>
        <v>0</v>
      </c>
      <c r="Y112" s="12">
        <f t="shared" si="67"/>
        <v>0</v>
      </c>
      <c r="Z112" s="12">
        <f t="shared" si="67"/>
        <v>0</v>
      </c>
      <c r="AA112" s="12">
        <f t="shared" si="67"/>
        <v>0</v>
      </c>
      <c r="AB112" s="12">
        <f t="shared" si="67"/>
        <v>0</v>
      </c>
      <c r="AC112" s="12">
        <f t="shared" si="67"/>
        <v>0</v>
      </c>
      <c r="AD112" s="12">
        <f t="shared" si="67"/>
        <v>0</v>
      </c>
      <c r="AE112" s="12">
        <f t="shared" si="67"/>
        <v>0</v>
      </c>
      <c r="AF112" s="12">
        <f t="shared" si="67"/>
        <v>0</v>
      </c>
      <c r="AG112" s="12">
        <f t="shared" si="67"/>
        <v>0</v>
      </c>
      <c r="AH112" s="12">
        <f t="shared" si="67"/>
        <v>0</v>
      </c>
      <c r="AI112" s="12">
        <f t="shared" si="67"/>
        <v>0</v>
      </c>
      <c r="AJ112" s="12">
        <f t="shared" si="67"/>
        <v>0</v>
      </c>
      <c r="AK112" s="12">
        <f t="shared" si="67"/>
        <v>0</v>
      </c>
      <c r="AL112" s="12">
        <f t="shared" si="67"/>
        <v>0</v>
      </c>
      <c r="AM112" s="12">
        <f t="shared" si="67"/>
        <v>0</v>
      </c>
      <c r="AN112" s="12">
        <f t="shared" si="67"/>
        <v>0</v>
      </c>
      <c r="AO112" s="12">
        <f t="shared" ref="AO112:BT112" si="68">-AO109*$D$63</f>
        <v>0</v>
      </c>
      <c r="AP112" s="12">
        <f t="shared" si="68"/>
        <v>0</v>
      </c>
      <c r="AQ112" s="12">
        <f t="shared" si="68"/>
        <v>0</v>
      </c>
      <c r="AR112" s="12">
        <f t="shared" si="68"/>
        <v>0</v>
      </c>
      <c r="AS112" s="12">
        <f t="shared" si="68"/>
        <v>0</v>
      </c>
      <c r="AT112" s="12">
        <f t="shared" si="68"/>
        <v>0</v>
      </c>
      <c r="AU112" s="12">
        <f t="shared" si="68"/>
        <v>0</v>
      </c>
      <c r="AV112" s="12">
        <f t="shared" si="68"/>
        <v>0</v>
      </c>
      <c r="AW112" s="12">
        <f t="shared" si="68"/>
        <v>0</v>
      </c>
      <c r="AX112" s="12">
        <f t="shared" si="68"/>
        <v>0</v>
      </c>
      <c r="AY112" s="12">
        <f t="shared" si="68"/>
        <v>0</v>
      </c>
      <c r="AZ112" s="12">
        <f t="shared" si="68"/>
        <v>0</v>
      </c>
      <c r="BA112" s="12">
        <f t="shared" si="68"/>
        <v>0</v>
      </c>
      <c r="BB112" s="12">
        <f t="shared" si="68"/>
        <v>0</v>
      </c>
      <c r="BC112" s="12">
        <f t="shared" si="68"/>
        <v>0</v>
      </c>
      <c r="BD112" s="12">
        <f t="shared" si="68"/>
        <v>0</v>
      </c>
      <c r="BE112" s="12">
        <f t="shared" si="68"/>
        <v>0</v>
      </c>
      <c r="BF112" s="12">
        <f t="shared" si="68"/>
        <v>0</v>
      </c>
      <c r="BG112" s="12">
        <f t="shared" si="68"/>
        <v>0</v>
      </c>
      <c r="BH112" s="12">
        <f t="shared" si="68"/>
        <v>0</v>
      </c>
      <c r="BI112" s="12">
        <f t="shared" si="68"/>
        <v>0</v>
      </c>
      <c r="BJ112" s="12">
        <f t="shared" si="68"/>
        <v>0</v>
      </c>
      <c r="BK112" s="12">
        <f t="shared" si="68"/>
        <v>0</v>
      </c>
      <c r="BL112" s="12">
        <f t="shared" si="68"/>
        <v>0</v>
      </c>
      <c r="BM112" s="12">
        <f t="shared" si="68"/>
        <v>0</v>
      </c>
      <c r="BN112" s="12">
        <f t="shared" si="68"/>
        <v>0</v>
      </c>
      <c r="BO112" s="12">
        <f t="shared" si="68"/>
        <v>0</v>
      </c>
      <c r="BP112" s="12">
        <f t="shared" si="68"/>
        <v>0</v>
      </c>
      <c r="BQ112" s="12">
        <f t="shared" si="68"/>
        <v>0</v>
      </c>
      <c r="BR112" s="12">
        <f t="shared" si="68"/>
        <v>0</v>
      </c>
      <c r="BS112" s="12">
        <f t="shared" si="68"/>
        <v>0</v>
      </c>
      <c r="BT112" s="12">
        <f t="shared" si="68"/>
        <v>0</v>
      </c>
      <c r="BU112" s="12">
        <f t="shared" ref="BU112:CZ112" si="69">-BU109*$D$63</f>
        <v>0</v>
      </c>
      <c r="BV112" s="12">
        <f t="shared" si="69"/>
        <v>0</v>
      </c>
      <c r="BW112" s="12">
        <f t="shared" si="69"/>
        <v>0</v>
      </c>
      <c r="BX112" s="12">
        <f t="shared" si="69"/>
        <v>0</v>
      </c>
      <c r="BY112" s="12">
        <f t="shared" si="69"/>
        <v>0</v>
      </c>
      <c r="BZ112" s="12">
        <f t="shared" si="69"/>
        <v>0</v>
      </c>
      <c r="CA112" s="12">
        <f t="shared" si="69"/>
        <v>0</v>
      </c>
      <c r="CB112" s="12">
        <f t="shared" si="69"/>
        <v>0</v>
      </c>
      <c r="CC112" s="12">
        <f t="shared" si="69"/>
        <v>0</v>
      </c>
      <c r="CD112" s="12">
        <f t="shared" si="69"/>
        <v>0</v>
      </c>
      <c r="CE112" s="12">
        <f t="shared" si="69"/>
        <v>0</v>
      </c>
      <c r="CF112" s="12">
        <f t="shared" si="69"/>
        <v>0</v>
      </c>
      <c r="CG112" s="12">
        <f t="shared" si="69"/>
        <v>0</v>
      </c>
      <c r="CH112" s="12">
        <f t="shared" si="69"/>
        <v>0</v>
      </c>
      <c r="CI112" s="12">
        <f t="shared" si="69"/>
        <v>0</v>
      </c>
      <c r="CJ112" s="12">
        <f t="shared" si="69"/>
        <v>0</v>
      </c>
      <c r="CK112" s="12">
        <f t="shared" si="69"/>
        <v>0</v>
      </c>
      <c r="CL112" s="12">
        <f t="shared" si="69"/>
        <v>0</v>
      </c>
      <c r="CM112" s="12">
        <f t="shared" si="69"/>
        <v>0</v>
      </c>
      <c r="CN112" s="12">
        <f t="shared" si="69"/>
        <v>0</v>
      </c>
      <c r="CO112" s="12">
        <f t="shared" si="69"/>
        <v>0</v>
      </c>
      <c r="CP112" s="12">
        <f t="shared" si="69"/>
        <v>0</v>
      </c>
      <c r="CQ112" s="12">
        <f t="shared" si="69"/>
        <v>0</v>
      </c>
      <c r="CR112" s="12">
        <f t="shared" si="69"/>
        <v>0</v>
      </c>
      <c r="CS112" s="12">
        <f t="shared" si="69"/>
        <v>0</v>
      </c>
      <c r="CT112" s="12">
        <f t="shared" si="69"/>
        <v>0</v>
      </c>
      <c r="CU112" s="12">
        <f t="shared" si="69"/>
        <v>0</v>
      </c>
      <c r="CV112" s="12">
        <f t="shared" si="69"/>
        <v>0</v>
      </c>
      <c r="CW112" s="12">
        <f t="shared" si="69"/>
        <v>0</v>
      </c>
      <c r="CX112" s="12">
        <f t="shared" si="69"/>
        <v>0</v>
      </c>
      <c r="CY112" s="12">
        <f t="shared" si="69"/>
        <v>0</v>
      </c>
      <c r="CZ112" s="12">
        <f t="shared" si="69"/>
        <v>0</v>
      </c>
      <c r="DA112" s="12">
        <f t="shared" ref="DA112:EF112" si="70">-DA109*$D$63</f>
        <v>0</v>
      </c>
      <c r="DB112" s="12">
        <f t="shared" si="70"/>
        <v>0</v>
      </c>
      <c r="DC112" s="12">
        <f t="shared" si="70"/>
        <v>0</v>
      </c>
      <c r="DD112" s="12">
        <f t="shared" si="70"/>
        <v>0</v>
      </c>
      <c r="DE112" s="12">
        <f t="shared" si="70"/>
        <v>0</v>
      </c>
      <c r="DF112" s="12">
        <f t="shared" si="70"/>
        <v>0</v>
      </c>
      <c r="DG112" s="12">
        <f t="shared" si="70"/>
        <v>0</v>
      </c>
      <c r="DH112" s="12">
        <f t="shared" si="70"/>
        <v>0</v>
      </c>
      <c r="DI112" s="12">
        <f t="shared" si="70"/>
        <v>0</v>
      </c>
      <c r="DJ112" s="12">
        <f t="shared" si="70"/>
        <v>0</v>
      </c>
      <c r="DK112" s="12">
        <f t="shared" si="70"/>
        <v>0</v>
      </c>
      <c r="DL112" s="12">
        <f t="shared" si="70"/>
        <v>0</v>
      </c>
      <c r="DM112" s="12">
        <f t="shared" si="70"/>
        <v>0</v>
      </c>
      <c r="DN112" s="12">
        <f t="shared" si="70"/>
        <v>0</v>
      </c>
      <c r="DO112" s="12">
        <f t="shared" si="70"/>
        <v>0</v>
      </c>
      <c r="DP112" s="12">
        <f t="shared" si="70"/>
        <v>0</v>
      </c>
      <c r="DQ112" s="12">
        <f t="shared" si="70"/>
        <v>0</v>
      </c>
      <c r="DR112" s="12">
        <f t="shared" si="70"/>
        <v>0</v>
      </c>
      <c r="DS112" s="12">
        <f t="shared" si="70"/>
        <v>0</v>
      </c>
      <c r="DT112" s="12">
        <f t="shared" si="70"/>
        <v>0</v>
      </c>
      <c r="DU112" s="12">
        <f t="shared" si="70"/>
        <v>0</v>
      </c>
      <c r="DV112" s="12">
        <f t="shared" si="70"/>
        <v>0</v>
      </c>
      <c r="DW112" s="12">
        <f t="shared" si="70"/>
        <v>0</v>
      </c>
      <c r="DX112" s="12">
        <f t="shared" si="70"/>
        <v>0</v>
      </c>
      <c r="DY112" s="12">
        <f t="shared" si="70"/>
        <v>0</v>
      </c>
      <c r="DZ112" s="12">
        <f t="shared" si="70"/>
        <v>0</v>
      </c>
      <c r="EA112" s="12">
        <f t="shared" si="70"/>
        <v>0</v>
      </c>
      <c r="EB112" s="12">
        <f t="shared" si="70"/>
        <v>0</v>
      </c>
      <c r="EC112" s="12">
        <f t="shared" si="70"/>
        <v>0</v>
      </c>
      <c r="ED112" s="12">
        <f t="shared" si="70"/>
        <v>0</v>
      </c>
      <c r="EE112" s="12">
        <f t="shared" si="70"/>
        <v>0</v>
      </c>
      <c r="EF112" s="12">
        <f t="shared" si="70"/>
        <v>0</v>
      </c>
      <c r="EG112" s="12">
        <f t="shared" ref="EG112:FH112" si="71">-EG109*$D$63</f>
        <v>0</v>
      </c>
      <c r="EH112" s="12">
        <f t="shared" si="71"/>
        <v>0</v>
      </c>
      <c r="EI112" s="12">
        <f t="shared" si="71"/>
        <v>0</v>
      </c>
      <c r="EJ112" s="12">
        <f t="shared" si="71"/>
        <v>0</v>
      </c>
      <c r="EK112" s="12">
        <f t="shared" si="71"/>
        <v>0</v>
      </c>
      <c r="EL112" s="12">
        <f t="shared" si="71"/>
        <v>0</v>
      </c>
      <c r="EM112" s="12">
        <f t="shared" si="71"/>
        <v>0</v>
      </c>
      <c r="EN112" s="12">
        <f t="shared" si="71"/>
        <v>0</v>
      </c>
      <c r="EO112" s="12">
        <f t="shared" si="71"/>
        <v>0</v>
      </c>
      <c r="EP112" s="12">
        <f t="shared" si="71"/>
        <v>0</v>
      </c>
      <c r="EQ112" s="12">
        <f t="shared" si="71"/>
        <v>0</v>
      </c>
      <c r="ER112" s="12">
        <f t="shared" si="71"/>
        <v>0</v>
      </c>
      <c r="ES112" s="12">
        <f t="shared" si="71"/>
        <v>0</v>
      </c>
      <c r="ET112" s="12">
        <f t="shared" si="71"/>
        <v>0</v>
      </c>
      <c r="EU112" s="12">
        <f t="shared" si="71"/>
        <v>0</v>
      </c>
      <c r="EV112" s="12">
        <f t="shared" si="71"/>
        <v>0</v>
      </c>
      <c r="EW112" s="12">
        <f t="shared" si="71"/>
        <v>0</v>
      </c>
      <c r="EX112" s="12">
        <f t="shared" si="71"/>
        <v>0</v>
      </c>
      <c r="EY112" s="12">
        <f t="shared" si="71"/>
        <v>0</v>
      </c>
      <c r="EZ112" s="12">
        <f t="shared" si="71"/>
        <v>0</v>
      </c>
      <c r="FA112" s="12">
        <f t="shared" si="71"/>
        <v>0</v>
      </c>
      <c r="FB112" s="12">
        <f t="shared" si="71"/>
        <v>0</v>
      </c>
      <c r="FC112" s="12">
        <f t="shared" si="71"/>
        <v>0</v>
      </c>
      <c r="FD112" s="12">
        <f t="shared" si="71"/>
        <v>0</v>
      </c>
      <c r="FE112" s="12">
        <f t="shared" si="71"/>
        <v>0</v>
      </c>
      <c r="FF112" s="12">
        <f t="shared" si="71"/>
        <v>0</v>
      </c>
      <c r="FG112" s="12">
        <f t="shared" si="71"/>
        <v>0</v>
      </c>
      <c r="FH112" s="12">
        <f t="shared" si="71"/>
        <v>0</v>
      </c>
    </row>
    <row r="113" spans="1:164" x14ac:dyDescent="0.2">
      <c r="A113" s="10"/>
      <c r="B113" s="10"/>
      <c r="C113" s="238" t="s">
        <v>7</v>
      </c>
      <c r="D113" s="238"/>
      <c r="E113" s="238"/>
      <c r="F113" s="238"/>
      <c r="G113" s="238"/>
      <c r="H113" s="239">
        <f t="shared" si="36"/>
        <v>163868.16000000012</v>
      </c>
      <c r="I113" s="239">
        <f t="shared" ref="I113:AN113" si="72">SUM(I109:I112)</f>
        <v>0</v>
      </c>
      <c r="J113" s="239">
        <f t="shared" si="72"/>
        <v>0</v>
      </c>
      <c r="K113" s="239">
        <f t="shared" si="72"/>
        <v>0</v>
      </c>
      <c r="L113" s="239">
        <f t="shared" si="72"/>
        <v>0</v>
      </c>
      <c r="M113" s="239">
        <f t="shared" si="72"/>
        <v>0</v>
      </c>
      <c r="N113" s="239">
        <f t="shared" si="72"/>
        <v>0</v>
      </c>
      <c r="O113" s="239">
        <f t="shared" si="72"/>
        <v>0</v>
      </c>
      <c r="P113" s="239">
        <f t="shared" si="72"/>
        <v>0</v>
      </c>
      <c r="Q113" s="239">
        <f t="shared" si="72"/>
        <v>0</v>
      </c>
      <c r="R113" s="239">
        <f t="shared" si="72"/>
        <v>0</v>
      </c>
      <c r="S113" s="239">
        <f t="shared" si="72"/>
        <v>0</v>
      </c>
      <c r="T113" s="239">
        <f t="shared" si="72"/>
        <v>0</v>
      </c>
      <c r="U113" s="239">
        <f t="shared" si="72"/>
        <v>1197.8666666666668</v>
      </c>
      <c r="V113" s="239">
        <f t="shared" si="72"/>
        <v>1247.1503238095238</v>
      </c>
      <c r="W113" s="239">
        <f t="shared" si="72"/>
        <v>1297.883500280112</v>
      </c>
      <c r="X113" s="239">
        <f t="shared" si="72"/>
        <v>1350.1540457346575</v>
      </c>
      <c r="Y113" s="239">
        <f t="shared" si="72"/>
        <v>1404.0580457346573</v>
      </c>
      <c r="Z113" s="239">
        <f t="shared" si="72"/>
        <v>1459.7008844443346</v>
      </c>
      <c r="AA113" s="239">
        <f t="shared" si="72"/>
        <v>551.23880444433485</v>
      </c>
      <c r="AB113" s="239">
        <f t="shared" si="72"/>
        <v>563.1348596167486</v>
      </c>
      <c r="AC113" s="239">
        <f t="shared" si="72"/>
        <v>575.45577390246297</v>
      </c>
      <c r="AD113" s="239">
        <f t="shared" si="72"/>
        <v>588.23301834690744</v>
      </c>
      <c r="AE113" s="239">
        <f t="shared" si="72"/>
        <v>601.50169526998434</v>
      </c>
      <c r="AF113" s="239">
        <f t="shared" si="72"/>
        <v>615.30111926998427</v>
      </c>
      <c r="AG113" s="239">
        <f t="shared" si="72"/>
        <v>629.67551926998431</v>
      </c>
      <c r="AH113" s="239">
        <f t="shared" si="72"/>
        <v>644.67489318302773</v>
      </c>
      <c r="AI113" s="239">
        <f t="shared" si="72"/>
        <v>660.35605681939126</v>
      </c>
      <c r="AJ113" s="239">
        <f t="shared" si="72"/>
        <v>676.78394253367708</v>
      </c>
      <c r="AK113" s="239">
        <f t="shared" si="72"/>
        <v>694.03322253367708</v>
      </c>
      <c r="AL113" s="239">
        <f t="shared" si="72"/>
        <v>712.19035937578235</v>
      </c>
      <c r="AM113" s="239">
        <f t="shared" si="72"/>
        <v>731.35622604244895</v>
      </c>
      <c r="AN113" s="239">
        <f t="shared" si="72"/>
        <v>751.64949663068433</v>
      </c>
      <c r="AO113" s="239">
        <f t="shared" ref="AO113:BT113" si="73">SUM(AO109:AO112)</f>
        <v>773.21109663068444</v>
      </c>
      <c r="AP113" s="239">
        <f t="shared" si="73"/>
        <v>796.21013663068436</v>
      </c>
      <c r="AQ113" s="239">
        <f t="shared" si="73"/>
        <v>820.85196520211286</v>
      </c>
      <c r="AR113" s="239">
        <f t="shared" si="73"/>
        <v>847.38931904826666</v>
      </c>
      <c r="AS113" s="239">
        <f t="shared" si="73"/>
        <v>876.13811904826673</v>
      </c>
      <c r="AT113" s="239">
        <f t="shared" si="73"/>
        <v>907.50044632099412</v>
      </c>
      <c r="AU113" s="239">
        <f t="shared" si="73"/>
        <v>941.999006320994</v>
      </c>
      <c r="AV113" s="239">
        <f t="shared" si="73"/>
        <v>980.33073965432732</v>
      </c>
      <c r="AW113" s="239">
        <f t="shared" si="73"/>
        <v>1023.4539396543274</v>
      </c>
      <c r="AX113" s="239">
        <f t="shared" si="73"/>
        <v>1072.7375967971843</v>
      </c>
      <c r="AY113" s="239">
        <f t="shared" si="73"/>
        <v>1130.2351967971845</v>
      </c>
      <c r="AZ113" s="239">
        <f t="shared" si="73"/>
        <v>1199.2323167971842</v>
      </c>
      <c r="BA113" s="239">
        <f t="shared" si="73"/>
        <v>1285.4787167971842</v>
      </c>
      <c r="BB113" s="239">
        <f t="shared" si="73"/>
        <v>1400.4739167971843</v>
      </c>
      <c r="BC113" s="239">
        <f t="shared" si="73"/>
        <v>1572.9667167971843</v>
      </c>
      <c r="BD113" s="239">
        <f t="shared" si="73"/>
        <v>1917.9523167971845</v>
      </c>
      <c r="BE113" s="239">
        <f t="shared" si="73"/>
        <v>6899.7120000000059</v>
      </c>
      <c r="BF113" s="239">
        <f t="shared" si="73"/>
        <v>1034.9567999999999</v>
      </c>
      <c r="BG113" s="239">
        <f t="shared" si="73"/>
        <v>1034.9567999999999</v>
      </c>
      <c r="BH113" s="239">
        <f t="shared" si="73"/>
        <v>1034.9567999999999</v>
      </c>
      <c r="BI113" s="239">
        <f t="shared" si="73"/>
        <v>1034.9567999999999</v>
      </c>
      <c r="BJ113" s="239">
        <f t="shared" si="73"/>
        <v>1034.9567999999999</v>
      </c>
      <c r="BK113" s="239">
        <f t="shared" si="73"/>
        <v>1034.9567999999999</v>
      </c>
      <c r="BL113" s="239">
        <f t="shared" si="73"/>
        <v>1034.9567999999999</v>
      </c>
      <c r="BM113" s="239">
        <f t="shared" si="73"/>
        <v>1034.9567999999999</v>
      </c>
      <c r="BN113" s="239">
        <f t="shared" si="73"/>
        <v>1034.9567999999999</v>
      </c>
      <c r="BO113" s="239">
        <f t="shared" si="73"/>
        <v>1034.9567999999999</v>
      </c>
      <c r="BP113" s="239">
        <f t="shared" si="73"/>
        <v>112120.32000000011</v>
      </c>
      <c r="BQ113" s="239">
        <f t="shared" si="73"/>
        <v>0</v>
      </c>
      <c r="BR113" s="239">
        <f t="shared" si="73"/>
        <v>0</v>
      </c>
      <c r="BS113" s="239">
        <f t="shared" si="73"/>
        <v>0</v>
      </c>
      <c r="BT113" s="239">
        <f t="shared" si="73"/>
        <v>0</v>
      </c>
      <c r="BU113" s="239">
        <f t="shared" ref="BU113:CZ113" si="74">SUM(BU109:BU112)</f>
        <v>0</v>
      </c>
      <c r="BV113" s="239">
        <f t="shared" si="74"/>
        <v>0</v>
      </c>
      <c r="BW113" s="239">
        <f t="shared" si="74"/>
        <v>0</v>
      </c>
      <c r="BX113" s="239">
        <f t="shared" si="74"/>
        <v>0</v>
      </c>
      <c r="BY113" s="239">
        <f t="shared" si="74"/>
        <v>0</v>
      </c>
      <c r="BZ113" s="239">
        <f t="shared" si="74"/>
        <v>0</v>
      </c>
      <c r="CA113" s="239">
        <f t="shared" si="74"/>
        <v>0</v>
      </c>
      <c r="CB113" s="239">
        <f t="shared" si="74"/>
        <v>0</v>
      </c>
      <c r="CC113" s="239">
        <f t="shared" si="74"/>
        <v>0</v>
      </c>
      <c r="CD113" s="239">
        <f t="shared" si="74"/>
        <v>0</v>
      </c>
      <c r="CE113" s="239">
        <f t="shared" si="74"/>
        <v>0</v>
      </c>
      <c r="CF113" s="239">
        <f t="shared" si="74"/>
        <v>0</v>
      </c>
      <c r="CG113" s="239">
        <f t="shared" si="74"/>
        <v>0</v>
      </c>
      <c r="CH113" s="239">
        <f t="shared" si="74"/>
        <v>0</v>
      </c>
      <c r="CI113" s="239">
        <f t="shared" si="74"/>
        <v>0</v>
      </c>
      <c r="CJ113" s="239">
        <f t="shared" si="74"/>
        <v>0</v>
      </c>
      <c r="CK113" s="239">
        <f t="shared" si="74"/>
        <v>0</v>
      </c>
      <c r="CL113" s="239">
        <f t="shared" si="74"/>
        <v>0</v>
      </c>
      <c r="CM113" s="239">
        <f t="shared" si="74"/>
        <v>0</v>
      </c>
      <c r="CN113" s="239">
        <f t="shared" si="74"/>
        <v>0</v>
      </c>
      <c r="CO113" s="239">
        <f t="shared" si="74"/>
        <v>0</v>
      </c>
      <c r="CP113" s="239">
        <f t="shared" si="74"/>
        <v>0</v>
      </c>
      <c r="CQ113" s="239">
        <f t="shared" si="74"/>
        <v>0</v>
      </c>
      <c r="CR113" s="239">
        <f t="shared" si="74"/>
        <v>0</v>
      </c>
      <c r="CS113" s="239">
        <f t="shared" si="74"/>
        <v>0</v>
      </c>
      <c r="CT113" s="239">
        <f t="shared" si="74"/>
        <v>0</v>
      </c>
      <c r="CU113" s="239">
        <f t="shared" si="74"/>
        <v>0</v>
      </c>
      <c r="CV113" s="239">
        <f t="shared" si="74"/>
        <v>0</v>
      </c>
      <c r="CW113" s="239">
        <f t="shared" si="74"/>
        <v>0</v>
      </c>
      <c r="CX113" s="239">
        <f t="shared" si="74"/>
        <v>0</v>
      </c>
      <c r="CY113" s="239">
        <f t="shared" si="74"/>
        <v>0</v>
      </c>
      <c r="CZ113" s="239">
        <f t="shared" si="74"/>
        <v>0</v>
      </c>
      <c r="DA113" s="239">
        <f t="shared" ref="DA113:EF113" si="75">SUM(DA109:DA112)</f>
        <v>0</v>
      </c>
      <c r="DB113" s="239">
        <f t="shared" si="75"/>
        <v>0</v>
      </c>
      <c r="DC113" s="239">
        <f t="shared" si="75"/>
        <v>0</v>
      </c>
      <c r="DD113" s="239">
        <f t="shared" si="75"/>
        <v>0</v>
      </c>
      <c r="DE113" s="239">
        <f t="shared" si="75"/>
        <v>0</v>
      </c>
      <c r="DF113" s="239">
        <f t="shared" si="75"/>
        <v>0</v>
      </c>
      <c r="DG113" s="239">
        <f t="shared" si="75"/>
        <v>0</v>
      </c>
      <c r="DH113" s="239">
        <f t="shared" si="75"/>
        <v>0</v>
      </c>
      <c r="DI113" s="239">
        <f t="shared" si="75"/>
        <v>0</v>
      </c>
      <c r="DJ113" s="239">
        <f t="shared" si="75"/>
        <v>0</v>
      </c>
      <c r="DK113" s="239">
        <f t="shared" si="75"/>
        <v>0</v>
      </c>
      <c r="DL113" s="239">
        <f t="shared" si="75"/>
        <v>0</v>
      </c>
      <c r="DM113" s="239">
        <f t="shared" si="75"/>
        <v>0</v>
      </c>
      <c r="DN113" s="239">
        <f t="shared" si="75"/>
        <v>0</v>
      </c>
      <c r="DO113" s="239">
        <f t="shared" si="75"/>
        <v>0</v>
      </c>
      <c r="DP113" s="239">
        <f t="shared" si="75"/>
        <v>0</v>
      </c>
      <c r="DQ113" s="239">
        <f t="shared" si="75"/>
        <v>0</v>
      </c>
      <c r="DR113" s="239">
        <f t="shared" si="75"/>
        <v>0</v>
      </c>
      <c r="DS113" s="239">
        <f t="shared" si="75"/>
        <v>0</v>
      </c>
      <c r="DT113" s="239">
        <f t="shared" si="75"/>
        <v>0</v>
      </c>
      <c r="DU113" s="239">
        <f t="shared" si="75"/>
        <v>0</v>
      </c>
      <c r="DV113" s="239">
        <f t="shared" si="75"/>
        <v>0</v>
      </c>
      <c r="DW113" s="239">
        <f t="shared" si="75"/>
        <v>0</v>
      </c>
      <c r="DX113" s="239">
        <f t="shared" si="75"/>
        <v>0</v>
      </c>
      <c r="DY113" s="239">
        <f t="shared" si="75"/>
        <v>0</v>
      </c>
      <c r="DZ113" s="239">
        <f t="shared" si="75"/>
        <v>0</v>
      </c>
      <c r="EA113" s="239">
        <f t="shared" si="75"/>
        <v>0</v>
      </c>
      <c r="EB113" s="239">
        <f t="shared" si="75"/>
        <v>0</v>
      </c>
      <c r="EC113" s="239">
        <f t="shared" si="75"/>
        <v>0</v>
      </c>
      <c r="ED113" s="239">
        <f t="shared" si="75"/>
        <v>0</v>
      </c>
      <c r="EE113" s="239">
        <f t="shared" si="75"/>
        <v>0</v>
      </c>
      <c r="EF113" s="239">
        <f t="shared" si="75"/>
        <v>0</v>
      </c>
      <c r="EG113" s="239">
        <f t="shared" ref="EG113:FH113" si="76">SUM(EG109:EG112)</f>
        <v>0</v>
      </c>
      <c r="EH113" s="239">
        <f t="shared" si="76"/>
        <v>0</v>
      </c>
      <c r="EI113" s="239">
        <f t="shared" si="76"/>
        <v>0</v>
      </c>
      <c r="EJ113" s="239">
        <f t="shared" si="76"/>
        <v>0</v>
      </c>
      <c r="EK113" s="239">
        <f t="shared" si="76"/>
        <v>0</v>
      </c>
      <c r="EL113" s="239">
        <f t="shared" si="76"/>
        <v>0</v>
      </c>
      <c r="EM113" s="239">
        <f t="shared" si="76"/>
        <v>0</v>
      </c>
      <c r="EN113" s="239">
        <f t="shared" si="76"/>
        <v>0</v>
      </c>
      <c r="EO113" s="239">
        <f t="shared" si="76"/>
        <v>0</v>
      </c>
      <c r="EP113" s="239">
        <f t="shared" si="76"/>
        <v>0</v>
      </c>
      <c r="EQ113" s="239">
        <f t="shared" si="76"/>
        <v>0</v>
      </c>
      <c r="ER113" s="239">
        <f t="shared" si="76"/>
        <v>0</v>
      </c>
      <c r="ES113" s="239">
        <f t="shared" si="76"/>
        <v>0</v>
      </c>
      <c r="ET113" s="239">
        <f t="shared" si="76"/>
        <v>0</v>
      </c>
      <c r="EU113" s="239">
        <f t="shared" si="76"/>
        <v>0</v>
      </c>
      <c r="EV113" s="239">
        <f t="shared" si="76"/>
        <v>0</v>
      </c>
      <c r="EW113" s="239">
        <f t="shared" si="76"/>
        <v>0</v>
      </c>
      <c r="EX113" s="239">
        <f t="shared" si="76"/>
        <v>0</v>
      </c>
      <c r="EY113" s="239">
        <f t="shared" si="76"/>
        <v>0</v>
      </c>
      <c r="EZ113" s="239">
        <f t="shared" si="76"/>
        <v>0</v>
      </c>
      <c r="FA113" s="239">
        <f t="shared" si="76"/>
        <v>0</v>
      </c>
      <c r="FB113" s="239">
        <f t="shared" si="76"/>
        <v>0</v>
      </c>
      <c r="FC113" s="239">
        <f t="shared" si="76"/>
        <v>0</v>
      </c>
      <c r="FD113" s="239">
        <f t="shared" si="76"/>
        <v>0</v>
      </c>
      <c r="FE113" s="239">
        <f t="shared" si="76"/>
        <v>0</v>
      </c>
      <c r="FF113" s="239">
        <f t="shared" si="76"/>
        <v>0</v>
      </c>
      <c r="FG113" s="239">
        <f t="shared" si="76"/>
        <v>0</v>
      </c>
      <c r="FH113" s="239">
        <f t="shared" si="76"/>
        <v>0</v>
      </c>
    </row>
    <row r="114" spans="1:164" x14ac:dyDescent="0.2">
      <c r="A114" s="10"/>
      <c r="B114" s="10"/>
      <c r="C114" s="201" t="s">
        <v>756</v>
      </c>
      <c r="D114" s="194"/>
      <c r="E114" s="194"/>
      <c r="F114" s="194"/>
      <c r="G114" s="194"/>
      <c r="H114" s="216"/>
      <c r="I114" s="217">
        <f t="shared" ref="I114:AN114" si="77">((YEAR(I$6)-YEAR($D$34))*12+MONTH(I$6)-MONTH($D$34)+1)</f>
        <v>-17</v>
      </c>
      <c r="J114" s="217">
        <f t="shared" si="77"/>
        <v>-16</v>
      </c>
      <c r="K114" s="217">
        <f t="shared" si="77"/>
        <v>-15</v>
      </c>
      <c r="L114" s="217">
        <f t="shared" si="77"/>
        <v>-14</v>
      </c>
      <c r="M114" s="217">
        <f t="shared" si="77"/>
        <v>-13</v>
      </c>
      <c r="N114" s="217">
        <f t="shared" si="77"/>
        <v>-12</v>
      </c>
      <c r="O114" s="217">
        <f t="shared" si="77"/>
        <v>-11</v>
      </c>
      <c r="P114" s="217">
        <f t="shared" si="77"/>
        <v>-10</v>
      </c>
      <c r="Q114" s="217">
        <f t="shared" si="77"/>
        <v>-9</v>
      </c>
      <c r="R114" s="217">
        <f t="shared" si="77"/>
        <v>-8</v>
      </c>
      <c r="S114" s="217">
        <f t="shared" si="77"/>
        <v>-7</v>
      </c>
      <c r="T114" s="217">
        <f t="shared" si="77"/>
        <v>-6</v>
      </c>
      <c r="U114" s="217">
        <f t="shared" si="77"/>
        <v>-5</v>
      </c>
      <c r="V114" s="217">
        <f t="shared" si="77"/>
        <v>-4</v>
      </c>
      <c r="W114" s="217">
        <f t="shared" si="77"/>
        <v>-3</v>
      </c>
      <c r="X114" s="217">
        <f t="shared" si="77"/>
        <v>-2</v>
      </c>
      <c r="Y114" s="217">
        <f t="shared" si="77"/>
        <v>-1</v>
      </c>
      <c r="Z114" s="217">
        <f t="shared" si="77"/>
        <v>0</v>
      </c>
      <c r="AA114" s="217">
        <f t="shared" si="77"/>
        <v>1</v>
      </c>
      <c r="AB114" s="217">
        <f t="shared" si="77"/>
        <v>2</v>
      </c>
      <c r="AC114" s="217">
        <f t="shared" si="77"/>
        <v>3</v>
      </c>
      <c r="AD114" s="217">
        <f t="shared" si="77"/>
        <v>4</v>
      </c>
      <c r="AE114" s="217">
        <f t="shared" si="77"/>
        <v>5</v>
      </c>
      <c r="AF114" s="217">
        <f t="shared" si="77"/>
        <v>6</v>
      </c>
      <c r="AG114" s="217">
        <f t="shared" si="77"/>
        <v>7</v>
      </c>
      <c r="AH114" s="217">
        <f t="shared" si="77"/>
        <v>8</v>
      </c>
      <c r="AI114" s="217">
        <f t="shared" si="77"/>
        <v>9</v>
      </c>
      <c r="AJ114" s="217">
        <f t="shared" si="77"/>
        <v>10</v>
      </c>
      <c r="AK114" s="217">
        <f t="shared" si="77"/>
        <v>11</v>
      </c>
      <c r="AL114" s="217">
        <f t="shared" si="77"/>
        <v>12</v>
      </c>
      <c r="AM114" s="217">
        <f t="shared" si="77"/>
        <v>13</v>
      </c>
      <c r="AN114" s="217">
        <f t="shared" si="77"/>
        <v>14</v>
      </c>
      <c r="AO114" s="217">
        <f t="shared" ref="AO114:BT114" si="78">((YEAR(AO$6)-YEAR($D$34))*12+MONTH(AO$6)-MONTH($D$34)+1)</f>
        <v>15</v>
      </c>
      <c r="AP114" s="217">
        <f t="shared" si="78"/>
        <v>16</v>
      </c>
      <c r="AQ114" s="217">
        <f t="shared" si="78"/>
        <v>17</v>
      </c>
      <c r="AR114" s="217">
        <f t="shared" si="78"/>
        <v>18</v>
      </c>
      <c r="AS114" s="217">
        <f t="shared" si="78"/>
        <v>19</v>
      </c>
      <c r="AT114" s="217">
        <f t="shared" si="78"/>
        <v>20</v>
      </c>
      <c r="AU114" s="217">
        <f t="shared" si="78"/>
        <v>21</v>
      </c>
      <c r="AV114" s="217">
        <f t="shared" si="78"/>
        <v>22</v>
      </c>
      <c r="AW114" s="217">
        <f t="shared" si="78"/>
        <v>23</v>
      </c>
      <c r="AX114" s="217">
        <f t="shared" si="78"/>
        <v>24</v>
      </c>
      <c r="AY114" s="217">
        <f t="shared" si="78"/>
        <v>25</v>
      </c>
      <c r="AZ114" s="217">
        <f t="shared" si="78"/>
        <v>26</v>
      </c>
      <c r="BA114" s="217">
        <f t="shared" si="78"/>
        <v>27</v>
      </c>
      <c r="BB114" s="217">
        <f t="shared" si="78"/>
        <v>28</v>
      </c>
      <c r="BC114" s="217">
        <f t="shared" si="78"/>
        <v>29</v>
      </c>
      <c r="BD114" s="217">
        <f t="shared" si="78"/>
        <v>30</v>
      </c>
      <c r="BE114" s="217">
        <f t="shared" si="78"/>
        <v>31</v>
      </c>
      <c r="BF114" s="217">
        <f t="shared" si="78"/>
        <v>32</v>
      </c>
      <c r="BG114" s="217">
        <f t="shared" si="78"/>
        <v>33</v>
      </c>
      <c r="BH114" s="217">
        <f t="shared" si="78"/>
        <v>34</v>
      </c>
      <c r="BI114" s="217">
        <f t="shared" si="78"/>
        <v>35</v>
      </c>
      <c r="BJ114" s="217">
        <f t="shared" si="78"/>
        <v>36</v>
      </c>
      <c r="BK114" s="217">
        <f t="shared" si="78"/>
        <v>37</v>
      </c>
      <c r="BL114" s="217">
        <f t="shared" si="78"/>
        <v>38</v>
      </c>
      <c r="BM114" s="217">
        <f t="shared" si="78"/>
        <v>39</v>
      </c>
      <c r="BN114" s="217">
        <f t="shared" si="78"/>
        <v>40</v>
      </c>
      <c r="BO114" s="217">
        <f t="shared" si="78"/>
        <v>41</v>
      </c>
      <c r="BP114" s="217">
        <f t="shared" si="78"/>
        <v>42</v>
      </c>
      <c r="BQ114" s="217">
        <f t="shared" si="78"/>
        <v>43</v>
      </c>
      <c r="BR114" s="217">
        <f t="shared" si="78"/>
        <v>44</v>
      </c>
      <c r="BS114" s="217">
        <f t="shared" si="78"/>
        <v>45</v>
      </c>
      <c r="BT114" s="217">
        <f t="shared" si="78"/>
        <v>46</v>
      </c>
      <c r="BU114" s="217">
        <f t="shared" ref="BU114:CZ114" si="79">((YEAR(BU$6)-YEAR($D$34))*12+MONTH(BU$6)-MONTH($D$34)+1)</f>
        <v>47</v>
      </c>
      <c r="BV114" s="217">
        <f t="shared" si="79"/>
        <v>48</v>
      </c>
      <c r="BW114" s="217">
        <f t="shared" si="79"/>
        <v>49</v>
      </c>
      <c r="BX114" s="217">
        <f t="shared" si="79"/>
        <v>50</v>
      </c>
      <c r="BY114" s="217">
        <f t="shared" si="79"/>
        <v>51</v>
      </c>
      <c r="BZ114" s="217">
        <f t="shared" si="79"/>
        <v>52</v>
      </c>
      <c r="CA114" s="217">
        <f t="shared" si="79"/>
        <v>53</v>
      </c>
      <c r="CB114" s="217">
        <f t="shared" si="79"/>
        <v>54</v>
      </c>
      <c r="CC114" s="217">
        <f t="shared" si="79"/>
        <v>55</v>
      </c>
      <c r="CD114" s="217">
        <f t="shared" si="79"/>
        <v>56</v>
      </c>
      <c r="CE114" s="217">
        <f t="shared" si="79"/>
        <v>57</v>
      </c>
      <c r="CF114" s="217">
        <f t="shared" si="79"/>
        <v>58</v>
      </c>
      <c r="CG114" s="217">
        <f t="shared" si="79"/>
        <v>59</v>
      </c>
      <c r="CH114" s="217">
        <f t="shared" si="79"/>
        <v>60</v>
      </c>
      <c r="CI114" s="217">
        <f t="shared" si="79"/>
        <v>61</v>
      </c>
      <c r="CJ114" s="217">
        <f t="shared" si="79"/>
        <v>62</v>
      </c>
      <c r="CK114" s="217">
        <f t="shared" si="79"/>
        <v>63</v>
      </c>
      <c r="CL114" s="217">
        <f t="shared" si="79"/>
        <v>64</v>
      </c>
      <c r="CM114" s="217">
        <f t="shared" si="79"/>
        <v>65</v>
      </c>
      <c r="CN114" s="217">
        <f t="shared" si="79"/>
        <v>66</v>
      </c>
      <c r="CO114" s="217">
        <f t="shared" si="79"/>
        <v>67</v>
      </c>
      <c r="CP114" s="217">
        <f t="shared" si="79"/>
        <v>68</v>
      </c>
      <c r="CQ114" s="217">
        <f t="shared" si="79"/>
        <v>69</v>
      </c>
      <c r="CR114" s="217">
        <f t="shared" si="79"/>
        <v>70</v>
      </c>
      <c r="CS114" s="217">
        <f t="shared" si="79"/>
        <v>71</v>
      </c>
      <c r="CT114" s="217">
        <f t="shared" si="79"/>
        <v>72</v>
      </c>
      <c r="CU114" s="217">
        <f t="shared" si="79"/>
        <v>73</v>
      </c>
      <c r="CV114" s="217">
        <f t="shared" si="79"/>
        <v>74</v>
      </c>
      <c r="CW114" s="217">
        <f t="shared" si="79"/>
        <v>75</v>
      </c>
      <c r="CX114" s="217">
        <f t="shared" si="79"/>
        <v>76</v>
      </c>
      <c r="CY114" s="217">
        <f t="shared" si="79"/>
        <v>77</v>
      </c>
      <c r="CZ114" s="217">
        <f t="shared" si="79"/>
        <v>78</v>
      </c>
      <c r="DA114" s="217">
        <f t="shared" ref="DA114:EF114" si="80">((YEAR(DA$6)-YEAR($D$34))*12+MONTH(DA$6)-MONTH($D$34)+1)</f>
        <v>79</v>
      </c>
      <c r="DB114" s="217">
        <f t="shared" si="80"/>
        <v>80</v>
      </c>
      <c r="DC114" s="217">
        <f t="shared" si="80"/>
        <v>81</v>
      </c>
      <c r="DD114" s="217">
        <f t="shared" si="80"/>
        <v>82</v>
      </c>
      <c r="DE114" s="217">
        <f t="shared" si="80"/>
        <v>83</v>
      </c>
      <c r="DF114" s="217">
        <f t="shared" si="80"/>
        <v>84</v>
      </c>
      <c r="DG114" s="217">
        <f t="shared" si="80"/>
        <v>85</v>
      </c>
      <c r="DH114" s="217">
        <f t="shared" si="80"/>
        <v>86</v>
      </c>
      <c r="DI114" s="217">
        <f t="shared" si="80"/>
        <v>87</v>
      </c>
      <c r="DJ114" s="217">
        <f t="shared" si="80"/>
        <v>88</v>
      </c>
      <c r="DK114" s="217">
        <f t="shared" si="80"/>
        <v>89</v>
      </c>
      <c r="DL114" s="217">
        <f t="shared" si="80"/>
        <v>90</v>
      </c>
      <c r="DM114" s="217">
        <f t="shared" si="80"/>
        <v>91</v>
      </c>
      <c r="DN114" s="217">
        <f t="shared" si="80"/>
        <v>92</v>
      </c>
      <c r="DO114" s="217">
        <f t="shared" si="80"/>
        <v>93</v>
      </c>
      <c r="DP114" s="217">
        <f t="shared" si="80"/>
        <v>94</v>
      </c>
      <c r="DQ114" s="217">
        <f t="shared" si="80"/>
        <v>95</v>
      </c>
      <c r="DR114" s="217">
        <f t="shared" si="80"/>
        <v>96</v>
      </c>
      <c r="DS114" s="217">
        <f t="shared" si="80"/>
        <v>97</v>
      </c>
      <c r="DT114" s="217">
        <f t="shared" si="80"/>
        <v>98</v>
      </c>
      <c r="DU114" s="217">
        <f t="shared" si="80"/>
        <v>99</v>
      </c>
      <c r="DV114" s="217">
        <f t="shared" si="80"/>
        <v>100</v>
      </c>
      <c r="DW114" s="217">
        <f t="shared" si="80"/>
        <v>101</v>
      </c>
      <c r="DX114" s="217">
        <f t="shared" si="80"/>
        <v>102</v>
      </c>
      <c r="DY114" s="217">
        <f t="shared" si="80"/>
        <v>103</v>
      </c>
      <c r="DZ114" s="217">
        <f t="shared" si="80"/>
        <v>104</v>
      </c>
      <c r="EA114" s="217">
        <f t="shared" si="80"/>
        <v>105</v>
      </c>
      <c r="EB114" s="217">
        <f t="shared" si="80"/>
        <v>106</v>
      </c>
      <c r="EC114" s="217">
        <f t="shared" si="80"/>
        <v>107</v>
      </c>
      <c r="ED114" s="217">
        <f t="shared" si="80"/>
        <v>108</v>
      </c>
      <c r="EE114" s="217">
        <f t="shared" si="80"/>
        <v>109</v>
      </c>
      <c r="EF114" s="217">
        <f t="shared" si="80"/>
        <v>110</v>
      </c>
      <c r="EG114" s="217">
        <f t="shared" ref="EG114:FH114" si="81">((YEAR(EG$6)-YEAR($D$34))*12+MONTH(EG$6)-MONTH($D$34)+1)</f>
        <v>111</v>
      </c>
      <c r="EH114" s="217">
        <f t="shared" si="81"/>
        <v>112</v>
      </c>
      <c r="EI114" s="217">
        <f t="shared" si="81"/>
        <v>113</v>
      </c>
      <c r="EJ114" s="217">
        <f t="shared" si="81"/>
        <v>114</v>
      </c>
      <c r="EK114" s="217">
        <f t="shared" si="81"/>
        <v>115</v>
      </c>
      <c r="EL114" s="217">
        <f t="shared" si="81"/>
        <v>116</v>
      </c>
      <c r="EM114" s="217">
        <f t="shared" si="81"/>
        <v>117</v>
      </c>
      <c r="EN114" s="217">
        <f t="shared" si="81"/>
        <v>118</v>
      </c>
      <c r="EO114" s="217">
        <f t="shared" si="81"/>
        <v>119</v>
      </c>
      <c r="EP114" s="217">
        <f t="shared" si="81"/>
        <v>120</v>
      </c>
      <c r="EQ114" s="217">
        <f t="shared" si="81"/>
        <v>121</v>
      </c>
      <c r="ER114" s="217">
        <f t="shared" si="81"/>
        <v>122</v>
      </c>
      <c r="ES114" s="217">
        <f t="shared" si="81"/>
        <v>123</v>
      </c>
      <c r="ET114" s="217">
        <f t="shared" si="81"/>
        <v>124</v>
      </c>
      <c r="EU114" s="217">
        <f t="shared" si="81"/>
        <v>125</v>
      </c>
      <c r="EV114" s="217">
        <f t="shared" si="81"/>
        <v>126</v>
      </c>
      <c r="EW114" s="217">
        <f t="shared" si="81"/>
        <v>127</v>
      </c>
      <c r="EX114" s="217">
        <f t="shared" si="81"/>
        <v>128</v>
      </c>
      <c r="EY114" s="217">
        <f t="shared" si="81"/>
        <v>129</v>
      </c>
      <c r="EZ114" s="217">
        <f t="shared" si="81"/>
        <v>130</v>
      </c>
      <c r="FA114" s="217">
        <f t="shared" si="81"/>
        <v>131</v>
      </c>
      <c r="FB114" s="217">
        <f t="shared" si="81"/>
        <v>132</v>
      </c>
      <c r="FC114" s="217">
        <f t="shared" si="81"/>
        <v>133</v>
      </c>
      <c r="FD114" s="217">
        <f t="shared" si="81"/>
        <v>134</v>
      </c>
      <c r="FE114" s="217">
        <f t="shared" si="81"/>
        <v>135</v>
      </c>
      <c r="FF114" s="217">
        <f t="shared" si="81"/>
        <v>136</v>
      </c>
      <c r="FG114" s="217">
        <f t="shared" si="81"/>
        <v>137</v>
      </c>
      <c r="FH114" s="217">
        <f t="shared" si="81"/>
        <v>138</v>
      </c>
    </row>
    <row r="115" spans="1:164" x14ac:dyDescent="0.2">
      <c r="A115" s="10"/>
      <c r="B115" s="10"/>
      <c r="C115" s="10" t="s">
        <v>757</v>
      </c>
      <c r="D115" s="10"/>
      <c r="E115" s="10"/>
      <c r="F115" s="10"/>
      <c r="G115" s="10"/>
      <c r="H115" s="18">
        <f t="shared" ref="H115:H124" si="82">SUM(I115:FH115)</f>
        <v>0.99999999999999989</v>
      </c>
      <c r="I115" s="51">
        <f t="shared" ref="I115:AN115" si="83">IF(AND(I114&gt;=1,I114&lt;=$D$31),SIN(PI()*(I114-0.5)/$D$31)*SIN(PI()/(2*$D$31)),0)</f>
        <v>0</v>
      </c>
      <c r="J115" s="51">
        <f t="shared" si="83"/>
        <v>0</v>
      </c>
      <c r="K115" s="51">
        <f t="shared" si="83"/>
        <v>0</v>
      </c>
      <c r="L115" s="51">
        <f t="shared" si="83"/>
        <v>0</v>
      </c>
      <c r="M115" s="51">
        <f t="shared" si="83"/>
        <v>0</v>
      </c>
      <c r="N115" s="51">
        <f t="shared" si="83"/>
        <v>0</v>
      </c>
      <c r="O115" s="51">
        <f t="shared" si="83"/>
        <v>0</v>
      </c>
      <c r="P115" s="51">
        <f t="shared" si="83"/>
        <v>0</v>
      </c>
      <c r="Q115" s="51">
        <f t="shared" si="83"/>
        <v>0</v>
      </c>
      <c r="R115" s="51">
        <f t="shared" si="83"/>
        <v>0</v>
      </c>
      <c r="S115" s="51">
        <f t="shared" si="83"/>
        <v>0</v>
      </c>
      <c r="T115" s="51">
        <f t="shared" si="83"/>
        <v>0</v>
      </c>
      <c r="U115" s="51">
        <f t="shared" si="83"/>
        <v>0</v>
      </c>
      <c r="V115" s="51">
        <f t="shared" si="83"/>
        <v>0</v>
      </c>
      <c r="W115" s="51">
        <f t="shared" si="83"/>
        <v>0</v>
      </c>
      <c r="X115" s="51">
        <f t="shared" si="83"/>
        <v>0</v>
      </c>
      <c r="Y115" s="51">
        <f t="shared" si="83"/>
        <v>0</v>
      </c>
      <c r="Z115" s="51">
        <f t="shared" si="83"/>
        <v>0</v>
      </c>
      <c r="AA115" s="51">
        <f t="shared" si="83"/>
        <v>2.7390523158633312E-3</v>
      </c>
      <c r="AB115" s="51">
        <f t="shared" si="83"/>
        <v>8.1871473172338491E-3</v>
      </c>
      <c r="AC115" s="51">
        <f t="shared" si="83"/>
        <v>1.354554221932603E-2</v>
      </c>
      <c r="AD115" s="51">
        <f t="shared" si="83"/>
        <v>1.8755529326276336E-2</v>
      </c>
      <c r="AE115" s="51">
        <f t="shared" si="83"/>
        <v>2.3760026929081121E-2</v>
      </c>
      <c r="AF115" s="51">
        <f t="shared" si="83"/>
        <v>2.8504204704745604E-2</v>
      </c>
      <c r="AG115" s="51">
        <f t="shared" si="83"/>
        <v>3.2936084448776597E-2</v>
      </c>
      <c r="AH115" s="51">
        <f t="shared" si="83"/>
        <v>3.7007109559268003E-2</v>
      </c>
      <c r="AI115" s="51">
        <f t="shared" si="83"/>
        <v>4.0672677033192536E-2</v>
      </c>
      <c r="AJ115" s="51">
        <f t="shared" si="83"/>
        <v>4.3892626146236555E-2</v>
      </c>
      <c r="AK115" s="51">
        <f t="shared" si="83"/>
        <v>4.6631678462099896E-2</v>
      </c>
      <c r="AL115" s="51">
        <f t="shared" si="83"/>
        <v>4.8859824350426385E-2</v>
      </c>
      <c r="AM115" s="51">
        <f t="shared" si="83"/>
        <v>5.055265177859404E-2</v>
      </c>
      <c r="AN115" s="51">
        <f t="shared" si="83"/>
        <v>5.1691613775052929E-2</v>
      </c>
      <c r="AO115" s="51">
        <f t="shared" ref="AO115:BT115" si="84">IF(AND(AO114&gt;=1,AO114&lt;=$D$31),SIN(PI()*(AO114-0.5)/$D$31)*SIN(PI()/(2*$D$31)),0)</f>
        <v>5.2264231633826728E-2</v>
      </c>
      <c r="AP115" s="51">
        <f t="shared" si="84"/>
        <v>5.2264231633826728E-2</v>
      </c>
      <c r="AQ115" s="51">
        <f t="shared" si="84"/>
        <v>5.1691613775052929E-2</v>
      </c>
      <c r="AR115" s="51">
        <f t="shared" si="84"/>
        <v>5.055265177859404E-2</v>
      </c>
      <c r="AS115" s="51">
        <f t="shared" si="84"/>
        <v>4.8859824350426385E-2</v>
      </c>
      <c r="AT115" s="51">
        <f t="shared" si="84"/>
        <v>4.6631678462099896E-2</v>
      </c>
      <c r="AU115" s="51">
        <f t="shared" si="84"/>
        <v>4.3892626146236575E-2</v>
      </c>
      <c r="AV115" s="51">
        <f t="shared" si="84"/>
        <v>4.0672677033192543E-2</v>
      </c>
      <c r="AW115" s="51">
        <f t="shared" si="84"/>
        <v>3.700710955926801E-2</v>
      </c>
      <c r="AX115" s="51">
        <f t="shared" si="84"/>
        <v>3.293608444877659E-2</v>
      </c>
      <c r="AY115" s="51">
        <f t="shared" si="84"/>
        <v>2.8504204704745621E-2</v>
      </c>
      <c r="AZ115" s="51">
        <f t="shared" si="84"/>
        <v>2.3760026929081125E-2</v>
      </c>
      <c r="BA115" s="51">
        <f t="shared" si="84"/>
        <v>1.8755529326276332E-2</v>
      </c>
      <c r="BB115" s="51">
        <f t="shared" si="84"/>
        <v>1.3545542219326022E-2</v>
      </c>
      <c r="BC115" s="51">
        <f t="shared" si="84"/>
        <v>8.1871473172338543E-3</v>
      </c>
      <c r="BD115" s="51">
        <f t="shared" si="84"/>
        <v>2.7390523158633299E-3</v>
      </c>
      <c r="BE115" s="51">
        <f t="shared" si="84"/>
        <v>0</v>
      </c>
      <c r="BF115" s="51">
        <f t="shared" si="84"/>
        <v>0</v>
      </c>
      <c r="BG115" s="51">
        <f t="shared" si="84"/>
        <v>0</v>
      </c>
      <c r="BH115" s="51">
        <f t="shared" si="84"/>
        <v>0</v>
      </c>
      <c r="BI115" s="51">
        <f t="shared" si="84"/>
        <v>0</v>
      </c>
      <c r="BJ115" s="51">
        <f t="shared" si="84"/>
        <v>0</v>
      </c>
      <c r="BK115" s="51">
        <f t="shared" si="84"/>
        <v>0</v>
      </c>
      <c r="BL115" s="51">
        <f t="shared" si="84"/>
        <v>0</v>
      </c>
      <c r="BM115" s="51">
        <f t="shared" si="84"/>
        <v>0</v>
      </c>
      <c r="BN115" s="51">
        <f t="shared" si="84"/>
        <v>0</v>
      </c>
      <c r="BO115" s="51">
        <f t="shared" si="84"/>
        <v>0</v>
      </c>
      <c r="BP115" s="51">
        <f t="shared" si="84"/>
        <v>0</v>
      </c>
      <c r="BQ115" s="51">
        <f t="shared" si="84"/>
        <v>0</v>
      </c>
      <c r="BR115" s="51">
        <f t="shared" si="84"/>
        <v>0</v>
      </c>
      <c r="BS115" s="51">
        <f t="shared" si="84"/>
        <v>0</v>
      </c>
      <c r="BT115" s="51">
        <f t="shared" si="84"/>
        <v>0</v>
      </c>
      <c r="BU115" s="51">
        <f t="shared" ref="BU115:CZ115" si="85">IF(AND(BU114&gt;=1,BU114&lt;=$D$31),SIN(PI()*(BU114-0.5)/$D$31)*SIN(PI()/(2*$D$31)),0)</f>
        <v>0</v>
      </c>
      <c r="BV115" s="51">
        <f t="shared" si="85"/>
        <v>0</v>
      </c>
      <c r="BW115" s="51">
        <f t="shared" si="85"/>
        <v>0</v>
      </c>
      <c r="BX115" s="51">
        <f t="shared" si="85"/>
        <v>0</v>
      </c>
      <c r="BY115" s="51">
        <f t="shared" si="85"/>
        <v>0</v>
      </c>
      <c r="BZ115" s="51">
        <f t="shared" si="85"/>
        <v>0</v>
      </c>
      <c r="CA115" s="51">
        <f t="shared" si="85"/>
        <v>0</v>
      </c>
      <c r="CB115" s="51">
        <f t="shared" si="85"/>
        <v>0</v>
      </c>
      <c r="CC115" s="51">
        <f t="shared" si="85"/>
        <v>0</v>
      </c>
      <c r="CD115" s="51">
        <f t="shared" si="85"/>
        <v>0</v>
      </c>
      <c r="CE115" s="51">
        <f t="shared" si="85"/>
        <v>0</v>
      </c>
      <c r="CF115" s="51">
        <f t="shared" si="85"/>
        <v>0</v>
      </c>
      <c r="CG115" s="51">
        <f t="shared" si="85"/>
        <v>0</v>
      </c>
      <c r="CH115" s="51">
        <f t="shared" si="85"/>
        <v>0</v>
      </c>
      <c r="CI115" s="51">
        <f t="shared" si="85"/>
        <v>0</v>
      </c>
      <c r="CJ115" s="51">
        <f t="shared" si="85"/>
        <v>0</v>
      </c>
      <c r="CK115" s="51">
        <f t="shared" si="85"/>
        <v>0</v>
      </c>
      <c r="CL115" s="51">
        <f t="shared" si="85"/>
        <v>0</v>
      </c>
      <c r="CM115" s="51">
        <f t="shared" si="85"/>
        <v>0</v>
      </c>
      <c r="CN115" s="51">
        <f t="shared" si="85"/>
        <v>0</v>
      </c>
      <c r="CO115" s="51">
        <f t="shared" si="85"/>
        <v>0</v>
      </c>
      <c r="CP115" s="51">
        <f t="shared" si="85"/>
        <v>0</v>
      </c>
      <c r="CQ115" s="51">
        <f t="shared" si="85"/>
        <v>0</v>
      </c>
      <c r="CR115" s="51">
        <f t="shared" si="85"/>
        <v>0</v>
      </c>
      <c r="CS115" s="51">
        <f t="shared" si="85"/>
        <v>0</v>
      </c>
      <c r="CT115" s="51">
        <f t="shared" si="85"/>
        <v>0</v>
      </c>
      <c r="CU115" s="51">
        <f t="shared" si="85"/>
        <v>0</v>
      </c>
      <c r="CV115" s="51">
        <f t="shared" si="85"/>
        <v>0</v>
      </c>
      <c r="CW115" s="51">
        <f t="shared" si="85"/>
        <v>0</v>
      </c>
      <c r="CX115" s="51">
        <f t="shared" si="85"/>
        <v>0</v>
      </c>
      <c r="CY115" s="51">
        <f t="shared" si="85"/>
        <v>0</v>
      </c>
      <c r="CZ115" s="51">
        <f t="shared" si="85"/>
        <v>0</v>
      </c>
      <c r="DA115" s="51">
        <f t="shared" ref="DA115:EF115" si="86">IF(AND(DA114&gt;=1,DA114&lt;=$D$31),SIN(PI()*(DA114-0.5)/$D$31)*SIN(PI()/(2*$D$31)),0)</f>
        <v>0</v>
      </c>
      <c r="DB115" s="51">
        <f t="shared" si="86"/>
        <v>0</v>
      </c>
      <c r="DC115" s="51">
        <f t="shared" si="86"/>
        <v>0</v>
      </c>
      <c r="DD115" s="51">
        <f t="shared" si="86"/>
        <v>0</v>
      </c>
      <c r="DE115" s="51">
        <f t="shared" si="86"/>
        <v>0</v>
      </c>
      <c r="DF115" s="51">
        <f t="shared" si="86"/>
        <v>0</v>
      </c>
      <c r="DG115" s="51">
        <f t="shared" si="86"/>
        <v>0</v>
      </c>
      <c r="DH115" s="51">
        <f t="shared" si="86"/>
        <v>0</v>
      </c>
      <c r="DI115" s="51">
        <f t="shared" si="86"/>
        <v>0</v>
      </c>
      <c r="DJ115" s="51">
        <f t="shared" si="86"/>
        <v>0</v>
      </c>
      <c r="DK115" s="51">
        <f t="shared" si="86"/>
        <v>0</v>
      </c>
      <c r="DL115" s="51">
        <f t="shared" si="86"/>
        <v>0</v>
      </c>
      <c r="DM115" s="51">
        <f t="shared" si="86"/>
        <v>0</v>
      </c>
      <c r="DN115" s="51">
        <f t="shared" si="86"/>
        <v>0</v>
      </c>
      <c r="DO115" s="51">
        <f t="shared" si="86"/>
        <v>0</v>
      </c>
      <c r="DP115" s="51">
        <f t="shared" si="86"/>
        <v>0</v>
      </c>
      <c r="DQ115" s="51">
        <f t="shared" si="86"/>
        <v>0</v>
      </c>
      <c r="DR115" s="51">
        <f t="shared" si="86"/>
        <v>0</v>
      </c>
      <c r="DS115" s="51">
        <f t="shared" si="86"/>
        <v>0</v>
      </c>
      <c r="DT115" s="51">
        <f t="shared" si="86"/>
        <v>0</v>
      </c>
      <c r="DU115" s="51">
        <f t="shared" si="86"/>
        <v>0</v>
      </c>
      <c r="DV115" s="51">
        <f t="shared" si="86"/>
        <v>0</v>
      </c>
      <c r="DW115" s="51">
        <f t="shared" si="86"/>
        <v>0</v>
      </c>
      <c r="DX115" s="51">
        <f t="shared" si="86"/>
        <v>0</v>
      </c>
      <c r="DY115" s="51">
        <f t="shared" si="86"/>
        <v>0</v>
      </c>
      <c r="DZ115" s="51">
        <f t="shared" si="86"/>
        <v>0</v>
      </c>
      <c r="EA115" s="51">
        <f t="shared" si="86"/>
        <v>0</v>
      </c>
      <c r="EB115" s="51">
        <f t="shared" si="86"/>
        <v>0</v>
      </c>
      <c r="EC115" s="51">
        <f t="shared" si="86"/>
        <v>0</v>
      </c>
      <c r="ED115" s="51">
        <f t="shared" si="86"/>
        <v>0</v>
      </c>
      <c r="EE115" s="51">
        <f t="shared" si="86"/>
        <v>0</v>
      </c>
      <c r="EF115" s="51">
        <f t="shared" si="86"/>
        <v>0</v>
      </c>
      <c r="EG115" s="51">
        <f t="shared" ref="EG115:FH115" si="87">IF(AND(EG114&gt;=1,EG114&lt;=$D$31),SIN(PI()*(EG114-0.5)/$D$31)*SIN(PI()/(2*$D$31)),0)</f>
        <v>0</v>
      </c>
      <c r="EH115" s="51">
        <f t="shared" si="87"/>
        <v>0</v>
      </c>
      <c r="EI115" s="51">
        <f t="shared" si="87"/>
        <v>0</v>
      </c>
      <c r="EJ115" s="51">
        <f t="shared" si="87"/>
        <v>0</v>
      </c>
      <c r="EK115" s="51">
        <f t="shared" si="87"/>
        <v>0</v>
      </c>
      <c r="EL115" s="51">
        <f t="shared" si="87"/>
        <v>0</v>
      </c>
      <c r="EM115" s="51">
        <f t="shared" si="87"/>
        <v>0</v>
      </c>
      <c r="EN115" s="51">
        <f t="shared" si="87"/>
        <v>0</v>
      </c>
      <c r="EO115" s="51">
        <f t="shared" si="87"/>
        <v>0</v>
      </c>
      <c r="EP115" s="51">
        <f t="shared" si="87"/>
        <v>0</v>
      </c>
      <c r="EQ115" s="51">
        <f t="shared" si="87"/>
        <v>0</v>
      </c>
      <c r="ER115" s="51">
        <f t="shared" si="87"/>
        <v>0</v>
      </c>
      <c r="ES115" s="51">
        <f t="shared" si="87"/>
        <v>0</v>
      </c>
      <c r="ET115" s="51">
        <f t="shared" si="87"/>
        <v>0</v>
      </c>
      <c r="EU115" s="51">
        <f t="shared" si="87"/>
        <v>0</v>
      </c>
      <c r="EV115" s="51">
        <f t="shared" si="87"/>
        <v>0</v>
      </c>
      <c r="EW115" s="51">
        <f t="shared" si="87"/>
        <v>0</v>
      </c>
      <c r="EX115" s="51">
        <f t="shared" si="87"/>
        <v>0</v>
      </c>
      <c r="EY115" s="51">
        <f t="shared" si="87"/>
        <v>0</v>
      </c>
      <c r="EZ115" s="51">
        <f t="shared" si="87"/>
        <v>0</v>
      </c>
      <c r="FA115" s="51">
        <f t="shared" si="87"/>
        <v>0</v>
      </c>
      <c r="FB115" s="51">
        <f t="shared" si="87"/>
        <v>0</v>
      </c>
      <c r="FC115" s="51">
        <f t="shared" si="87"/>
        <v>0</v>
      </c>
      <c r="FD115" s="51">
        <f t="shared" si="87"/>
        <v>0</v>
      </c>
      <c r="FE115" s="51">
        <f t="shared" si="87"/>
        <v>0</v>
      </c>
      <c r="FF115" s="51">
        <f t="shared" si="87"/>
        <v>0</v>
      </c>
      <c r="FG115" s="51">
        <f t="shared" si="87"/>
        <v>0</v>
      </c>
      <c r="FH115" s="51">
        <f t="shared" si="87"/>
        <v>0</v>
      </c>
    </row>
    <row r="116" spans="1:164" x14ac:dyDescent="0.2">
      <c r="A116" s="10"/>
      <c r="B116" s="10"/>
      <c r="C116" s="10" t="s">
        <v>910</v>
      </c>
      <c r="D116" s="10"/>
      <c r="E116" s="10"/>
      <c r="F116" s="10"/>
      <c r="G116" s="10"/>
      <c r="H116" s="12">
        <f t="shared" si="82"/>
        <v>-76364.999999999985</v>
      </c>
      <c r="I116" s="12">
        <f t="shared" ref="I116:AN116" si="88">-I115*($D$29+$D$30)</f>
        <v>0</v>
      </c>
      <c r="J116" s="12">
        <f t="shared" si="88"/>
        <v>0</v>
      </c>
      <c r="K116" s="12">
        <f t="shared" si="88"/>
        <v>0</v>
      </c>
      <c r="L116" s="12">
        <f t="shared" si="88"/>
        <v>0</v>
      </c>
      <c r="M116" s="12">
        <f t="shared" si="88"/>
        <v>0</v>
      </c>
      <c r="N116" s="12">
        <f t="shared" si="88"/>
        <v>0</v>
      </c>
      <c r="O116" s="12">
        <f t="shared" si="88"/>
        <v>0</v>
      </c>
      <c r="P116" s="12">
        <f t="shared" si="88"/>
        <v>0</v>
      </c>
      <c r="Q116" s="12">
        <f t="shared" si="88"/>
        <v>0</v>
      </c>
      <c r="R116" s="12">
        <f t="shared" si="88"/>
        <v>0</v>
      </c>
      <c r="S116" s="12">
        <f t="shared" si="88"/>
        <v>0</v>
      </c>
      <c r="T116" s="12">
        <f t="shared" si="88"/>
        <v>0</v>
      </c>
      <c r="U116" s="12">
        <f t="shared" si="88"/>
        <v>0</v>
      </c>
      <c r="V116" s="12">
        <f t="shared" si="88"/>
        <v>0</v>
      </c>
      <c r="W116" s="12">
        <f t="shared" si="88"/>
        <v>0</v>
      </c>
      <c r="X116" s="12">
        <f t="shared" si="88"/>
        <v>0</v>
      </c>
      <c r="Y116" s="12">
        <f t="shared" si="88"/>
        <v>0</v>
      </c>
      <c r="Z116" s="12">
        <f t="shared" si="88"/>
        <v>0</v>
      </c>
      <c r="AA116" s="12">
        <f t="shared" si="88"/>
        <v>-209.1677301009033</v>
      </c>
      <c r="AB116" s="12">
        <f t="shared" si="88"/>
        <v>-625.21150488056287</v>
      </c>
      <c r="AC116" s="12">
        <f t="shared" si="88"/>
        <v>-1034.4053315788324</v>
      </c>
      <c r="AD116" s="12">
        <f t="shared" si="88"/>
        <v>-1432.2659970010923</v>
      </c>
      <c r="AE116" s="12">
        <f t="shared" si="88"/>
        <v>-1814.4344564392798</v>
      </c>
      <c r="AF116" s="12">
        <f t="shared" si="88"/>
        <v>-2176.7235922778982</v>
      </c>
      <c r="AG116" s="12">
        <f t="shared" si="88"/>
        <v>-2515.1640889308246</v>
      </c>
      <c r="AH116" s="12">
        <f t="shared" si="88"/>
        <v>-2826.0479214935012</v>
      </c>
      <c r="AI116" s="12">
        <f t="shared" si="88"/>
        <v>-3105.9689816397481</v>
      </c>
      <c r="AJ116" s="12">
        <f t="shared" si="88"/>
        <v>-3351.8603956573543</v>
      </c>
      <c r="AK116" s="12">
        <f t="shared" si="88"/>
        <v>-3561.0281257582587</v>
      </c>
      <c r="AL116" s="12">
        <f t="shared" si="88"/>
        <v>-3731.1804865203108</v>
      </c>
      <c r="AM116" s="12">
        <f t="shared" si="88"/>
        <v>-3860.4532530723341</v>
      </c>
      <c r="AN116" s="12">
        <f t="shared" si="88"/>
        <v>-3947.4300859319169</v>
      </c>
      <c r="AO116" s="12">
        <f t="shared" ref="AO116:BT116" si="89">-AO115*($D$29+$D$30)</f>
        <v>-3991.1580487171782</v>
      </c>
      <c r="AP116" s="12">
        <f t="shared" si="89"/>
        <v>-3991.1580487171782</v>
      </c>
      <c r="AQ116" s="12">
        <f t="shared" si="89"/>
        <v>-3947.4300859319169</v>
      </c>
      <c r="AR116" s="12">
        <f t="shared" si="89"/>
        <v>-3860.4532530723341</v>
      </c>
      <c r="AS116" s="12">
        <f t="shared" si="89"/>
        <v>-3731.1804865203108</v>
      </c>
      <c r="AT116" s="12">
        <f t="shared" si="89"/>
        <v>-3561.0281257582587</v>
      </c>
      <c r="AU116" s="12">
        <f t="shared" si="89"/>
        <v>-3351.8603956573561</v>
      </c>
      <c r="AV116" s="12">
        <f t="shared" si="89"/>
        <v>-3105.9689816397486</v>
      </c>
      <c r="AW116" s="12">
        <f t="shared" si="89"/>
        <v>-2826.0479214935017</v>
      </c>
      <c r="AX116" s="12">
        <f t="shared" si="89"/>
        <v>-2515.1640889308242</v>
      </c>
      <c r="AY116" s="12">
        <f t="shared" si="89"/>
        <v>-2176.7235922778996</v>
      </c>
      <c r="AZ116" s="12">
        <f t="shared" si="89"/>
        <v>-1814.43445643928</v>
      </c>
      <c r="BA116" s="12">
        <f t="shared" si="89"/>
        <v>-1432.265997001092</v>
      </c>
      <c r="BB116" s="12">
        <f t="shared" si="89"/>
        <v>-1034.4053315788317</v>
      </c>
      <c r="BC116" s="12">
        <f t="shared" si="89"/>
        <v>-625.21150488056333</v>
      </c>
      <c r="BD116" s="12">
        <f t="shared" si="89"/>
        <v>-209.16773010090319</v>
      </c>
      <c r="BE116" s="12">
        <f t="shared" si="89"/>
        <v>0</v>
      </c>
      <c r="BF116" s="12">
        <f t="shared" si="89"/>
        <v>0</v>
      </c>
      <c r="BG116" s="12">
        <f t="shared" si="89"/>
        <v>0</v>
      </c>
      <c r="BH116" s="12">
        <f t="shared" si="89"/>
        <v>0</v>
      </c>
      <c r="BI116" s="12">
        <f t="shared" si="89"/>
        <v>0</v>
      </c>
      <c r="BJ116" s="12">
        <f t="shared" si="89"/>
        <v>0</v>
      </c>
      <c r="BK116" s="12">
        <f t="shared" si="89"/>
        <v>0</v>
      </c>
      <c r="BL116" s="12">
        <f t="shared" si="89"/>
        <v>0</v>
      </c>
      <c r="BM116" s="12">
        <f t="shared" si="89"/>
        <v>0</v>
      </c>
      <c r="BN116" s="12">
        <f t="shared" si="89"/>
        <v>0</v>
      </c>
      <c r="BO116" s="12">
        <f t="shared" si="89"/>
        <v>0</v>
      </c>
      <c r="BP116" s="12">
        <f t="shared" si="89"/>
        <v>0</v>
      </c>
      <c r="BQ116" s="12">
        <f t="shared" si="89"/>
        <v>0</v>
      </c>
      <c r="BR116" s="12">
        <f t="shared" si="89"/>
        <v>0</v>
      </c>
      <c r="BS116" s="12">
        <f t="shared" si="89"/>
        <v>0</v>
      </c>
      <c r="BT116" s="12">
        <f t="shared" si="89"/>
        <v>0</v>
      </c>
      <c r="BU116" s="12">
        <f t="shared" ref="BU116:CZ116" si="90">-BU115*($D$29+$D$30)</f>
        <v>0</v>
      </c>
      <c r="BV116" s="12">
        <f t="shared" si="90"/>
        <v>0</v>
      </c>
      <c r="BW116" s="12">
        <f t="shared" si="90"/>
        <v>0</v>
      </c>
      <c r="BX116" s="12">
        <f t="shared" si="90"/>
        <v>0</v>
      </c>
      <c r="BY116" s="12">
        <f t="shared" si="90"/>
        <v>0</v>
      </c>
      <c r="BZ116" s="12">
        <f t="shared" si="90"/>
        <v>0</v>
      </c>
      <c r="CA116" s="12">
        <f t="shared" si="90"/>
        <v>0</v>
      </c>
      <c r="CB116" s="12">
        <f t="shared" si="90"/>
        <v>0</v>
      </c>
      <c r="CC116" s="12">
        <f t="shared" si="90"/>
        <v>0</v>
      </c>
      <c r="CD116" s="12">
        <f t="shared" si="90"/>
        <v>0</v>
      </c>
      <c r="CE116" s="12">
        <f t="shared" si="90"/>
        <v>0</v>
      </c>
      <c r="CF116" s="12">
        <f t="shared" si="90"/>
        <v>0</v>
      </c>
      <c r="CG116" s="12">
        <f t="shared" si="90"/>
        <v>0</v>
      </c>
      <c r="CH116" s="12">
        <f t="shared" si="90"/>
        <v>0</v>
      </c>
      <c r="CI116" s="12">
        <f t="shared" si="90"/>
        <v>0</v>
      </c>
      <c r="CJ116" s="12">
        <f t="shared" si="90"/>
        <v>0</v>
      </c>
      <c r="CK116" s="12">
        <f t="shared" si="90"/>
        <v>0</v>
      </c>
      <c r="CL116" s="12">
        <f t="shared" si="90"/>
        <v>0</v>
      </c>
      <c r="CM116" s="12">
        <f t="shared" si="90"/>
        <v>0</v>
      </c>
      <c r="CN116" s="12">
        <f t="shared" si="90"/>
        <v>0</v>
      </c>
      <c r="CO116" s="12">
        <f t="shared" si="90"/>
        <v>0</v>
      </c>
      <c r="CP116" s="12">
        <f t="shared" si="90"/>
        <v>0</v>
      </c>
      <c r="CQ116" s="12">
        <f t="shared" si="90"/>
        <v>0</v>
      </c>
      <c r="CR116" s="12">
        <f t="shared" si="90"/>
        <v>0</v>
      </c>
      <c r="CS116" s="12">
        <f t="shared" si="90"/>
        <v>0</v>
      </c>
      <c r="CT116" s="12">
        <f t="shared" si="90"/>
        <v>0</v>
      </c>
      <c r="CU116" s="12">
        <f t="shared" si="90"/>
        <v>0</v>
      </c>
      <c r="CV116" s="12">
        <f t="shared" si="90"/>
        <v>0</v>
      </c>
      <c r="CW116" s="12">
        <f t="shared" si="90"/>
        <v>0</v>
      </c>
      <c r="CX116" s="12">
        <f t="shared" si="90"/>
        <v>0</v>
      </c>
      <c r="CY116" s="12">
        <f t="shared" si="90"/>
        <v>0</v>
      </c>
      <c r="CZ116" s="12">
        <f t="shared" si="90"/>
        <v>0</v>
      </c>
      <c r="DA116" s="12">
        <f t="shared" ref="DA116:EF116" si="91">-DA115*($D$29+$D$30)</f>
        <v>0</v>
      </c>
      <c r="DB116" s="12">
        <f t="shared" si="91"/>
        <v>0</v>
      </c>
      <c r="DC116" s="12">
        <f t="shared" si="91"/>
        <v>0</v>
      </c>
      <c r="DD116" s="12">
        <f t="shared" si="91"/>
        <v>0</v>
      </c>
      <c r="DE116" s="12">
        <f t="shared" si="91"/>
        <v>0</v>
      </c>
      <c r="DF116" s="12">
        <f t="shared" si="91"/>
        <v>0</v>
      </c>
      <c r="DG116" s="12">
        <f t="shared" si="91"/>
        <v>0</v>
      </c>
      <c r="DH116" s="12">
        <f t="shared" si="91"/>
        <v>0</v>
      </c>
      <c r="DI116" s="12">
        <f t="shared" si="91"/>
        <v>0</v>
      </c>
      <c r="DJ116" s="12">
        <f t="shared" si="91"/>
        <v>0</v>
      </c>
      <c r="DK116" s="12">
        <f t="shared" si="91"/>
        <v>0</v>
      </c>
      <c r="DL116" s="12">
        <f t="shared" si="91"/>
        <v>0</v>
      </c>
      <c r="DM116" s="12">
        <f t="shared" si="91"/>
        <v>0</v>
      </c>
      <c r="DN116" s="12">
        <f t="shared" si="91"/>
        <v>0</v>
      </c>
      <c r="DO116" s="12">
        <f t="shared" si="91"/>
        <v>0</v>
      </c>
      <c r="DP116" s="12">
        <f t="shared" si="91"/>
        <v>0</v>
      </c>
      <c r="DQ116" s="12">
        <f t="shared" si="91"/>
        <v>0</v>
      </c>
      <c r="DR116" s="12">
        <f t="shared" si="91"/>
        <v>0</v>
      </c>
      <c r="DS116" s="12">
        <f t="shared" si="91"/>
        <v>0</v>
      </c>
      <c r="DT116" s="12">
        <f t="shared" si="91"/>
        <v>0</v>
      </c>
      <c r="DU116" s="12">
        <f t="shared" si="91"/>
        <v>0</v>
      </c>
      <c r="DV116" s="12">
        <f t="shared" si="91"/>
        <v>0</v>
      </c>
      <c r="DW116" s="12">
        <f t="shared" si="91"/>
        <v>0</v>
      </c>
      <c r="DX116" s="12">
        <f t="shared" si="91"/>
        <v>0</v>
      </c>
      <c r="DY116" s="12">
        <f t="shared" si="91"/>
        <v>0</v>
      </c>
      <c r="DZ116" s="12">
        <f t="shared" si="91"/>
        <v>0</v>
      </c>
      <c r="EA116" s="12">
        <f t="shared" si="91"/>
        <v>0</v>
      </c>
      <c r="EB116" s="12">
        <f t="shared" si="91"/>
        <v>0</v>
      </c>
      <c r="EC116" s="12">
        <f t="shared" si="91"/>
        <v>0</v>
      </c>
      <c r="ED116" s="12">
        <f t="shared" si="91"/>
        <v>0</v>
      </c>
      <c r="EE116" s="12">
        <f t="shared" si="91"/>
        <v>0</v>
      </c>
      <c r="EF116" s="12">
        <f t="shared" si="91"/>
        <v>0</v>
      </c>
      <c r="EG116" s="12">
        <f t="shared" ref="EG116:FH116" si="92">-EG115*($D$29+$D$30)</f>
        <v>0</v>
      </c>
      <c r="EH116" s="12">
        <f t="shared" si="92"/>
        <v>0</v>
      </c>
      <c r="EI116" s="12">
        <f t="shared" si="92"/>
        <v>0</v>
      </c>
      <c r="EJ116" s="12">
        <f t="shared" si="92"/>
        <v>0</v>
      </c>
      <c r="EK116" s="12">
        <f t="shared" si="92"/>
        <v>0</v>
      </c>
      <c r="EL116" s="12">
        <f t="shared" si="92"/>
        <v>0</v>
      </c>
      <c r="EM116" s="12">
        <f t="shared" si="92"/>
        <v>0</v>
      </c>
      <c r="EN116" s="12">
        <f t="shared" si="92"/>
        <v>0</v>
      </c>
      <c r="EO116" s="12">
        <f t="shared" si="92"/>
        <v>0</v>
      </c>
      <c r="EP116" s="12">
        <f t="shared" si="92"/>
        <v>0</v>
      </c>
      <c r="EQ116" s="12">
        <f t="shared" si="92"/>
        <v>0</v>
      </c>
      <c r="ER116" s="12">
        <f t="shared" si="92"/>
        <v>0</v>
      </c>
      <c r="ES116" s="12">
        <f t="shared" si="92"/>
        <v>0</v>
      </c>
      <c r="ET116" s="12">
        <f t="shared" si="92"/>
        <v>0</v>
      </c>
      <c r="EU116" s="12">
        <f t="shared" si="92"/>
        <v>0</v>
      </c>
      <c r="EV116" s="12">
        <f t="shared" si="92"/>
        <v>0</v>
      </c>
      <c r="EW116" s="12">
        <f t="shared" si="92"/>
        <v>0</v>
      </c>
      <c r="EX116" s="12">
        <f t="shared" si="92"/>
        <v>0</v>
      </c>
      <c r="EY116" s="12">
        <f t="shared" si="92"/>
        <v>0</v>
      </c>
      <c r="EZ116" s="12">
        <f t="shared" si="92"/>
        <v>0</v>
      </c>
      <c r="FA116" s="12">
        <f t="shared" si="92"/>
        <v>0</v>
      </c>
      <c r="FB116" s="12">
        <f t="shared" si="92"/>
        <v>0</v>
      </c>
      <c r="FC116" s="12">
        <f t="shared" si="92"/>
        <v>0</v>
      </c>
      <c r="FD116" s="12">
        <f t="shared" si="92"/>
        <v>0</v>
      </c>
      <c r="FE116" s="12">
        <f t="shared" si="92"/>
        <v>0</v>
      </c>
      <c r="FF116" s="12">
        <f t="shared" si="92"/>
        <v>0</v>
      </c>
      <c r="FG116" s="12">
        <f t="shared" si="92"/>
        <v>0</v>
      </c>
      <c r="FH116" s="12">
        <f t="shared" si="92"/>
        <v>0</v>
      </c>
    </row>
    <row r="117" spans="1:164" x14ac:dyDescent="0.2">
      <c r="A117" s="10"/>
      <c r="B117" s="10"/>
      <c r="C117" s="10" t="s">
        <v>405</v>
      </c>
      <c r="D117" s="10"/>
      <c r="E117" s="10"/>
      <c r="F117" s="10"/>
      <c r="G117" s="10"/>
      <c r="H117" s="12">
        <f t="shared" si="82"/>
        <v>-1127.2999999999997</v>
      </c>
      <c r="I117" s="12">
        <f t="shared" ref="I117:AN117" si="93">-IF(AND(I$6&gt;=EDATE($D$34,-12),I$6&lt;$D$34),$D$56*$D$29/12,0)</f>
        <v>0</v>
      </c>
      <c r="J117" s="12">
        <f t="shared" si="93"/>
        <v>0</v>
      </c>
      <c r="K117" s="12">
        <f t="shared" si="93"/>
        <v>0</v>
      </c>
      <c r="L117" s="12">
        <f t="shared" si="93"/>
        <v>0</v>
      </c>
      <c r="M117" s="12">
        <f t="shared" si="93"/>
        <v>0</v>
      </c>
      <c r="N117" s="12">
        <f t="shared" si="93"/>
        <v>0</v>
      </c>
      <c r="O117" s="12">
        <f t="shared" si="93"/>
        <v>-93.941666666666663</v>
      </c>
      <c r="P117" s="12">
        <f t="shared" si="93"/>
        <v>-93.941666666666663</v>
      </c>
      <c r="Q117" s="12">
        <f t="shared" si="93"/>
        <v>-93.941666666666663</v>
      </c>
      <c r="R117" s="12">
        <f t="shared" si="93"/>
        <v>-93.941666666666663</v>
      </c>
      <c r="S117" s="12">
        <f t="shared" si="93"/>
        <v>-93.941666666666663</v>
      </c>
      <c r="T117" s="12">
        <f t="shared" si="93"/>
        <v>-93.941666666666663</v>
      </c>
      <c r="U117" s="12">
        <f t="shared" si="93"/>
        <v>-93.941666666666663</v>
      </c>
      <c r="V117" s="12">
        <f t="shared" si="93"/>
        <v>-93.941666666666663</v>
      </c>
      <c r="W117" s="12">
        <f t="shared" si="93"/>
        <v>-93.941666666666663</v>
      </c>
      <c r="X117" s="12">
        <f t="shared" si="93"/>
        <v>-93.941666666666663</v>
      </c>
      <c r="Y117" s="12">
        <f t="shared" si="93"/>
        <v>-93.941666666666663</v>
      </c>
      <c r="Z117" s="12">
        <f t="shared" si="93"/>
        <v>-93.941666666666663</v>
      </c>
      <c r="AA117" s="12">
        <f t="shared" si="93"/>
        <v>0</v>
      </c>
      <c r="AB117" s="12">
        <f t="shared" si="93"/>
        <v>0</v>
      </c>
      <c r="AC117" s="12">
        <f t="shared" si="93"/>
        <v>0</v>
      </c>
      <c r="AD117" s="12">
        <f t="shared" si="93"/>
        <v>0</v>
      </c>
      <c r="AE117" s="12">
        <f t="shared" si="93"/>
        <v>0</v>
      </c>
      <c r="AF117" s="12">
        <f t="shared" si="93"/>
        <v>0</v>
      </c>
      <c r="AG117" s="12">
        <f t="shared" si="93"/>
        <v>0</v>
      </c>
      <c r="AH117" s="12">
        <f t="shared" si="93"/>
        <v>0</v>
      </c>
      <c r="AI117" s="12">
        <f t="shared" si="93"/>
        <v>0</v>
      </c>
      <c r="AJ117" s="12">
        <f t="shared" si="93"/>
        <v>0</v>
      </c>
      <c r="AK117" s="12">
        <f t="shared" si="93"/>
        <v>0</v>
      </c>
      <c r="AL117" s="12">
        <f t="shared" si="93"/>
        <v>0</v>
      </c>
      <c r="AM117" s="12">
        <f t="shared" si="93"/>
        <v>0</v>
      </c>
      <c r="AN117" s="12">
        <f t="shared" si="93"/>
        <v>0</v>
      </c>
      <c r="AO117" s="12">
        <f t="shared" ref="AO117:BT117" si="94">-IF(AND(AO$6&gt;=EDATE($D$34,-12),AO$6&lt;$D$34),$D$56*$D$29/12,0)</f>
        <v>0</v>
      </c>
      <c r="AP117" s="12">
        <f t="shared" si="94"/>
        <v>0</v>
      </c>
      <c r="AQ117" s="12">
        <f t="shared" si="94"/>
        <v>0</v>
      </c>
      <c r="AR117" s="12">
        <f t="shared" si="94"/>
        <v>0</v>
      </c>
      <c r="AS117" s="12">
        <f t="shared" si="94"/>
        <v>0</v>
      </c>
      <c r="AT117" s="12">
        <f t="shared" si="94"/>
        <v>0</v>
      </c>
      <c r="AU117" s="12">
        <f t="shared" si="94"/>
        <v>0</v>
      </c>
      <c r="AV117" s="12">
        <f t="shared" si="94"/>
        <v>0</v>
      </c>
      <c r="AW117" s="12">
        <f t="shared" si="94"/>
        <v>0</v>
      </c>
      <c r="AX117" s="12">
        <f t="shared" si="94"/>
        <v>0</v>
      </c>
      <c r="AY117" s="12">
        <f t="shared" si="94"/>
        <v>0</v>
      </c>
      <c r="AZ117" s="12">
        <f t="shared" si="94"/>
        <v>0</v>
      </c>
      <c r="BA117" s="12">
        <f t="shared" si="94"/>
        <v>0</v>
      </c>
      <c r="BB117" s="12">
        <f t="shared" si="94"/>
        <v>0</v>
      </c>
      <c r="BC117" s="12">
        <f t="shared" si="94"/>
        <v>0</v>
      </c>
      <c r="BD117" s="12">
        <f t="shared" si="94"/>
        <v>0</v>
      </c>
      <c r="BE117" s="12">
        <f t="shared" si="94"/>
        <v>0</v>
      </c>
      <c r="BF117" s="12">
        <f t="shared" si="94"/>
        <v>0</v>
      </c>
      <c r="BG117" s="12">
        <f t="shared" si="94"/>
        <v>0</v>
      </c>
      <c r="BH117" s="12">
        <f t="shared" si="94"/>
        <v>0</v>
      </c>
      <c r="BI117" s="12">
        <f t="shared" si="94"/>
        <v>0</v>
      </c>
      <c r="BJ117" s="12">
        <f t="shared" si="94"/>
        <v>0</v>
      </c>
      <c r="BK117" s="12">
        <f t="shared" si="94"/>
        <v>0</v>
      </c>
      <c r="BL117" s="12">
        <f t="shared" si="94"/>
        <v>0</v>
      </c>
      <c r="BM117" s="12">
        <f t="shared" si="94"/>
        <v>0</v>
      </c>
      <c r="BN117" s="12">
        <f t="shared" si="94"/>
        <v>0</v>
      </c>
      <c r="BO117" s="12">
        <f t="shared" si="94"/>
        <v>0</v>
      </c>
      <c r="BP117" s="12">
        <f t="shared" si="94"/>
        <v>0</v>
      </c>
      <c r="BQ117" s="12">
        <f t="shared" si="94"/>
        <v>0</v>
      </c>
      <c r="BR117" s="12">
        <f t="shared" si="94"/>
        <v>0</v>
      </c>
      <c r="BS117" s="12">
        <f t="shared" si="94"/>
        <v>0</v>
      </c>
      <c r="BT117" s="12">
        <f t="shared" si="94"/>
        <v>0</v>
      </c>
      <c r="BU117" s="12">
        <f t="shared" ref="BU117:CZ117" si="95">-IF(AND(BU$6&gt;=EDATE($D$34,-12),BU$6&lt;$D$34),$D$56*$D$29/12,0)</f>
        <v>0</v>
      </c>
      <c r="BV117" s="12">
        <f t="shared" si="95"/>
        <v>0</v>
      </c>
      <c r="BW117" s="12">
        <f t="shared" si="95"/>
        <v>0</v>
      </c>
      <c r="BX117" s="12">
        <f t="shared" si="95"/>
        <v>0</v>
      </c>
      <c r="BY117" s="12">
        <f t="shared" si="95"/>
        <v>0</v>
      </c>
      <c r="BZ117" s="12">
        <f t="shared" si="95"/>
        <v>0</v>
      </c>
      <c r="CA117" s="12">
        <f t="shared" si="95"/>
        <v>0</v>
      </c>
      <c r="CB117" s="12">
        <f t="shared" si="95"/>
        <v>0</v>
      </c>
      <c r="CC117" s="12">
        <f t="shared" si="95"/>
        <v>0</v>
      </c>
      <c r="CD117" s="12">
        <f t="shared" si="95"/>
        <v>0</v>
      </c>
      <c r="CE117" s="12">
        <f t="shared" si="95"/>
        <v>0</v>
      </c>
      <c r="CF117" s="12">
        <f t="shared" si="95"/>
        <v>0</v>
      </c>
      <c r="CG117" s="12">
        <f t="shared" si="95"/>
        <v>0</v>
      </c>
      <c r="CH117" s="12">
        <f t="shared" si="95"/>
        <v>0</v>
      </c>
      <c r="CI117" s="12">
        <f t="shared" si="95"/>
        <v>0</v>
      </c>
      <c r="CJ117" s="12">
        <f t="shared" si="95"/>
        <v>0</v>
      </c>
      <c r="CK117" s="12">
        <f t="shared" si="95"/>
        <v>0</v>
      </c>
      <c r="CL117" s="12">
        <f t="shared" si="95"/>
        <v>0</v>
      </c>
      <c r="CM117" s="12">
        <f t="shared" si="95"/>
        <v>0</v>
      </c>
      <c r="CN117" s="12">
        <f t="shared" si="95"/>
        <v>0</v>
      </c>
      <c r="CO117" s="12">
        <f t="shared" si="95"/>
        <v>0</v>
      </c>
      <c r="CP117" s="12">
        <f t="shared" si="95"/>
        <v>0</v>
      </c>
      <c r="CQ117" s="12">
        <f t="shared" si="95"/>
        <v>0</v>
      </c>
      <c r="CR117" s="12">
        <f t="shared" si="95"/>
        <v>0</v>
      </c>
      <c r="CS117" s="12">
        <f t="shared" si="95"/>
        <v>0</v>
      </c>
      <c r="CT117" s="12">
        <f t="shared" si="95"/>
        <v>0</v>
      </c>
      <c r="CU117" s="12">
        <f t="shared" si="95"/>
        <v>0</v>
      </c>
      <c r="CV117" s="12">
        <f t="shared" si="95"/>
        <v>0</v>
      </c>
      <c r="CW117" s="12">
        <f t="shared" si="95"/>
        <v>0</v>
      </c>
      <c r="CX117" s="12">
        <f t="shared" si="95"/>
        <v>0</v>
      </c>
      <c r="CY117" s="12">
        <f t="shared" si="95"/>
        <v>0</v>
      </c>
      <c r="CZ117" s="12">
        <f t="shared" si="95"/>
        <v>0</v>
      </c>
      <c r="DA117" s="12">
        <f t="shared" ref="DA117:EF117" si="96">-IF(AND(DA$6&gt;=EDATE($D$34,-12),DA$6&lt;$D$34),$D$56*$D$29/12,0)</f>
        <v>0</v>
      </c>
      <c r="DB117" s="12">
        <f t="shared" si="96"/>
        <v>0</v>
      </c>
      <c r="DC117" s="12">
        <f t="shared" si="96"/>
        <v>0</v>
      </c>
      <c r="DD117" s="12">
        <f t="shared" si="96"/>
        <v>0</v>
      </c>
      <c r="DE117" s="12">
        <f t="shared" si="96"/>
        <v>0</v>
      </c>
      <c r="DF117" s="12">
        <f t="shared" si="96"/>
        <v>0</v>
      </c>
      <c r="DG117" s="12">
        <f t="shared" si="96"/>
        <v>0</v>
      </c>
      <c r="DH117" s="12">
        <f t="shared" si="96"/>
        <v>0</v>
      </c>
      <c r="DI117" s="12">
        <f t="shared" si="96"/>
        <v>0</v>
      </c>
      <c r="DJ117" s="12">
        <f t="shared" si="96"/>
        <v>0</v>
      </c>
      <c r="DK117" s="12">
        <f t="shared" si="96"/>
        <v>0</v>
      </c>
      <c r="DL117" s="12">
        <f t="shared" si="96"/>
        <v>0</v>
      </c>
      <c r="DM117" s="12">
        <f t="shared" si="96"/>
        <v>0</v>
      </c>
      <c r="DN117" s="12">
        <f t="shared" si="96"/>
        <v>0</v>
      </c>
      <c r="DO117" s="12">
        <f t="shared" si="96"/>
        <v>0</v>
      </c>
      <c r="DP117" s="12">
        <f t="shared" si="96"/>
        <v>0</v>
      </c>
      <c r="DQ117" s="12">
        <f t="shared" si="96"/>
        <v>0</v>
      </c>
      <c r="DR117" s="12">
        <f t="shared" si="96"/>
        <v>0</v>
      </c>
      <c r="DS117" s="12">
        <f t="shared" si="96"/>
        <v>0</v>
      </c>
      <c r="DT117" s="12">
        <f t="shared" si="96"/>
        <v>0</v>
      </c>
      <c r="DU117" s="12">
        <f t="shared" si="96"/>
        <v>0</v>
      </c>
      <c r="DV117" s="12">
        <f t="shared" si="96"/>
        <v>0</v>
      </c>
      <c r="DW117" s="12">
        <f t="shared" si="96"/>
        <v>0</v>
      </c>
      <c r="DX117" s="12">
        <f t="shared" si="96"/>
        <v>0</v>
      </c>
      <c r="DY117" s="12">
        <f t="shared" si="96"/>
        <v>0</v>
      </c>
      <c r="DZ117" s="12">
        <f t="shared" si="96"/>
        <v>0</v>
      </c>
      <c r="EA117" s="12">
        <f t="shared" si="96"/>
        <v>0</v>
      </c>
      <c r="EB117" s="12">
        <f t="shared" si="96"/>
        <v>0</v>
      </c>
      <c r="EC117" s="12">
        <f t="shared" si="96"/>
        <v>0</v>
      </c>
      <c r="ED117" s="12">
        <f t="shared" si="96"/>
        <v>0</v>
      </c>
      <c r="EE117" s="12">
        <f t="shared" si="96"/>
        <v>0</v>
      </c>
      <c r="EF117" s="12">
        <f t="shared" si="96"/>
        <v>0</v>
      </c>
      <c r="EG117" s="12">
        <f t="shared" ref="EG117:FH117" si="97">-IF(AND(EG$6&gt;=EDATE($D$34,-12),EG$6&lt;$D$34),$D$56*$D$29/12,0)</f>
        <v>0</v>
      </c>
      <c r="EH117" s="12">
        <f t="shared" si="97"/>
        <v>0</v>
      </c>
      <c r="EI117" s="12">
        <f t="shared" si="97"/>
        <v>0</v>
      </c>
      <c r="EJ117" s="12">
        <f t="shared" si="97"/>
        <v>0</v>
      </c>
      <c r="EK117" s="12">
        <f t="shared" si="97"/>
        <v>0</v>
      </c>
      <c r="EL117" s="12">
        <f t="shared" si="97"/>
        <v>0</v>
      </c>
      <c r="EM117" s="12">
        <f t="shared" si="97"/>
        <v>0</v>
      </c>
      <c r="EN117" s="12">
        <f t="shared" si="97"/>
        <v>0</v>
      </c>
      <c r="EO117" s="12">
        <f t="shared" si="97"/>
        <v>0</v>
      </c>
      <c r="EP117" s="12">
        <f t="shared" si="97"/>
        <v>0</v>
      </c>
      <c r="EQ117" s="12">
        <f t="shared" si="97"/>
        <v>0</v>
      </c>
      <c r="ER117" s="12">
        <f t="shared" si="97"/>
        <v>0</v>
      </c>
      <c r="ES117" s="12">
        <f t="shared" si="97"/>
        <v>0</v>
      </c>
      <c r="ET117" s="12">
        <f t="shared" si="97"/>
        <v>0</v>
      </c>
      <c r="EU117" s="12">
        <f t="shared" si="97"/>
        <v>0</v>
      </c>
      <c r="EV117" s="12">
        <f t="shared" si="97"/>
        <v>0</v>
      </c>
      <c r="EW117" s="12">
        <f t="shared" si="97"/>
        <v>0</v>
      </c>
      <c r="EX117" s="12">
        <f t="shared" si="97"/>
        <v>0</v>
      </c>
      <c r="EY117" s="12">
        <f t="shared" si="97"/>
        <v>0</v>
      </c>
      <c r="EZ117" s="12">
        <f t="shared" si="97"/>
        <v>0</v>
      </c>
      <c r="FA117" s="12">
        <f t="shared" si="97"/>
        <v>0</v>
      </c>
      <c r="FB117" s="12">
        <f t="shared" si="97"/>
        <v>0</v>
      </c>
      <c r="FC117" s="12">
        <f t="shared" si="97"/>
        <v>0</v>
      </c>
      <c r="FD117" s="12">
        <f t="shared" si="97"/>
        <v>0</v>
      </c>
      <c r="FE117" s="12">
        <f t="shared" si="97"/>
        <v>0</v>
      </c>
      <c r="FF117" s="12">
        <f t="shared" si="97"/>
        <v>0</v>
      </c>
      <c r="FG117" s="12">
        <f t="shared" si="97"/>
        <v>0</v>
      </c>
      <c r="FH117" s="12">
        <f t="shared" si="97"/>
        <v>0</v>
      </c>
    </row>
    <row r="118" spans="1:164" x14ac:dyDescent="0.2">
      <c r="A118" s="10"/>
      <c r="B118" s="10"/>
      <c r="C118" s="10" t="s">
        <v>911</v>
      </c>
      <c r="D118" s="10"/>
      <c r="E118" s="10"/>
      <c r="F118" s="10"/>
      <c r="G118" s="10"/>
      <c r="H118" s="12">
        <f t="shared" si="82"/>
        <v>-281.8250000000001</v>
      </c>
      <c r="I118" s="12">
        <f t="shared" ref="I118:AN118" si="98">-IF(AND(I114&gt;=1,I114&lt;=$D$31),$D$57*$D$29/$D$31,0)</f>
        <v>0</v>
      </c>
      <c r="J118" s="12">
        <f t="shared" si="98"/>
        <v>0</v>
      </c>
      <c r="K118" s="12">
        <f t="shared" si="98"/>
        <v>0</v>
      </c>
      <c r="L118" s="12">
        <f t="shared" si="98"/>
        <v>0</v>
      </c>
      <c r="M118" s="12">
        <f t="shared" si="98"/>
        <v>0</v>
      </c>
      <c r="N118" s="12">
        <f t="shared" si="98"/>
        <v>0</v>
      </c>
      <c r="O118" s="12">
        <f t="shared" si="98"/>
        <v>0</v>
      </c>
      <c r="P118" s="12">
        <f t="shared" si="98"/>
        <v>0</v>
      </c>
      <c r="Q118" s="12">
        <f t="shared" si="98"/>
        <v>0</v>
      </c>
      <c r="R118" s="12">
        <f t="shared" si="98"/>
        <v>0</v>
      </c>
      <c r="S118" s="12">
        <f t="shared" si="98"/>
        <v>0</v>
      </c>
      <c r="T118" s="12">
        <f t="shared" si="98"/>
        <v>0</v>
      </c>
      <c r="U118" s="12">
        <f t="shared" si="98"/>
        <v>0</v>
      </c>
      <c r="V118" s="12">
        <f t="shared" si="98"/>
        <v>0</v>
      </c>
      <c r="W118" s="12">
        <f t="shared" si="98"/>
        <v>0</v>
      </c>
      <c r="X118" s="12">
        <f t="shared" si="98"/>
        <v>0</v>
      </c>
      <c r="Y118" s="12">
        <f t="shared" si="98"/>
        <v>0</v>
      </c>
      <c r="Z118" s="12">
        <f t="shared" si="98"/>
        <v>0</v>
      </c>
      <c r="AA118" s="12">
        <f t="shared" si="98"/>
        <v>-9.394166666666667</v>
      </c>
      <c r="AB118" s="12">
        <f t="shared" si="98"/>
        <v>-9.394166666666667</v>
      </c>
      <c r="AC118" s="12">
        <f t="shared" si="98"/>
        <v>-9.394166666666667</v>
      </c>
      <c r="AD118" s="12">
        <f t="shared" si="98"/>
        <v>-9.394166666666667</v>
      </c>
      <c r="AE118" s="12">
        <f t="shared" si="98"/>
        <v>-9.394166666666667</v>
      </c>
      <c r="AF118" s="12">
        <f t="shared" si="98"/>
        <v>-9.394166666666667</v>
      </c>
      <c r="AG118" s="12">
        <f t="shared" si="98"/>
        <v>-9.394166666666667</v>
      </c>
      <c r="AH118" s="12">
        <f t="shared" si="98"/>
        <v>-9.394166666666667</v>
      </c>
      <c r="AI118" s="12">
        <f t="shared" si="98"/>
        <v>-9.394166666666667</v>
      </c>
      <c r="AJ118" s="12">
        <f t="shared" si="98"/>
        <v>-9.394166666666667</v>
      </c>
      <c r="AK118" s="12">
        <f t="shared" si="98"/>
        <v>-9.394166666666667</v>
      </c>
      <c r="AL118" s="12">
        <f t="shared" si="98"/>
        <v>-9.394166666666667</v>
      </c>
      <c r="AM118" s="12">
        <f t="shared" si="98"/>
        <v>-9.394166666666667</v>
      </c>
      <c r="AN118" s="12">
        <f t="shared" si="98"/>
        <v>-9.394166666666667</v>
      </c>
      <c r="AO118" s="12">
        <f t="shared" ref="AO118:BT118" si="99">-IF(AND(AO114&gt;=1,AO114&lt;=$D$31),$D$57*$D$29/$D$31,0)</f>
        <v>-9.394166666666667</v>
      </c>
      <c r="AP118" s="12">
        <f t="shared" si="99"/>
        <v>-9.394166666666667</v>
      </c>
      <c r="AQ118" s="12">
        <f t="shared" si="99"/>
        <v>-9.394166666666667</v>
      </c>
      <c r="AR118" s="12">
        <f t="shared" si="99"/>
        <v>-9.394166666666667</v>
      </c>
      <c r="AS118" s="12">
        <f t="shared" si="99"/>
        <v>-9.394166666666667</v>
      </c>
      <c r="AT118" s="12">
        <f t="shared" si="99"/>
        <v>-9.394166666666667</v>
      </c>
      <c r="AU118" s="12">
        <f t="shared" si="99"/>
        <v>-9.394166666666667</v>
      </c>
      <c r="AV118" s="12">
        <f t="shared" si="99"/>
        <v>-9.394166666666667</v>
      </c>
      <c r="AW118" s="12">
        <f t="shared" si="99"/>
        <v>-9.394166666666667</v>
      </c>
      <c r="AX118" s="12">
        <f t="shared" si="99"/>
        <v>-9.394166666666667</v>
      </c>
      <c r="AY118" s="12">
        <f t="shared" si="99"/>
        <v>-9.394166666666667</v>
      </c>
      <c r="AZ118" s="12">
        <f t="shared" si="99"/>
        <v>-9.394166666666667</v>
      </c>
      <c r="BA118" s="12">
        <f t="shared" si="99"/>
        <v>-9.394166666666667</v>
      </c>
      <c r="BB118" s="12">
        <f t="shared" si="99"/>
        <v>-9.394166666666667</v>
      </c>
      <c r="BC118" s="12">
        <f t="shared" si="99"/>
        <v>-9.394166666666667</v>
      </c>
      <c r="BD118" s="12">
        <f t="shared" si="99"/>
        <v>-9.394166666666667</v>
      </c>
      <c r="BE118" s="12">
        <f t="shared" si="99"/>
        <v>0</v>
      </c>
      <c r="BF118" s="12">
        <f t="shared" si="99"/>
        <v>0</v>
      </c>
      <c r="BG118" s="12">
        <f t="shared" si="99"/>
        <v>0</v>
      </c>
      <c r="BH118" s="12">
        <f t="shared" si="99"/>
        <v>0</v>
      </c>
      <c r="BI118" s="12">
        <f t="shared" si="99"/>
        <v>0</v>
      </c>
      <c r="BJ118" s="12">
        <f t="shared" si="99"/>
        <v>0</v>
      </c>
      <c r="BK118" s="12">
        <f t="shared" si="99"/>
        <v>0</v>
      </c>
      <c r="BL118" s="12">
        <f t="shared" si="99"/>
        <v>0</v>
      </c>
      <c r="BM118" s="12">
        <f t="shared" si="99"/>
        <v>0</v>
      </c>
      <c r="BN118" s="12">
        <f t="shared" si="99"/>
        <v>0</v>
      </c>
      <c r="BO118" s="12">
        <f t="shared" si="99"/>
        <v>0</v>
      </c>
      <c r="BP118" s="12">
        <f t="shared" si="99"/>
        <v>0</v>
      </c>
      <c r="BQ118" s="12">
        <f t="shared" si="99"/>
        <v>0</v>
      </c>
      <c r="BR118" s="12">
        <f t="shared" si="99"/>
        <v>0</v>
      </c>
      <c r="BS118" s="12">
        <f t="shared" si="99"/>
        <v>0</v>
      </c>
      <c r="BT118" s="12">
        <f t="shared" si="99"/>
        <v>0</v>
      </c>
      <c r="BU118" s="12">
        <f t="shared" ref="BU118:CZ118" si="100">-IF(AND(BU114&gt;=1,BU114&lt;=$D$31),$D$57*$D$29/$D$31,0)</f>
        <v>0</v>
      </c>
      <c r="BV118" s="12">
        <f t="shared" si="100"/>
        <v>0</v>
      </c>
      <c r="BW118" s="12">
        <f t="shared" si="100"/>
        <v>0</v>
      </c>
      <c r="BX118" s="12">
        <f t="shared" si="100"/>
        <v>0</v>
      </c>
      <c r="BY118" s="12">
        <f t="shared" si="100"/>
        <v>0</v>
      </c>
      <c r="BZ118" s="12">
        <f t="shared" si="100"/>
        <v>0</v>
      </c>
      <c r="CA118" s="12">
        <f t="shared" si="100"/>
        <v>0</v>
      </c>
      <c r="CB118" s="12">
        <f t="shared" si="100"/>
        <v>0</v>
      </c>
      <c r="CC118" s="12">
        <f t="shared" si="100"/>
        <v>0</v>
      </c>
      <c r="CD118" s="12">
        <f t="shared" si="100"/>
        <v>0</v>
      </c>
      <c r="CE118" s="12">
        <f t="shared" si="100"/>
        <v>0</v>
      </c>
      <c r="CF118" s="12">
        <f t="shared" si="100"/>
        <v>0</v>
      </c>
      <c r="CG118" s="12">
        <f t="shared" si="100"/>
        <v>0</v>
      </c>
      <c r="CH118" s="12">
        <f t="shared" si="100"/>
        <v>0</v>
      </c>
      <c r="CI118" s="12">
        <f t="shared" si="100"/>
        <v>0</v>
      </c>
      <c r="CJ118" s="12">
        <f t="shared" si="100"/>
        <v>0</v>
      </c>
      <c r="CK118" s="12">
        <f t="shared" si="100"/>
        <v>0</v>
      </c>
      <c r="CL118" s="12">
        <f t="shared" si="100"/>
        <v>0</v>
      </c>
      <c r="CM118" s="12">
        <f t="shared" si="100"/>
        <v>0</v>
      </c>
      <c r="CN118" s="12">
        <f t="shared" si="100"/>
        <v>0</v>
      </c>
      <c r="CO118" s="12">
        <f t="shared" si="100"/>
        <v>0</v>
      </c>
      <c r="CP118" s="12">
        <f t="shared" si="100"/>
        <v>0</v>
      </c>
      <c r="CQ118" s="12">
        <f t="shared" si="100"/>
        <v>0</v>
      </c>
      <c r="CR118" s="12">
        <f t="shared" si="100"/>
        <v>0</v>
      </c>
      <c r="CS118" s="12">
        <f t="shared" si="100"/>
        <v>0</v>
      </c>
      <c r="CT118" s="12">
        <f t="shared" si="100"/>
        <v>0</v>
      </c>
      <c r="CU118" s="12">
        <f t="shared" si="100"/>
        <v>0</v>
      </c>
      <c r="CV118" s="12">
        <f t="shared" si="100"/>
        <v>0</v>
      </c>
      <c r="CW118" s="12">
        <f t="shared" si="100"/>
        <v>0</v>
      </c>
      <c r="CX118" s="12">
        <f t="shared" si="100"/>
        <v>0</v>
      </c>
      <c r="CY118" s="12">
        <f t="shared" si="100"/>
        <v>0</v>
      </c>
      <c r="CZ118" s="12">
        <f t="shared" si="100"/>
        <v>0</v>
      </c>
      <c r="DA118" s="12">
        <f t="shared" ref="DA118:EF118" si="101">-IF(AND(DA114&gt;=1,DA114&lt;=$D$31),$D$57*$D$29/$D$31,0)</f>
        <v>0</v>
      </c>
      <c r="DB118" s="12">
        <f t="shared" si="101"/>
        <v>0</v>
      </c>
      <c r="DC118" s="12">
        <f t="shared" si="101"/>
        <v>0</v>
      </c>
      <c r="DD118" s="12">
        <f t="shared" si="101"/>
        <v>0</v>
      </c>
      <c r="DE118" s="12">
        <f t="shared" si="101"/>
        <v>0</v>
      </c>
      <c r="DF118" s="12">
        <f t="shared" si="101"/>
        <v>0</v>
      </c>
      <c r="DG118" s="12">
        <f t="shared" si="101"/>
        <v>0</v>
      </c>
      <c r="DH118" s="12">
        <f t="shared" si="101"/>
        <v>0</v>
      </c>
      <c r="DI118" s="12">
        <f t="shared" si="101"/>
        <v>0</v>
      </c>
      <c r="DJ118" s="12">
        <f t="shared" si="101"/>
        <v>0</v>
      </c>
      <c r="DK118" s="12">
        <f t="shared" si="101"/>
        <v>0</v>
      </c>
      <c r="DL118" s="12">
        <f t="shared" si="101"/>
        <v>0</v>
      </c>
      <c r="DM118" s="12">
        <f t="shared" si="101"/>
        <v>0</v>
      </c>
      <c r="DN118" s="12">
        <f t="shared" si="101"/>
        <v>0</v>
      </c>
      <c r="DO118" s="12">
        <f t="shared" si="101"/>
        <v>0</v>
      </c>
      <c r="DP118" s="12">
        <f t="shared" si="101"/>
        <v>0</v>
      </c>
      <c r="DQ118" s="12">
        <f t="shared" si="101"/>
        <v>0</v>
      </c>
      <c r="DR118" s="12">
        <f t="shared" si="101"/>
        <v>0</v>
      </c>
      <c r="DS118" s="12">
        <f t="shared" si="101"/>
        <v>0</v>
      </c>
      <c r="DT118" s="12">
        <f t="shared" si="101"/>
        <v>0</v>
      </c>
      <c r="DU118" s="12">
        <f t="shared" si="101"/>
        <v>0</v>
      </c>
      <c r="DV118" s="12">
        <f t="shared" si="101"/>
        <v>0</v>
      </c>
      <c r="DW118" s="12">
        <f t="shared" si="101"/>
        <v>0</v>
      </c>
      <c r="DX118" s="12">
        <f t="shared" si="101"/>
        <v>0</v>
      </c>
      <c r="DY118" s="12">
        <f t="shared" si="101"/>
        <v>0</v>
      </c>
      <c r="DZ118" s="12">
        <f t="shared" si="101"/>
        <v>0</v>
      </c>
      <c r="EA118" s="12">
        <f t="shared" si="101"/>
        <v>0</v>
      </c>
      <c r="EB118" s="12">
        <f t="shared" si="101"/>
        <v>0</v>
      </c>
      <c r="EC118" s="12">
        <f t="shared" si="101"/>
        <v>0</v>
      </c>
      <c r="ED118" s="12">
        <f t="shared" si="101"/>
        <v>0</v>
      </c>
      <c r="EE118" s="12">
        <f t="shared" si="101"/>
        <v>0</v>
      </c>
      <c r="EF118" s="12">
        <f t="shared" si="101"/>
        <v>0</v>
      </c>
      <c r="EG118" s="12">
        <f t="shared" ref="EG118:FH118" si="102">-IF(AND(EG114&gt;=1,EG114&lt;=$D$31),$D$57*$D$29/$D$31,0)</f>
        <v>0</v>
      </c>
      <c r="EH118" s="12">
        <f t="shared" si="102"/>
        <v>0</v>
      </c>
      <c r="EI118" s="12">
        <f t="shared" si="102"/>
        <v>0</v>
      </c>
      <c r="EJ118" s="12">
        <f t="shared" si="102"/>
        <v>0</v>
      </c>
      <c r="EK118" s="12">
        <f t="shared" si="102"/>
        <v>0</v>
      </c>
      <c r="EL118" s="12">
        <f t="shared" si="102"/>
        <v>0</v>
      </c>
      <c r="EM118" s="12">
        <f t="shared" si="102"/>
        <v>0</v>
      </c>
      <c r="EN118" s="12">
        <f t="shared" si="102"/>
        <v>0</v>
      </c>
      <c r="EO118" s="12">
        <f t="shared" si="102"/>
        <v>0</v>
      </c>
      <c r="EP118" s="12">
        <f t="shared" si="102"/>
        <v>0</v>
      </c>
      <c r="EQ118" s="12">
        <f t="shared" si="102"/>
        <v>0</v>
      </c>
      <c r="ER118" s="12">
        <f t="shared" si="102"/>
        <v>0</v>
      </c>
      <c r="ES118" s="12">
        <f t="shared" si="102"/>
        <v>0</v>
      </c>
      <c r="ET118" s="12">
        <f t="shared" si="102"/>
        <v>0</v>
      </c>
      <c r="EU118" s="12">
        <f t="shared" si="102"/>
        <v>0</v>
      </c>
      <c r="EV118" s="12">
        <f t="shared" si="102"/>
        <v>0</v>
      </c>
      <c r="EW118" s="12">
        <f t="shared" si="102"/>
        <v>0</v>
      </c>
      <c r="EX118" s="12">
        <f t="shared" si="102"/>
        <v>0</v>
      </c>
      <c r="EY118" s="12">
        <f t="shared" si="102"/>
        <v>0</v>
      </c>
      <c r="EZ118" s="12">
        <f t="shared" si="102"/>
        <v>0</v>
      </c>
      <c r="FA118" s="12">
        <f t="shared" si="102"/>
        <v>0</v>
      </c>
      <c r="FB118" s="12">
        <f t="shared" si="102"/>
        <v>0</v>
      </c>
      <c r="FC118" s="12">
        <f t="shared" si="102"/>
        <v>0</v>
      </c>
      <c r="FD118" s="12">
        <f t="shared" si="102"/>
        <v>0</v>
      </c>
      <c r="FE118" s="12">
        <f t="shared" si="102"/>
        <v>0</v>
      </c>
      <c r="FF118" s="12">
        <f t="shared" si="102"/>
        <v>0</v>
      </c>
      <c r="FG118" s="12">
        <f t="shared" si="102"/>
        <v>0</v>
      </c>
      <c r="FH118" s="12">
        <f t="shared" si="102"/>
        <v>0</v>
      </c>
    </row>
    <row r="119" spans="1:164" x14ac:dyDescent="0.2">
      <c r="A119" s="10"/>
      <c r="B119" s="10"/>
      <c r="C119" s="10" t="s">
        <v>912</v>
      </c>
      <c r="D119" s="10"/>
      <c r="E119" s="10"/>
      <c r="F119" s="10"/>
      <c r="G119" s="10"/>
      <c r="H119" s="12">
        <f t="shared" si="82"/>
        <v>-1690.9499999999991</v>
      </c>
      <c r="I119" s="12">
        <f t="shared" ref="I119:AN119" si="103">-I115*$D$58*$D$29</f>
        <v>0</v>
      </c>
      <c r="J119" s="12">
        <f t="shared" si="103"/>
        <v>0</v>
      </c>
      <c r="K119" s="12">
        <f t="shared" si="103"/>
        <v>0</v>
      </c>
      <c r="L119" s="12">
        <f t="shared" si="103"/>
        <v>0</v>
      </c>
      <c r="M119" s="12">
        <f t="shared" si="103"/>
        <v>0</v>
      </c>
      <c r="N119" s="12">
        <f t="shared" si="103"/>
        <v>0</v>
      </c>
      <c r="O119" s="12">
        <f t="shared" si="103"/>
        <v>0</v>
      </c>
      <c r="P119" s="12">
        <f t="shared" si="103"/>
        <v>0</v>
      </c>
      <c r="Q119" s="12">
        <f t="shared" si="103"/>
        <v>0</v>
      </c>
      <c r="R119" s="12">
        <f t="shared" si="103"/>
        <v>0</v>
      </c>
      <c r="S119" s="12">
        <f t="shared" si="103"/>
        <v>0</v>
      </c>
      <c r="T119" s="12">
        <f t="shared" si="103"/>
        <v>0</v>
      </c>
      <c r="U119" s="12">
        <f t="shared" si="103"/>
        <v>0</v>
      </c>
      <c r="V119" s="12">
        <f t="shared" si="103"/>
        <v>0</v>
      </c>
      <c r="W119" s="12">
        <f t="shared" si="103"/>
        <v>0</v>
      </c>
      <c r="X119" s="12">
        <f t="shared" si="103"/>
        <v>0</v>
      </c>
      <c r="Y119" s="12">
        <f t="shared" si="103"/>
        <v>0</v>
      </c>
      <c r="Z119" s="12">
        <f t="shared" si="103"/>
        <v>0</v>
      </c>
      <c r="AA119" s="12">
        <f t="shared" si="103"/>
        <v>-4.6316005135090998</v>
      </c>
      <c r="AB119" s="12">
        <f t="shared" si="103"/>
        <v>-13.844056756076577</v>
      </c>
      <c r="AC119" s="12">
        <f t="shared" si="103"/>
        <v>-22.904834615769349</v>
      </c>
      <c r="AD119" s="12">
        <f t="shared" si="103"/>
        <v>-31.714662314266967</v>
      </c>
      <c r="AE119" s="12">
        <f t="shared" si="103"/>
        <v>-40.177017535729725</v>
      </c>
      <c r="AF119" s="12">
        <f t="shared" si="103"/>
        <v>-48.199184945489577</v>
      </c>
      <c r="AG119" s="12">
        <f t="shared" si="103"/>
        <v>-55.69327199865878</v>
      </c>
      <c r="AH119" s="12">
        <f t="shared" si="103"/>
        <v>-62.577171909244221</v>
      </c>
      <c r="AI119" s="12">
        <f t="shared" si="103"/>
        <v>-68.775463229276909</v>
      </c>
      <c r="AJ119" s="12">
        <f t="shared" si="103"/>
        <v>-74.220236181978692</v>
      </c>
      <c r="AK119" s="12">
        <f t="shared" si="103"/>
        <v>-78.851836695487819</v>
      </c>
      <c r="AL119" s="12">
        <f t="shared" si="103"/>
        <v>-82.619519985353506</v>
      </c>
      <c r="AM119" s="12">
        <f t="shared" si="103"/>
        <v>-85.482006525013588</v>
      </c>
      <c r="AN119" s="12">
        <f t="shared" si="103"/>
        <v>-87.407934312925747</v>
      </c>
      <c r="AO119" s="12">
        <f t="shared" ref="AO119:BT119" si="104">-AO115*$D$58*$D$29</f>
        <v>-88.376202481219295</v>
      </c>
      <c r="AP119" s="12">
        <f t="shared" si="104"/>
        <v>-88.376202481219295</v>
      </c>
      <c r="AQ119" s="12">
        <f t="shared" si="104"/>
        <v>-87.407934312925747</v>
      </c>
      <c r="AR119" s="12">
        <f t="shared" si="104"/>
        <v>-85.482006525013588</v>
      </c>
      <c r="AS119" s="12">
        <f t="shared" si="104"/>
        <v>-82.619519985353506</v>
      </c>
      <c r="AT119" s="12">
        <f t="shared" si="104"/>
        <v>-78.851836695487819</v>
      </c>
      <c r="AU119" s="12">
        <f t="shared" si="104"/>
        <v>-74.220236181978734</v>
      </c>
      <c r="AV119" s="12">
        <f t="shared" si="104"/>
        <v>-68.775463229276923</v>
      </c>
      <c r="AW119" s="12">
        <f t="shared" si="104"/>
        <v>-62.577171909244235</v>
      </c>
      <c r="AX119" s="12">
        <f t="shared" si="104"/>
        <v>-55.693271998658766</v>
      </c>
      <c r="AY119" s="12">
        <f t="shared" si="104"/>
        <v>-48.199184945489606</v>
      </c>
      <c r="AZ119" s="12">
        <f t="shared" si="104"/>
        <v>-40.177017535729732</v>
      </c>
      <c r="BA119" s="12">
        <f t="shared" si="104"/>
        <v>-31.71466231426696</v>
      </c>
      <c r="BB119" s="12">
        <f t="shared" si="104"/>
        <v>-22.904834615769335</v>
      </c>
      <c r="BC119" s="12">
        <f t="shared" si="104"/>
        <v>-13.844056756076586</v>
      </c>
      <c r="BD119" s="12">
        <f t="shared" si="104"/>
        <v>-4.6316005135090972</v>
      </c>
      <c r="BE119" s="12">
        <f t="shared" si="104"/>
        <v>0</v>
      </c>
      <c r="BF119" s="12">
        <f t="shared" si="104"/>
        <v>0</v>
      </c>
      <c r="BG119" s="12">
        <f t="shared" si="104"/>
        <v>0</v>
      </c>
      <c r="BH119" s="12">
        <f t="shared" si="104"/>
        <v>0</v>
      </c>
      <c r="BI119" s="12">
        <f t="shared" si="104"/>
        <v>0</v>
      </c>
      <c r="BJ119" s="12">
        <f t="shared" si="104"/>
        <v>0</v>
      </c>
      <c r="BK119" s="12">
        <f t="shared" si="104"/>
        <v>0</v>
      </c>
      <c r="BL119" s="12">
        <f t="shared" si="104"/>
        <v>0</v>
      </c>
      <c r="BM119" s="12">
        <f t="shared" si="104"/>
        <v>0</v>
      </c>
      <c r="BN119" s="12">
        <f t="shared" si="104"/>
        <v>0</v>
      </c>
      <c r="BO119" s="12">
        <f t="shared" si="104"/>
        <v>0</v>
      </c>
      <c r="BP119" s="12">
        <f t="shared" si="104"/>
        <v>0</v>
      </c>
      <c r="BQ119" s="12">
        <f t="shared" si="104"/>
        <v>0</v>
      </c>
      <c r="BR119" s="12">
        <f t="shared" si="104"/>
        <v>0</v>
      </c>
      <c r="BS119" s="12">
        <f t="shared" si="104"/>
        <v>0</v>
      </c>
      <c r="BT119" s="12">
        <f t="shared" si="104"/>
        <v>0</v>
      </c>
      <c r="BU119" s="12">
        <f t="shared" ref="BU119:CZ119" si="105">-BU115*$D$58*$D$29</f>
        <v>0</v>
      </c>
      <c r="BV119" s="12">
        <f t="shared" si="105"/>
        <v>0</v>
      </c>
      <c r="BW119" s="12">
        <f t="shared" si="105"/>
        <v>0</v>
      </c>
      <c r="BX119" s="12">
        <f t="shared" si="105"/>
        <v>0</v>
      </c>
      <c r="BY119" s="12">
        <f t="shared" si="105"/>
        <v>0</v>
      </c>
      <c r="BZ119" s="12">
        <f t="shared" si="105"/>
        <v>0</v>
      </c>
      <c r="CA119" s="12">
        <f t="shared" si="105"/>
        <v>0</v>
      </c>
      <c r="CB119" s="12">
        <f t="shared" si="105"/>
        <v>0</v>
      </c>
      <c r="CC119" s="12">
        <f t="shared" si="105"/>
        <v>0</v>
      </c>
      <c r="CD119" s="12">
        <f t="shared" si="105"/>
        <v>0</v>
      </c>
      <c r="CE119" s="12">
        <f t="shared" si="105"/>
        <v>0</v>
      </c>
      <c r="CF119" s="12">
        <f t="shared" si="105"/>
        <v>0</v>
      </c>
      <c r="CG119" s="12">
        <f t="shared" si="105"/>
        <v>0</v>
      </c>
      <c r="CH119" s="12">
        <f t="shared" si="105"/>
        <v>0</v>
      </c>
      <c r="CI119" s="12">
        <f t="shared" si="105"/>
        <v>0</v>
      </c>
      <c r="CJ119" s="12">
        <f t="shared" si="105"/>
        <v>0</v>
      </c>
      <c r="CK119" s="12">
        <f t="shared" si="105"/>
        <v>0</v>
      </c>
      <c r="CL119" s="12">
        <f t="shared" si="105"/>
        <v>0</v>
      </c>
      <c r="CM119" s="12">
        <f t="shared" si="105"/>
        <v>0</v>
      </c>
      <c r="CN119" s="12">
        <f t="shared" si="105"/>
        <v>0</v>
      </c>
      <c r="CO119" s="12">
        <f t="shared" si="105"/>
        <v>0</v>
      </c>
      <c r="CP119" s="12">
        <f t="shared" si="105"/>
        <v>0</v>
      </c>
      <c r="CQ119" s="12">
        <f t="shared" si="105"/>
        <v>0</v>
      </c>
      <c r="CR119" s="12">
        <f t="shared" si="105"/>
        <v>0</v>
      </c>
      <c r="CS119" s="12">
        <f t="shared" si="105"/>
        <v>0</v>
      </c>
      <c r="CT119" s="12">
        <f t="shared" si="105"/>
        <v>0</v>
      </c>
      <c r="CU119" s="12">
        <f t="shared" si="105"/>
        <v>0</v>
      </c>
      <c r="CV119" s="12">
        <f t="shared" si="105"/>
        <v>0</v>
      </c>
      <c r="CW119" s="12">
        <f t="shared" si="105"/>
        <v>0</v>
      </c>
      <c r="CX119" s="12">
        <f t="shared" si="105"/>
        <v>0</v>
      </c>
      <c r="CY119" s="12">
        <f t="shared" si="105"/>
        <v>0</v>
      </c>
      <c r="CZ119" s="12">
        <f t="shared" si="105"/>
        <v>0</v>
      </c>
      <c r="DA119" s="12">
        <f t="shared" ref="DA119:EF119" si="106">-DA115*$D$58*$D$29</f>
        <v>0</v>
      </c>
      <c r="DB119" s="12">
        <f t="shared" si="106"/>
        <v>0</v>
      </c>
      <c r="DC119" s="12">
        <f t="shared" si="106"/>
        <v>0</v>
      </c>
      <c r="DD119" s="12">
        <f t="shared" si="106"/>
        <v>0</v>
      </c>
      <c r="DE119" s="12">
        <f t="shared" si="106"/>
        <v>0</v>
      </c>
      <c r="DF119" s="12">
        <f t="shared" si="106"/>
        <v>0</v>
      </c>
      <c r="DG119" s="12">
        <f t="shared" si="106"/>
        <v>0</v>
      </c>
      <c r="DH119" s="12">
        <f t="shared" si="106"/>
        <v>0</v>
      </c>
      <c r="DI119" s="12">
        <f t="shared" si="106"/>
        <v>0</v>
      </c>
      <c r="DJ119" s="12">
        <f t="shared" si="106"/>
        <v>0</v>
      </c>
      <c r="DK119" s="12">
        <f t="shared" si="106"/>
        <v>0</v>
      </c>
      <c r="DL119" s="12">
        <f t="shared" si="106"/>
        <v>0</v>
      </c>
      <c r="DM119" s="12">
        <f t="shared" si="106"/>
        <v>0</v>
      </c>
      <c r="DN119" s="12">
        <f t="shared" si="106"/>
        <v>0</v>
      </c>
      <c r="DO119" s="12">
        <f t="shared" si="106"/>
        <v>0</v>
      </c>
      <c r="DP119" s="12">
        <f t="shared" si="106"/>
        <v>0</v>
      </c>
      <c r="DQ119" s="12">
        <f t="shared" si="106"/>
        <v>0</v>
      </c>
      <c r="DR119" s="12">
        <f t="shared" si="106"/>
        <v>0</v>
      </c>
      <c r="DS119" s="12">
        <f t="shared" si="106"/>
        <v>0</v>
      </c>
      <c r="DT119" s="12">
        <f t="shared" si="106"/>
        <v>0</v>
      </c>
      <c r="DU119" s="12">
        <f t="shared" si="106"/>
        <v>0</v>
      </c>
      <c r="DV119" s="12">
        <f t="shared" si="106"/>
        <v>0</v>
      </c>
      <c r="DW119" s="12">
        <f t="shared" si="106"/>
        <v>0</v>
      </c>
      <c r="DX119" s="12">
        <f t="shared" si="106"/>
        <v>0</v>
      </c>
      <c r="DY119" s="12">
        <f t="shared" si="106"/>
        <v>0</v>
      </c>
      <c r="DZ119" s="12">
        <f t="shared" si="106"/>
        <v>0</v>
      </c>
      <c r="EA119" s="12">
        <f t="shared" si="106"/>
        <v>0</v>
      </c>
      <c r="EB119" s="12">
        <f t="shared" si="106"/>
        <v>0</v>
      </c>
      <c r="EC119" s="12">
        <f t="shared" si="106"/>
        <v>0</v>
      </c>
      <c r="ED119" s="12">
        <f t="shared" si="106"/>
        <v>0</v>
      </c>
      <c r="EE119" s="12">
        <f t="shared" si="106"/>
        <v>0</v>
      </c>
      <c r="EF119" s="12">
        <f t="shared" si="106"/>
        <v>0</v>
      </c>
      <c r="EG119" s="12">
        <f t="shared" ref="EG119:FH119" si="107">-EG115*$D$58*$D$29</f>
        <v>0</v>
      </c>
      <c r="EH119" s="12">
        <f t="shared" si="107"/>
        <v>0</v>
      </c>
      <c r="EI119" s="12">
        <f t="shared" si="107"/>
        <v>0</v>
      </c>
      <c r="EJ119" s="12">
        <f t="shared" si="107"/>
        <v>0</v>
      </c>
      <c r="EK119" s="12">
        <f t="shared" si="107"/>
        <v>0</v>
      </c>
      <c r="EL119" s="12">
        <f t="shared" si="107"/>
        <v>0</v>
      </c>
      <c r="EM119" s="12">
        <f t="shared" si="107"/>
        <v>0</v>
      </c>
      <c r="EN119" s="12">
        <f t="shared" si="107"/>
        <v>0</v>
      </c>
      <c r="EO119" s="12">
        <f t="shared" si="107"/>
        <v>0</v>
      </c>
      <c r="EP119" s="12">
        <f t="shared" si="107"/>
        <v>0</v>
      </c>
      <c r="EQ119" s="12">
        <f t="shared" si="107"/>
        <v>0</v>
      </c>
      <c r="ER119" s="12">
        <f t="shared" si="107"/>
        <v>0</v>
      </c>
      <c r="ES119" s="12">
        <f t="shared" si="107"/>
        <v>0</v>
      </c>
      <c r="ET119" s="12">
        <f t="shared" si="107"/>
        <v>0</v>
      </c>
      <c r="EU119" s="12">
        <f t="shared" si="107"/>
        <v>0</v>
      </c>
      <c r="EV119" s="12">
        <f t="shared" si="107"/>
        <v>0</v>
      </c>
      <c r="EW119" s="12">
        <f t="shared" si="107"/>
        <v>0</v>
      </c>
      <c r="EX119" s="12">
        <f t="shared" si="107"/>
        <v>0</v>
      </c>
      <c r="EY119" s="12">
        <f t="shared" si="107"/>
        <v>0</v>
      </c>
      <c r="EZ119" s="12">
        <f t="shared" si="107"/>
        <v>0</v>
      </c>
      <c r="FA119" s="12">
        <f t="shared" si="107"/>
        <v>0</v>
      </c>
      <c r="FB119" s="12">
        <f t="shared" si="107"/>
        <v>0</v>
      </c>
      <c r="FC119" s="12">
        <f t="shared" si="107"/>
        <v>0</v>
      </c>
      <c r="FD119" s="12">
        <f t="shared" si="107"/>
        <v>0</v>
      </c>
      <c r="FE119" s="12">
        <f t="shared" si="107"/>
        <v>0</v>
      </c>
      <c r="FF119" s="12">
        <f t="shared" si="107"/>
        <v>0</v>
      </c>
      <c r="FG119" s="12">
        <f t="shared" si="107"/>
        <v>0</v>
      </c>
      <c r="FH119" s="12">
        <f t="shared" si="107"/>
        <v>0</v>
      </c>
    </row>
    <row r="120" spans="1:164" x14ac:dyDescent="0.2">
      <c r="A120" s="10"/>
      <c r="B120" s="10"/>
      <c r="C120" s="10" t="s">
        <v>913</v>
      </c>
      <c r="D120" s="10"/>
      <c r="E120" s="10"/>
      <c r="F120" s="10"/>
      <c r="G120" s="10"/>
      <c r="H120" s="12">
        <f t="shared" si="82"/>
        <v>-8983.9999999999945</v>
      </c>
      <c r="I120" s="12">
        <f t="shared" ref="I120:AN120" si="108">-IF(AND(I114&gt;=1,I114&lt;=$D$31),$D$59*$D$23/$D$31,0)</f>
        <v>0</v>
      </c>
      <c r="J120" s="12">
        <f t="shared" si="108"/>
        <v>0</v>
      </c>
      <c r="K120" s="12">
        <f t="shared" si="108"/>
        <v>0</v>
      </c>
      <c r="L120" s="12">
        <f t="shared" si="108"/>
        <v>0</v>
      </c>
      <c r="M120" s="12">
        <f t="shared" si="108"/>
        <v>0</v>
      </c>
      <c r="N120" s="12">
        <f t="shared" si="108"/>
        <v>0</v>
      </c>
      <c r="O120" s="12">
        <f t="shared" si="108"/>
        <v>0</v>
      </c>
      <c r="P120" s="12">
        <f t="shared" si="108"/>
        <v>0</v>
      </c>
      <c r="Q120" s="12">
        <f t="shared" si="108"/>
        <v>0</v>
      </c>
      <c r="R120" s="12">
        <f t="shared" si="108"/>
        <v>0</v>
      </c>
      <c r="S120" s="12">
        <f t="shared" si="108"/>
        <v>0</v>
      </c>
      <c r="T120" s="12">
        <f t="shared" si="108"/>
        <v>0</v>
      </c>
      <c r="U120" s="12">
        <f t="shared" si="108"/>
        <v>0</v>
      </c>
      <c r="V120" s="12">
        <f t="shared" si="108"/>
        <v>0</v>
      </c>
      <c r="W120" s="12">
        <f t="shared" si="108"/>
        <v>0</v>
      </c>
      <c r="X120" s="12">
        <f t="shared" si="108"/>
        <v>0</v>
      </c>
      <c r="Y120" s="12">
        <f t="shared" si="108"/>
        <v>0</v>
      </c>
      <c r="Z120" s="12">
        <f t="shared" si="108"/>
        <v>0</v>
      </c>
      <c r="AA120" s="12">
        <f t="shared" si="108"/>
        <v>-299.46666666666664</v>
      </c>
      <c r="AB120" s="12">
        <f t="shared" si="108"/>
        <v>-299.46666666666664</v>
      </c>
      <c r="AC120" s="12">
        <f t="shared" si="108"/>
        <v>-299.46666666666664</v>
      </c>
      <c r="AD120" s="12">
        <f t="shared" si="108"/>
        <v>-299.46666666666664</v>
      </c>
      <c r="AE120" s="12">
        <f t="shared" si="108"/>
        <v>-299.46666666666664</v>
      </c>
      <c r="AF120" s="12">
        <f t="shared" si="108"/>
        <v>-299.46666666666664</v>
      </c>
      <c r="AG120" s="12">
        <f t="shared" si="108"/>
        <v>-299.46666666666664</v>
      </c>
      <c r="AH120" s="12">
        <f t="shared" si="108"/>
        <v>-299.46666666666664</v>
      </c>
      <c r="AI120" s="12">
        <f t="shared" si="108"/>
        <v>-299.46666666666664</v>
      </c>
      <c r="AJ120" s="12">
        <f t="shared" si="108"/>
        <v>-299.46666666666664</v>
      </c>
      <c r="AK120" s="12">
        <f t="shared" si="108"/>
        <v>-299.46666666666664</v>
      </c>
      <c r="AL120" s="12">
        <f t="shared" si="108"/>
        <v>-299.46666666666664</v>
      </c>
      <c r="AM120" s="12">
        <f t="shared" si="108"/>
        <v>-299.46666666666664</v>
      </c>
      <c r="AN120" s="12">
        <f t="shared" si="108"/>
        <v>-299.46666666666664</v>
      </c>
      <c r="AO120" s="12">
        <f t="shared" ref="AO120:BT120" si="109">-IF(AND(AO114&gt;=1,AO114&lt;=$D$31),$D$59*$D$23/$D$31,0)</f>
        <v>-299.46666666666664</v>
      </c>
      <c r="AP120" s="12">
        <f t="shared" si="109"/>
        <v>-299.46666666666664</v>
      </c>
      <c r="AQ120" s="12">
        <f t="shared" si="109"/>
        <v>-299.46666666666664</v>
      </c>
      <c r="AR120" s="12">
        <f t="shared" si="109"/>
        <v>-299.46666666666664</v>
      </c>
      <c r="AS120" s="12">
        <f t="shared" si="109"/>
        <v>-299.46666666666664</v>
      </c>
      <c r="AT120" s="12">
        <f t="shared" si="109"/>
        <v>-299.46666666666664</v>
      </c>
      <c r="AU120" s="12">
        <f t="shared" si="109"/>
        <v>-299.46666666666664</v>
      </c>
      <c r="AV120" s="12">
        <f t="shared" si="109"/>
        <v>-299.46666666666664</v>
      </c>
      <c r="AW120" s="12">
        <f t="shared" si="109"/>
        <v>-299.46666666666664</v>
      </c>
      <c r="AX120" s="12">
        <f t="shared" si="109"/>
        <v>-299.46666666666664</v>
      </c>
      <c r="AY120" s="12">
        <f t="shared" si="109"/>
        <v>-299.46666666666664</v>
      </c>
      <c r="AZ120" s="12">
        <f t="shared" si="109"/>
        <v>-299.46666666666664</v>
      </c>
      <c r="BA120" s="12">
        <f t="shared" si="109"/>
        <v>-299.46666666666664</v>
      </c>
      <c r="BB120" s="12">
        <f t="shared" si="109"/>
        <v>-299.46666666666664</v>
      </c>
      <c r="BC120" s="12">
        <f t="shared" si="109"/>
        <v>-299.46666666666664</v>
      </c>
      <c r="BD120" s="12">
        <f t="shared" si="109"/>
        <v>-299.46666666666664</v>
      </c>
      <c r="BE120" s="12">
        <f t="shared" si="109"/>
        <v>0</v>
      </c>
      <c r="BF120" s="12">
        <f t="shared" si="109"/>
        <v>0</v>
      </c>
      <c r="BG120" s="12">
        <f t="shared" si="109"/>
        <v>0</v>
      </c>
      <c r="BH120" s="12">
        <f t="shared" si="109"/>
        <v>0</v>
      </c>
      <c r="BI120" s="12">
        <f t="shared" si="109"/>
        <v>0</v>
      </c>
      <c r="BJ120" s="12">
        <f t="shared" si="109"/>
        <v>0</v>
      </c>
      <c r="BK120" s="12">
        <f t="shared" si="109"/>
        <v>0</v>
      </c>
      <c r="BL120" s="12">
        <f t="shared" si="109"/>
        <v>0</v>
      </c>
      <c r="BM120" s="12">
        <f t="shared" si="109"/>
        <v>0</v>
      </c>
      <c r="BN120" s="12">
        <f t="shared" si="109"/>
        <v>0</v>
      </c>
      <c r="BO120" s="12">
        <f t="shared" si="109"/>
        <v>0</v>
      </c>
      <c r="BP120" s="12">
        <f t="shared" si="109"/>
        <v>0</v>
      </c>
      <c r="BQ120" s="12">
        <f t="shared" si="109"/>
        <v>0</v>
      </c>
      <c r="BR120" s="12">
        <f t="shared" si="109"/>
        <v>0</v>
      </c>
      <c r="BS120" s="12">
        <f t="shared" si="109"/>
        <v>0</v>
      </c>
      <c r="BT120" s="12">
        <f t="shared" si="109"/>
        <v>0</v>
      </c>
      <c r="BU120" s="12">
        <f t="shared" ref="BU120:CZ120" si="110">-IF(AND(BU114&gt;=1,BU114&lt;=$D$31),$D$59*$D$23/$D$31,0)</f>
        <v>0</v>
      </c>
      <c r="BV120" s="12">
        <f t="shared" si="110"/>
        <v>0</v>
      </c>
      <c r="BW120" s="12">
        <f t="shared" si="110"/>
        <v>0</v>
      </c>
      <c r="BX120" s="12">
        <f t="shared" si="110"/>
        <v>0</v>
      </c>
      <c r="BY120" s="12">
        <f t="shared" si="110"/>
        <v>0</v>
      </c>
      <c r="BZ120" s="12">
        <f t="shared" si="110"/>
        <v>0</v>
      </c>
      <c r="CA120" s="12">
        <f t="shared" si="110"/>
        <v>0</v>
      </c>
      <c r="CB120" s="12">
        <f t="shared" si="110"/>
        <v>0</v>
      </c>
      <c r="CC120" s="12">
        <f t="shared" si="110"/>
        <v>0</v>
      </c>
      <c r="CD120" s="12">
        <f t="shared" si="110"/>
        <v>0</v>
      </c>
      <c r="CE120" s="12">
        <f t="shared" si="110"/>
        <v>0</v>
      </c>
      <c r="CF120" s="12">
        <f t="shared" si="110"/>
        <v>0</v>
      </c>
      <c r="CG120" s="12">
        <f t="shared" si="110"/>
        <v>0</v>
      </c>
      <c r="CH120" s="12">
        <f t="shared" si="110"/>
        <v>0</v>
      </c>
      <c r="CI120" s="12">
        <f t="shared" si="110"/>
        <v>0</v>
      </c>
      <c r="CJ120" s="12">
        <f t="shared" si="110"/>
        <v>0</v>
      </c>
      <c r="CK120" s="12">
        <f t="shared" si="110"/>
        <v>0</v>
      </c>
      <c r="CL120" s="12">
        <f t="shared" si="110"/>
        <v>0</v>
      </c>
      <c r="CM120" s="12">
        <f t="shared" si="110"/>
        <v>0</v>
      </c>
      <c r="CN120" s="12">
        <f t="shared" si="110"/>
        <v>0</v>
      </c>
      <c r="CO120" s="12">
        <f t="shared" si="110"/>
        <v>0</v>
      </c>
      <c r="CP120" s="12">
        <f t="shared" si="110"/>
        <v>0</v>
      </c>
      <c r="CQ120" s="12">
        <f t="shared" si="110"/>
        <v>0</v>
      </c>
      <c r="CR120" s="12">
        <f t="shared" si="110"/>
        <v>0</v>
      </c>
      <c r="CS120" s="12">
        <f t="shared" si="110"/>
        <v>0</v>
      </c>
      <c r="CT120" s="12">
        <f t="shared" si="110"/>
        <v>0</v>
      </c>
      <c r="CU120" s="12">
        <f t="shared" si="110"/>
        <v>0</v>
      </c>
      <c r="CV120" s="12">
        <f t="shared" si="110"/>
        <v>0</v>
      </c>
      <c r="CW120" s="12">
        <f t="shared" si="110"/>
        <v>0</v>
      </c>
      <c r="CX120" s="12">
        <f t="shared" si="110"/>
        <v>0</v>
      </c>
      <c r="CY120" s="12">
        <f t="shared" si="110"/>
        <v>0</v>
      </c>
      <c r="CZ120" s="12">
        <f t="shared" si="110"/>
        <v>0</v>
      </c>
      <c r="DA120" s="12">
        <f t="shared" ref="DA120:EF120" si="111">-IF(AND(DA114&gt;=1,DA114&lt;=$D$31),$D$59*$D$23/$D$31,0)</f>
        <v>0</v>
      </c>
      <c r="DB120" s="12">
        <f t="shared" si="111"/>
        <v>0</v>
      </c>
      <c r="DC120" s="12">
        <f t="shared" si="111"/>
        <v>0</v>
      </c>
      <c r="DD120" s="12">
        <f t="shared" si="111"/>
        <v>0</v>
      </c>
      <c r="DE120" s="12">
        <f t="shared" si="111"/>
        <v>0</v>
      </c>
      <c r="DF120" s="12">
        <f t="shared" si="111"/>
        <v>0</v>
      </c>
      <c r="DG120" s="12">
        <f t="shared" si="111"/>
        <v>0</v>
      </c>
      <c r="DH120" s="12">
        <f t="shared" si="111"/>
        <v>0</v>
      </c>
      <c r="DI120" s="12">
        <f t="shared" si="111"/>
        <v>0</v>
      </c>
      <c r="DJ120" s="12">
        <f t="shared" si="111"/>
        <v>0</v>
      </c>
      <c r="DK120" s="12">
        <f t="shared" si="111"/>
        <v>0</v>
      </c>
      <c r="DL120" s="12">
        <f t="shared" si="111"/>
        <v>0</v>
      </c>
      <c r="DM120" s="12">
        <f t="shared" si="111"/>
        <v>0</v>
      </c>
      <c r="DN120" s="12">
        <f t="shared" si="111"/>
        <v>0</v>
      </c>
      <c r="DO120" s="12">
        <f t="shared" si="111"/>
        <v>0</v>
      </c>
      <c r="DP120" s="12">
        <f t="shared" si="111"/>
        <v>0</v>
      </c>
      <c r="DQ120" s="12">
        <f t="shared" si="111"/>
        <v>0</v>
      </c>
      <c r="DR120" s="12">
        <f t="shared" si="111"/>
        <v>0</v>
      </c>
      <c r="DS120" s="12">
        <f t="shared" si="111"/>
        <v>0</v>
      </c>
      <c r="DT120" s="12">
        <f t="shared" si="111"/>
        <v>0</v>
      </c>
      <c r="DU120" s="12">
        <f t="shared" si="111"/>
        <v>0</v>
      </c>
      <c r="DV120" s="12">
        <f t="shared" si="111"/>
        <v>0</v>
      </c>
      <c r="DW120" s="12">
        <f t="shared" si="111"/>
        <v>0</v>
      </c>
      <c r="DX120" s="12">
        <f t="shared" si="111"/>
        <v>0</v>
      </c>
      <c r="DY120" s="12">
        <f t="shared" si="111"/>
        <v>0</v>
      </c>
      <c r="DZ120" s="12">
        <f t="shared" si="111"/>
        <v>0</v>
      </c>
      <c r="EA120" s="12">
        <f t="shared" si="111"/>
        <v>0</v>
      </c>
      <c r="EB120" s="12">
        <f t="shared" si="111"/>
        <v>0</v>
      </c>
      <c r="EC120" s="12">
        <f t="shared" si="111"/>
        <v>0</v>
      </c>
      <c r="ED120" s="12">
        <f t="shared" si="111"/>
        <v>0</v>
      </c>
      <c r="EE120" s="12">
        <f t="shared" si="111"/>
        <v>0</v>
      </c>
      <c r="EF120" s="12">
        <f t="shared" si="111"/>
        <v>0</v>
      </c>
      <c r="EG120" s="12">
        <f t="shared" ref="EG120:FH120" si="112">-IF(AND(EG114&gt;=1,EG114&lt;=$D$31),$D$59*$D$23/$D$31,0)</f>
        <v>0</v>
      </c>
      <c r="EH120" s="12">
        <f t="shared" si="112"/>
        <v>0</v>
      </c>
      <c r="EI120" s="12">
        <f t="shared" si="112"/>
        <v>0</v>
      </c>
      <c r="EJ120" s="12">
        <f t="shared" si="112"/>
        <v>0</v>
      </c>
      <c r="EK120" s="12">
        <f t="shared" si="112"/>
        <v>0</v>
      </c>
      <c r="EL120" s="12">
        <f t="shared" si="112"/>
        <v>0</v>
      </c>
      <c r="EM120" s="12">
        <f t="shared" si="112"/>
        <v>0</v>
      </c>
      <c r="EN120" s="12">
        <f t="shared" si="112"/>
        <v>0</v>
      </c>
      <c r="EO120" s="12">
        <f t="shared" si="112"/>
        <v>0</v>
      </c>
      <c r="EP120" s="12">
        <f t="shared" si="112"/>
        <v>0</v>
      </c>
      <c r="EQ120" s="12">
        <f t="shared" si="112"/>
        <v>0</v>
      </c>
      <c r="ER120" s="12">
        <f t="shared" si="112"/>
        <v>0</v>
      </c>
      <c r="ES120" s="12">
        <f t="shared" si="112"/>
        <v>0</v>
      </c>
      <c r="ET120" s="12">
        <f t="shared" si="112"/>
        <v>0</v>
      </c>
      <c r="EU120" s="12">
        <f t="shared" si="112"/>
        <v>0</v>
      </c>
      <c r="EV120" s="12">
        <f t="shared" si="112"/>
        <v>0</v>
      </c>
      <c r="EW120" s="12">
        <f t="shared" si="112"/>
        <v>0</v>
      </c>
      <c r="EX120" s="12">
        <f t="shared" si="112"/>
        <v>0</v>
      </c>
      <c r="EY120" s="12">
        <f t="shared" si="112"/>
        <v>0</v>
      </c>
      <c r="EZ120" s="12">
        <f t="shared" si="112"/>
        <v>0</v>
      </c>
      <c r="FA120" s="12">
        <f t="shared" si="112"/>
        <v>0</v>
      </c>
      <c r="FB120" s="12">
        <f t="shared" si="112"/>
        <v>0</v>
      </c>
      <c r="FC120" s="12">
        <f t="shared" si="112"/>
        <v>0</v>
      </c>
      <c r="FD120" s="12">
        <f t="shared" si="112"/>
        <v>0</v>
      </c>
      <c r="FE120" s="12">
        <f t="shared" si="112"/>
        <v>0</v>
      </c>
      <c r="FF120" s="12">
        <f t="shared" si="112"/>
        <v>0</v>
      </c>
      <c r="FG120" s="12">
        <f t="shared" si="112"/>
        <v>0</v>
      </c>
      <c r="FH120" s="12">
        <f t="shared" si="112"/>
        <v>0</v>
      </c>
    </row>
    <row r="121" spans="1:164" x14ac:dyDescent="0.2">
      <c r="A121" s="10"/>
      <c r="B121" s="10"/>
      <c r="C121" s="10" t="s">
        <v>914</v>
      </c>
      <c r="D121" s="10"/>
      <c r="E121" s="10"/>
      <c r="F121" s="10"/>
      <c r="G121" s="10"/>
      <c r="H121" s="12">
        <f t="shared" si="82"/>
        <v>-5390.3999999999978</v>
      </c>
      <c r="I121" s="12">
        <f t="shared" ref="I121:AN121" si="113">-IF(AND(I$6&gt;=EDATE($D$32,-3),I$6&lt;EDATE($D$32,15)),$D$60*$D$23/18,0)</f>
        <v>0</v>
      </c>
      <c r="J121" s="12">
        <f t="shared" si="113"/>
        <v>0</v>
      </c>
      <c r="K121" s="12">
        <f t="shared" si="113"/>
        <v>0</v>
      </c>
      <c r="L121" s="12">
        <f t="shared" si="113"/>
        <v>0</v>
      </c>
      <c r="M121" s="12">
        <f t="shared" si="113"/>
        <v>0</v>
      </c>
      <c r="N121" s="12">
        <f t="shared" si="113"/>
        <v>0</v>
      </c>
      <c r="O121" s="12">
        <f t="shared" si="113"/>
        <v>0</v>
      </c>
      <c r="P121" s="12">
        <f t="shared" si="113"/>
        <v>0</v>
      </c>
      <c r="Q121" s="12">
        <f t="shared" si="113"/>
        <v>0</v>
      </c>
      <c r="R121" s="12">
        <f t="shared" si="113"/>
        <v>-299.46666666666664</v>
      </c>
      <c r="S121" s="12">
        <f t="shared" si="113"/>
        <v>-299.46666666666664</v>
      </c>
      <c r="T121" s="12">
        <f t="shared" si="113"/>
        <v>-299.46666666666664</v>
      </c>
      <c r="U121" s="12">
        <f t="shared" si="113"/>
        <v>-299.46666666666664</v>
      </c>
      <c r="V121" s="12">
        <f t="shared" si="113"/>
        <v>-299.46666666666664</v>
      </c>
      <c r="W121" s="12">
        <f t="shared" si="113"/>
        <v>-299.46666666666664</v>
      </c>
      <c r="X121" s="12">
        <f t="shared" si="113"/>
        <v>-299.46666666666664</v>
      </c>
      <c r="Y121" s="12">
        <f t="shared" si="113"/>
        <v>-299.46666666666664</v>
      </c>
      <c r="Z121" s="12">
        <f t="shared" si="113"/>
        <v>-299.46666666666664</v>
      </c>
      <c r="AA121" s="12">
        <f t="shared" si="113"/>
        <v>-299.46666666666664</v>
      </c>
      <c r="AB121" s="12">
        <f t="shared" si="113"/>
        <v>-299.46666666666664</v>
      </c>
      <c r="AC121" s="12">
        <f t="shared" si="113"/>
        <v>-299.46666666666664</v>
      </c>
      <c r="AD121" s="12">
        <f t="shared" si="113"/>
        <v>-299.46666666666664</v>
      </c>
      <c r="AE121" s="12">
        <f t="shared" si="113"/>
        <v>-299.46666666666664</v>
      </c>
      <c r="AF121" s="12">
        <f t="shared" si="113"/>
        <v>-299.46666666666664</v>
      </c>
      <c r="AG121" s="12">
        <f t="shared" si="113"/>
        <v>-299.46666666666664</v>
      </c>
      <c r="AH121" s="12">
        <f t="shared" si="113"/>
        <v>-299.46666666666664</v>
      </c>
      <c r="AI121" s="12">
        <f t="shared" si="113"/>
        <v>-299.46666666666664</v>
      </c>
      <c r="AJ121" s="12">
        <f t="shared" si="113"/>
        <v>0</v>
      </c>
      <c r="AK121" s="12">
        <f t="shared" si="113"/>
        <v>0</v>
      </c>
      <c r="AL121" s="12">
        <f t="shared" si="113"/>
        <v>0</v>
      </c>
      <c r="AM121" s="12">
        <f t="shared" si="113"/>
        <v>0</v>
      </c>
      <c r="AN121" s="12">
        <f t="shared" si="113"/>
        <v>0</v>
      </c>
      <c r="AO121" s="12">
        <f t="shared" ref="AO121:BT121" si="114">-IF(AND(AO$6&gt;=EDATE($D$32,-3),AO$6&lt;EDATE($D$32,15)),$D$60*$D$23/18,0)</f>
        <v>0</v>
      </c>
      <c r="AP121" s="12">
        <f t="shared" si="114"/>
        <v>0</v>
      </c>
      <c r="AQ121" s="12">
        <f t="shared" si="114"/>
        <v>0</v>
      </c>
      <c r="AR121" s="12">
        <f t="shared" si="114"/>
        <v>0</v>
      </c>
      <c r="AS121" s="12">
        <f t="shared" si="114"/>
        <v>0</v>
      </c>
      <c r="AT121" s="12">
        <f t="shared" si="114"/>
        <v>0</v>
      </c>
      <c r="AU121" s="12">
        <f t="shared" si="114"/>
        <v>0</v>
      </c>
      <c r="AV121" s="12">
        <f t="shared" si="114"/>
        <v>0</v>
      </c>
      <c r="AW121" s="12">
        <f t="shared" si="114"/>
        <v>0</v>
      </c>
      <c r="AX121" s="12">
        <f t="shared" si="114"/>
        <v>0</v>
      </c>
      <c r="AY121" s="12">
        <f t="shared" si="114"/>
        <v>0</v>
      </c>
      <c r="AZ121" s="12">
        <f t="shared" si="114"/>
        <v>0</v>
      </c>
      <c r="BA121" s="12">
        <f t="shared" si="114"/>
        <v>0</v>
      </c>
      <c r="BB121" s="12">
        <f t="shared" si="114"/>
        <v>0</v>
      </c>
      <c r="BC121" s="12">
        <f t="shared" si="114"/>
        <v>0</v>
      </c>
      <c r="BD121" s="12">
        <f t="shared" si="114"/>
        <v>0</v>
      </c>
      <c r="BE121" s="12">
        <f t="shared" si="114"/>
        <v>0</v>
      </c>
      <c r="BF121" s="12">
        <f t="shared" si="114"/>
        <v>0</v>
      </c>
      <c r="BG121" s="12">
        <f t="shared" si="114"/>
        <v>0</v>
      </c>
      <c r="BH121" s="12">
        <f t="shared" si="114"/>
        <v>0</v>
      </c>
      <c r="BI121" s="12">
        <f t="shared" si="114"/>
        <v>0</v>
      </c>
      <c r="BJ121" s="12">
        <f t="shared" si="114"/>
        <v>0</v>
      </c>
      <c r="BK121" s="12">
        <f t="shared" si="114"/>
        <v>0</v>
      </c>
      <c r="BL121" s="12">
        <f t="shared" si="114"/>
        <v>0</v>
      </c>
      <c r="BM121" s="12">
        <f t="shared" si="114"/>
        <v>0</v>
      </c>
      <c r="BN121" s="12">
        <f t="shared" si="114"/>
        <v>0</v>
      </c>
      <c r="BO121" s="12">
        <f t="shared" si="114"/>
        <v>0</v>
      </c>
      <c r="BP121" s="12">
        <f t="shared" si="114"/>
        <v>0</v>
      </c>
      <c r="BQ121" s="12">
        <f t="shared" si="114"/>
        <v>0</v>
      </c>
      <c r="BR121" s="12">
        <f t="shared" si="114"/>
        <v>0</v>
      </c>
      <c r="BS121" s="12">
        <f t="shared" si="114"/>
        <v>0</v>
      </c>
      <c r="BT121" s="12">
        <f t="shared" si="114"/>
        <v>0</v>
      </c>
      <c r="BU121" s="12">
        <f t="shared" ref="BU121:CZ121" si="115">-IF(AND(BU$6&gt;=EDATE($D$32,-3),BU$6&lt;EDATE($D$32,15)),$D$60*$D$23/18,0)</f>
        <v>0</v>
      </c>
      <c r="BV121" s="12">
        <f t="shared" si="115"/>
        <v>0</v>
      </c>
      <c r="BW121" s="12">
        <f t="shared" si="115"/>
        <v>0</v>
      </c>
      <c r="BX121" s="12">
        <f t="shared" si="115"/>
        <v>0</v>
      </c>
      <c r="BY121" s="12">
        <f t="shared" si="115"/>
        <v>0</v>
      </c>
      <c r="BZ121" s="12">
        <f t="shared" si="115"/>
        <v>0</v>
      </c>
      <c r="CA121" s="12">
        <f t="shared" si="115"/>
        <v>0</v>
      </c>
      <c r="CB121" s="12">
        <f t="shared" si="115"/>
        <v>0</v>
      </c>
      <c r="CC121" s="12">
        <f t="shared" si="115"/>
        <v>0</v>
      </c>
      <c r="CD121" s="12">
        <f t="shared" si="115"/>
        <v>0</v>
      </c>
      <c r="CE121" s="12">
        <f t="shared" si="115"/>
        <v>0</v>
      </c>
      <c r="CF121" s="12">
        <f t="shared" si="115"/>
        <v>0</v>
      </c>
      <c r="CG121" s="12">
        <f t="shared" si="115"/>
        <v>0</v>
      </c>
      <c r="CH121" s="12">
        <f t="shared" si="115"/>
        <v>0</v>
      </c>
      <c r="CI121" s="12">
        <f t="shared" si="115"/>
        <v>0</v>
      </c>
      <c r="CJ121" s="12">
        <f t="shared" si="115"/>
        <v>0</v>
      </c>
      <c r="CK121" s="12">
        <f t="shared" si="115"/>
        <v>0</v>
      </c>
      <c r="CL121" s="12">
        <f t="shared" si="115"/>
        <v>0</v>
      </c>
      <c r="CM121" s="12">
        <f t="shared" si="115"/>
        <v>0</v>
      </c>
      <c r="CN121" s="12">
        <f t="shared" si="115"/>
        <v>0</v>
      </c>
      <c r="CO121" s="12">
        <f t="shared" si="115"/>
        <v>0</v>
      </c>
      <c r="CP121" s="12">
        <f t="shared" si="115"/>
        <v>0</v>
      </c>
      <c r="CQ121" s="12">
        <f t="shared" si="115"/>
        <v>0</v>
      </c>
      <c r="CR121" s="12">
        <f t="shared" si="115"/>
        <v>0</v>
      </c>
      <c r="CS121" s="12">
        <f t="shared" si="115"/>
        <v>0</v>
      </c>
      <c r="CT121" s="12">
        <f t="shared" si="115"/>
        <v>0</v>
      </c>
      <c r="CU121" s="12">
        <f t="shared" si="115"/>
        <v>0</v>
      </c>
      <c r="CV121" s="12">
        <f t="shared" si="115"/>
        <v>0</v>
      </c>
      <c r="CW121" s="12">
        <f t="shared" si="115"/>
        <v>0</v>
      </c>
      <c r="CX121" s="12">
        <f t="shared" si="115"/>
        <v>0</v>
      </c>
      <c r="CY121" s="12">
        <f t="shared" si="115"/>
        <v>0</v>
      </c>
      <c r="CZ121" s="12">
        <f t="shared" si="115"/>
        <v>0</v>
      </c>
      <c r="DA121" s="12">
        <f t="shared" ref="DA121:EF121" si="116">-IF(AND(DA$6&gt;=EDATE($D$32,-3),DA$6&lt;EDATE($D$32,15)),$D$60*$D$23/18,0)</f>
        <v>0</v>
      </c>
      <c r="DB121" s="12">
        <f t="shared" si="116"/>
        <v>0</v>
      </c>
      <c r="DC121" s="12">
        <f t="shared" si="116"/>
        <v>0</v>
      </c>
      <c r="DD121" s="12">
        <f t="shared" si="116"/>
        <v>0</v>
      </c>
      <c r="DE121" s="12">
        <f t="shared" si="116"/>
        <v>0</v>
      </c>
      <c r="DF121" s="12">
        <f t="shared" si="116"/>
        <v>0</v>
      </c>
      <c r="DG121" s="12">
        <f t="shared" si="116"/>
        <v>0</v>
      </c>
      <c r="DH121" s="12">
        <f t="shared" si="116"/>
        <v>0</v>
      </c>
      <c r="DI121" s="12">
        <f t="shared" si="116"/>
        <v>0</v>
      </c>
      <c r="DJ121" s="12">
        <f t="shared" si="116"/>
        <v>0</v>
      </c>
      <c r="DK121" s="12">
        <f t="shared" si="116"/>
        <v>0</v>
      </c>
      <c r="DL121" s="12">
        <f t="shared" si="116"/>
        <v>0</v>
      </c>
      <c r="DM121" s="12">
        <f t="shared" si="116"/>
        <v>0</v>
      </c>
      <c r="DN121" s="12">
        <f t="shared" si="116"/>
        <v>0</v>
      </c>
      <c r="DO121" s="12">
        <f t="shared" si="116"/>
        <v>0</v>
      </c>
      <c r="DP121" s="12">
        <f t="shared" si="116"/>
        <v>0</v>
      </c>
      <c r="DQ121" s="12">
        <f t="shared" si="116"/>
        <v>0</v>
      </c>
      <c r="DR121" s="12">
        <f t="shared" si="116"/>
        <v>0</v>
      </c>
      <c r="DS121" s="12">
        <f t="shared" si="116"/>
        <v>0</v>
      </c>
      <c r="DT121" s="12">
        <f t="shared" si="116"/>
        <v>0</v>
      </c>
      <c r="DU121" s="12">
        <f t="shared" si="116"/>
        <v>0</v>
      </c>
      <c r="DV121" s="12">
        <f t="shared" si="116"/>
        <v>0</v>
      </c>
      <c r="DW121" s="12">
        <f t="shared" si="116"/>
        <v>0</v>
      </c>
      <c r="DX121" s="12">
        <f t="shared" si="116"/>
        <v>0</v>
      </c>
      <c r="DY121" s="12">
        <f t="shared" si="116"/>
        <v>0</v>
      </c>
      <c r="DZ121" s="12">
        <f t="shared" si="116"/>
        <v>0</v>
      </c>
      <c r="EA121" s="12">
        <f t="shared" si="116"/>
        <v>0</v>
      </c>
      <c r="EB121" s="12">
        <f t="shared" si="116"/>
        <v>0</v>
      </c>
      <c r="EC121" s="12">
        <f t="shared" si="116"/>
        <v>0</v>
      </c>
      <c r="ED121" s="12">
        <f t="shared" si="116"/>
        <v>0</v>
      </c>
      <c r="EE121" s="12">
        <f t="shared" si="116"/>
        <v>0</v>
      </c>
      <c r="EF121" s="12">
        <f t="shared" si="116"/>
        <v>0</v>
      </c>
      <c r="EG121" s="12">
        <f t="shared" ref="EG121:FH121" si="117">-IF(AND(EG$6&gt;=EDATE($D$32,-3),EG$6&lt;EDATE($D$32,15)),$D$60*$D$23/18,0)</f>
        <v>0</v>
      </c>
      <c r="EH121" s="12">
        <f t="shared" si="117"/>
        <v>0</v>
      </c>
      <c r="EI121" s="12">
        <f t="shared" si="117"/>
        <v>0</v>
      </c>
      <c r="EJ121" s="12">
        <f t="shared" si="117"/>
        <v>0</v>
      </c>
      <c r="EK121" s="12">
        <f t="shared" si="117"/>
        <v>0</v>
      </c>
      <c r="EL121" s="12">
        <f t="shared" si="117"/>
        <v>0</v>
      </c>
      <c r="EM121" s="12">
        <f t="shared" si="117"/>
        <v>0</v>
      </c>
      <c r="EN121" s="12">
        <f t="shared" si="117"/>
        <v>0</v>
      </c>
      <c r="EO121" s="12">
        <f t="shared" si="117"/>
        <v>0</v>
      </c>
      <c r="EP121" s="12">
        <f t="shared" si="117"/>
        <v>0</v>
      </c>
      <c r="EQ121" s="12">
        <f t="shared" si="117"/>
        <v>0</v>
      </c>
      <c r="ER121" s="12">
        <f t="shared" si="117"/>
        <v>0</v>
      </c>
      <c r="ES121" s="12">
        <f t="shared" si="117"/>
        <v>0</v>
      </c>
      <c r="ET121" s="12">
        <f t="shared" si="117"/>
        <v>0</v>
      </c>
      <c r="EU121" s="12">
        <f t="shared" si="117"/>
        <v>0</v>
      </c>
      <c r="EV121" s="12">
        <f t="shared" si="117"/>
        <v>0</v>
      </c>
      <c r="EW121" s="12">
        <f t="shared" si="117"/>
        <v>0</v>
      </c>
      <c r="EX121" s="12">
        <f t="shared" si="117"/>
        <v>0</v>
      </c>
      <c r="EY121" s="12">
        <f t="shared" si="117"/>
        <v>0</v>
      </c>
      <c r="EZ121" s="12">
        <f t="shared" si="117"/>
        <v>0</v>
      </c>
      <c r="FA121" s="12">
        <f t="shared" si="117"/>
        <v>0</v>
      </c>
      <c r="FB121" s="12">
        <f t="shared" si="117"/>
        <v>0</v>
      </c>
      <c r="FC121" s="12">
        <f t="shared" si="117"/>
        <v>0</v>
      </c>
      <c r="FD121" s="12">
        <f t="shared" si="117"/>
        <v>0</v>
      </c>
      <c r="FE121" s="12">
        <f t="shared" si="117"/>
        <v>0</v>
      </c>
      <c r="FF121" s="12">
        <f t="shared" si="117"/>
        <v>0</v>
      </c>
      <c r="FG121" s="12">
        <f t="shared" si="117"/>
        <v>0</v>
      </c>
      <c r="FH121" s="12">
        <f t="shared" si="117"/>
        <v>0</v>
      </c>
    </row>
    <row r="122" spans="1:164" x14ac:dyDescent="0.2">
      <c r="A122" s="10"/>
      <c r="B122" s="10"/>
      <c r="C122" s="10" t="s">
        <v>951</v>
      </c>
      <c r="D122" s="10"/>
      <c r="E122" s="10"/>
      <c r="F122" s="10"/>
      <c r="G122" s="10"/>
      <c r="H122" s="12">
        <f t="shared" si="82"/>
        <v>-5771.5543723121045</v>
      </c>
      <c r="I122" s="12">
        <f t="shared" ref="I122:AN122" si="118">-IF(AND(I$6&gt;=$D$32,I$6&lt;EDATE($D$32,$D$70)),$D$71/$D$70,0)</f>
        <v>0</v>
      </c>
      <c r="J122" s="12">
        <f t="shared" si="118"/>
        <v>0</v>
      </c>
      <c r="K122" s="12">
        <f t="shared" si="118"/>
        <v>0</v>
      </c>
      <c r="L122" s="12">
        <f t="shared" si="118"/>
        <v>0</v>
      </c>
      <c r="M122" s="12">
        <f t="shared" si="118"/>
        <v>0</v>
      </c>
      <c r="N122" s="12">
        <f t="shared" si="118"/>
        <v>0</v>
      </c>
      <c r="O122" s="12">
        <f t="shared" si="118"/>
        <v>0</v>
      </c>
      <c r="P122" s="12">
        <f t="shared" si="118"/>
        <v>0</v>
      </c>
      <c r="Q122" s="12">
        <f t="shared" si="118"/>
        <v>0</v>
      </c>
      <c r="R122" s="12">
        <f t="shared" si="118"/>
        <v>0</v>
      </c>
      <c r="S122" s="12">
        <f t="shared" si="118"/>
        <v>0</v>
      </c>
      <c r="T122" s="12">
        <f t="shared" si="118"/>
        <v>0</v>
      </c>
      <c r="U122" s="12">
        <f t="shared" si="118"/>
        <v>-480.96286435934195</v>
      </c>
      <c r="V122" s="12">
        <f t="shared" si="118"/>
        <v>-480.96286435934195</v>
      </c>
      <c r="W122" s="12">
        <f t="shared" si="118"/>
        <v>-480.96286435934195</v>
      </c>
      <c r="X122" s="12">
        <f t="shared" si="118"/>
        <v>-480.96286435934195</v>
      </c>
      <c r="Y122" s="12">
        <f t="shared" si="118"/>
        <v>-480.96286435934195</v>
      </c>
      <c r="Z122" s="12">
        <f t="shared" si="118"/>
        <v>-480.96286435934195</v>
      </c>
      <c r="AA122" s="12">
        <f t="shared" si="118"/>
        <v>-480.96286435934195</v>
      </c>
      <c r="AB122" s="12">
        <f t="shared" si="118"/>
        <v>-480.96286435934195</v>
      </c>
      <c r="AC122" s="12">
        <f t="shared" si="118"/>
        <v>-480.96286435934195</v>
      </c>
      <c r="AD122" s="12">
        <f t="shared" si="118"/>
        <v>-480.96286435934195</v>
      </c>
      <c r="AE122" s="12">
        <f t="shared" si="118"/>
        <v>-480.96286435934195</v>
      </c>
      <c r="AF122" s="12">
        <f t="shared" si="118"/>
        <v>-480.96286435934195</v>
      </c>
      <c r="AG122" s="12">
        <f t="shared" si="118"/>
        <v>0</v>
      </c>
      <c r="AH122" s="12">
        <f t="shared" si="118"/>
        <v>0</v>
      </c>
      <c r="AI122" s="12">
        <f t="shared" si="118"/>
        <v>0</v>
      </c>
      <c r="AJ122" s="12">
        <f t="shared" si="118"/>
        <v>0</v>
      </c>
      <c r="AK122" s="12">
        <f t="shared" si="118"/>
        <v>0</v>
      </c>
      <c r="AL122" s="12">
        <f t="shared" si="118"/>
        <v>0</v>
      </c>
      <c r="AM122" s="12">
        <f t="shared" si="118"/>
        <v>0</v>
      </c>
      <c r="AN122" s="12">
        <f t="shared" si="118"/>
        <v>0</v>
      </c>
      <c r="AO122" s="12">
        <f t="shared" ref="AO122:BT122" si="119">-IF(AND(AO$6&gt;=$D$32,AO$6&lt;EDATE($D$32,$D$70)),$D$71/$D$70,0)</f>
        <v>0</v>
      </c>
      <c r="AP122" s="12">
        <f t="shared" si="119"/>
        <v>0</v>
      </c>
      <c r="AQ122" s="12">
        <f t="shared" si="119"/>
        <v>0</v>
      </c>
      <c r="AR122" s="12">
        <f t="shared" si="119"/>
        <v>0</v>
      </c>
      <c r="AS122" s="12">
        <f t="shared" si="119"/>
        <v>0</v>
      </c>
      <c r="AT122" s="12">
        <f t="shared" si="119"/>
        <v>0</v>
      </c>
      <c r="AU122" s="12">
        <f t="shared" si="119"/>
        <v>0</v>
      </c>
      <c r="AV122" s="12">
        <f t="shared" si="119"/>
        <v>0</v>
      </c>
      <c r="AW122" s="12">
        <f t="shared" si="119"/>
        <v>0</v>
      </c>
      <c r="AX122" s="12">
        <f t="shared" si="119"/>
        <v>0</v>
      </c>
      <c r="AY122" s="12">
        <f t="shared" si="119"/>
        <v>0</v>
      </c>
      <c r="AZ122" s="12">
        <f t="shared" si="119"/>
        <v>0</v>
      </c>
      <c r="BA122" s="12">
        <f t="shared" si="119"/>
        <v>0</v>
      </c>
      <c r="BB122" s="12">
        <f t="shared" si="119"/>
        <v>0</v>
      </c>
      <c r="BC122" s="12">
        <f t="shared" si="119"/>
        <v>0</v>
      </c>
      <c r="BD122" s="12">
        <f t="shared" si="119"/>
        <v>0</v>
      </c>
      <c r="BE122" s="12">
        <f t="shared" si="119"/>
        <v>0</v>
      </c>
      <c r="BF122" s="12">
        <f t="shared" si="119"/>
        <v>0</v>
      </c>
      <c r="BG122" s="12">
        <f t="shared" si="119"/>
        <v>0</v>
      </c>
      <c r="BH122" s="12">
        <f t="shared" si="119"/>
        <v>0</v>
      </c>
      <c r="BI122" s="12">
        <f t="shared" si="119"/>
        <v>0</v>
      </c>
      <c r="BJ122" s="12">
        <f t="shared" si="119"/>
        <v>0</v>
      </c>
      <c r="BK122" s="12">
        <f t="shared" si="119"/>
        <v>0</v>
      </c>
      <c r="BL122" s="12">
        <f t="shared" si="119"/>
        <v>0</v>
      </c>
      <c r="BM122" s="12">
        <f t="shared" si="119"/>
        <v>0</v>
      </c>
      <c r="BN122" s="12">
        <f t="shared" si="119"/>
        <v>0</v>
      </c>
      <c r="BO122" s="12">
        <f t="shared" si="119"/>
        <v>0</v>
      </c>
      <c r="BP122" s="12">
        <f t="shared" si="119"/>
        <v>0</v>
      </c>
      <c r="BQ122" s="12">
        <f t="shared" si="119"/>
        <v>0</v>
      </c>
      <c r="BR122" s="12">
        <f t="shared" si="119"/>
        <v>0</v>
      </c>
      <c r="BS122" s="12">
        <f t="shared" si="119"/>
        <v>0</v>
      </c>
      <c r="BT122" s="12">
        <f t="shared" si="119"/>
        <v>0</v>
      </c>
      <c r="BU122" s="12">
        <f t="shared" ref="BU122:CZ122" si="120">-IF(AND(BU$6&gt;=$D$32,BU$6&lt;EDATE($D$32,$D$70)),$D$71/$D$70,0)</f>
        <v>0</v>
      </c>
      <c r="BV122" s="12">
        <f t="shared" si="120"/>
        <v>0</v>
      </c>
      <c r="BW122" s="12">
        <f t="shared" si="120"/>
        <v>0</v>
      </c>
      <c r="BX122" s="12">
        <f t="shared" si="120"/>
        <v>0</v>
      </c>
      <c r="BY122" s="12">
        <f t="shared" si="120"/>
        <v>0</v>
      </c>
      <c r="BZ122" s="12">
        <f t="shared" si="120"/>
        <v>0</v>
      </c>
      <c r="CA122" s="12">
        <f t="shared" si="120"/>
        <v>0</v>
      </c>
      <c r="CB122" s="12">
        <f t="shared" si="120"/>
        <v>0</v>
      </c>
      <c r="CC122" s="12">
        <f t="shared" si="120"/>
        <v>0</v>
      </c>
      <c r="CD122" s="12">
        <f t="shared" si="120"/>
        <v>0</v>
      </c>
      <c r="CE122" s="12">
        <f t="shared" si="120"/>
        <v>0</v>
      </c>
      <c r="CF122" s="12">
        <f t="shared" si="120"/>
        <v>0</v>
      </c>
      <c r="CG122" s="12">
        <f t="shared" si="120"/>
        <v>0</v>
      </c>
      <c r="CH122" s="12">
        <f t="shared" si="120"/>
        <v>0</v>
      </c>
      <c r="CI122" s="12">
        <f t="shared" si="120"/>
        <v>0</v>
      </c>
      <c r="CJ122" s="12">
        <f t="shared" si="120"/>
        <v>0</v>
      </c>
      <c r="CK122" s="12">
        <f t="shared" si="120"/>
        <v>0</v>
      </c>
      <c r="CL122" s="12">
        <f t="shared" si="120"/>
        <v>0</v>
      </c>
      <c r="CM122" s="12">
        <f t="shared" si="120"/>
        <v>0</v>
      </c>
      <c r="CN122" s="12">
        <f t="shared" si="120"/>
        <v>0</v>
      </c>
      <c r="CO122" s="12">
        <f t="shared" si="120"/>
        <v>0</v>
      </c>
      <c r="CP122" s="12">
        <f t="shared" si="120"/>
        <v>0</v>
      </c>
      <c r="CQ122" s="12">
        <f t="shared" si="120"/>
        <v>0</v>
      </c>
      <c r="CR122" s="12">
        <f t="shared" si="120"/>
        <v>0</v>
      </c>
      <c r="CS122" s="12">
        <f t="shared" si="120"/>
        <v>0</v>
      </c>
      <c r="CT122" s="12">
        <f t="shared" si="120"/>
        <v>0</v>
      </c>
      <c r="CU122" s="12">
        <f t="shared" si="120"/>
        <v>0</v>
      </c>
      <c r="CV122" s="12">
        <f t="shared" si="120"/>
        <v>0</v>
      </c>
      <c r="CW122" s="12">
        <f t="shared" si="120"/>
        <v>0</v>
      </c>
      <c r="CX122" s="12">
        <f t="shared" si="120"/>
        <v>0</v>
      </c>
      <c r="CY122" s="12">
        <f t="shared" si="120"/>
        <v>0</v>
      </c>
      <c r="CZ122" s="12">
        <f t="shared" si="120"/>
        <v>0</v>
      </c>
      <c r="DA122" s="12">
        <f t="shared" ref="DA122:EF122" si="121">-IF(AND(DA$6&gt;=$D$32,DA$6&lt;EDATE($D$32,$D$70)),$D$71/$D$70,0)</f>
        <v>0</v>
      </c>
      <c r="DB122" s="12">
        <f t="shared" si="121"/>
        <v>0</v>
      </c>
      <c r="DC122" s="12">
        <f t="shared" si="121"/>
        <v>0</v>
      </c>
      <c r="DD122" s="12">
        <f t="shared" si="121"/>
        <v>0</v>
      </c>
      <c r="DE122" s="12">
        <f t="shared" si="121"/>
        <v>0</v>
      </c>
      <c r="DF122" s="12">
        <f t="shared" si="121"/>
        <v>0</v>
      </c>
      <c r="DG122" s="12">
        <f t="shared" si="121"/>
        <v>0</v>
      </c>
      <c r="DH122" s="12">
        <f t="shared" si="121"/>
        <v>0</v>
      </c>
      <c r="DI122" s="12">
        <f t="shared" si="121"/>
        <v>0</v>
      </c>
      <c r="DJ122" s="12">
        <f t="shared" si="121"/>
        <v>0</v>
      </c>
      <c r="DK122" s="12">
        <f t="shared" si="121"/>
        <v>0</v>
      </c>
      <c r="DL122" s="12">
        <f t="shared" si="121"/>
        <v>0</v>
      </c>
      <c r="DM122" s="12">
        <f t="shared" si="121"/>
        <v>0</v>
      </c>
      <c r="DN122" s="12">
        <f t="shared" si="121"/>
        <v>0</v>
      </c>
      <c r="DO122" s="12">
        <f t="shared" si="121"/>
        <v>0</v>
      </c>
      <c r="DP122" s="12">
        <f t="shared" si="121"/>
        <v>0</v>
      </c>
      <c r="DQ122" s="12">
        <f t="shared" si="121"/>
        <v>0</v>
      </c>
      <c r="DR122" s="12">
        <f t="shared" si="121"/>
        <v>0</v>
      </c>
      <c r="DS122" s="12">
        <f t="shared" si="121"/>
        <v>0</v>
      </c>
      <c r="DT122" s="12">
        <f t="shared" si="121"/>
        <v>0</v>
      </c>
      <c r="DU122" s="12">
        <f t="shared" si="121"/>
        <v>0</v>
      </c>
      <c r="DV122" s="12">
        <f t="shared" si="121"/>
        <v>0</v>
      </c>
      <c r="DW122" s="12">
        <f t="shared" si="121"/>
        <v>0</v>
      </c>
      <c r="DX122" s="12">
        <f t="shared" si="121"/>
        <v>0</v>
      </c>
      <c r="DY122" s="12">
        <f t="shared" si="121"/>
        <v>0</v>
      </c>
      <c r="DZ122" s="12">
        <f t="shared" si="121"/>
        <v>0</v>
      </c>
      <c r="EA122" s="12">
        <f t="shared" si="121"/>
        <v>0</v>
      </c>
      <c r="EB122" s="12">
        <f t="shared" si="121"/>
        <v>0</v>
      </c>
      <c r="EC122" s="12">
        <f t="shared" si="121"/>
        <v>0</v>
      </c>
      <c r="ED122" s="12">
        <f t="shared" si="121"/>
        <v>0</v>
      </c>
      <c r="EE122" s="12">
        <f t="shared" si="121"/>
        <v>0</v>
      </c>
      <c r="EF122" s="12">
        <f t="shared" si="121"/>
        <v>0</v>
      </c>
      <c r="EG122" s="12">
        <f t="shared" ref="EG122:FH122" si="122">-IF(AND(EG$6&gt;=$D$32,EG$6&lt;EDATE($D$32,$D$70)),$D$71/$D$70,0)</f>
        <v>0</v>
      </c>
      <c r="EH122" s="12">
        <f t="shared" si="122"/>
        <v>0</v>
      </c>
      <c r="EI122" s="12">
        <f t="shared" si="122"/>
        <v>0</v>
      </c>
      <c r="EJ122" s="12">
        <f t="shared" si="122"/>
        <v>0</v>
      </c>
      <c r="EK122" s="12">
        <f t="shared" si="122"/>
        <v>0</v>
      </c>
      <c r="EL122" s="12">
        <f t="shared" si="122"/>
        <v>0</v>
      </c>
      <c r="EM122" s="12">
        <f t="shared" si="122"/>
        <v>0</v>
      </c>
      <c r="EN122" s="12">
        <f t="shared" si="122"/>
        <v>0</v>
      </c>
      <c r="EO122" s="12">
        <f t="shared" si="122"/>
        <v>0</v>
      </c>
      <c r="EP122" s="12">
        <f t="shared" si="122"/>
        <v>0</v>
      </c>
      <c r="EQ122" s="12">
        <f t="shared" si="122"/>
        <v>0</v>
      </c>
      <c r="ER122" s="12">
        <f t="shared" si="122"/>
        <v>0</v>
      </c>
      <c r="ES122" s="12">
        <f t="shared" si="122"/>
        <v>0</v>
      </c>
      <c r="ET122" s="12">
        <f t="shared" si="122"/>
        <v>0</v>
      </c>
      <c r="EU122" s="12">
        <f t="shared" si="122"/>
        <v>0</v>
      </c>
      <c r="EV122" s="12">
        <f t="shared" si="122"/>
        <v>0</v>
      </c>
      <c r="EW122" s="12">
        <f t="shared" si="122"/>
        <v>0</v>
      </c>
      <c r="EX122" s="12">
        <f t="shared" si="122"/>
        <v>0</v>
      </c>
      <c r="EY122" s="12">
        <f t="shared" si="122"/>
        <v>0</v>
      </c>
      <c r="EZ122" s="12">
        <f t="shared" si="122"/>
        <v>0</v>
      </c>
      <c r="FA122" s="12">
        <f t="shared" si="122"/>
        <v>0</v>
      </c>
      <c r="FB122" s="12">
        <f t="shared" si="122"/>
        <v>0</v>
      </c>
      <c r="FC122" s="12">
        <f t="shared" si="122"/>
        <v>0</v>
      </c>
      <c r="FD122" s="12">
        <f t="shared" si="122"/>
        <v>0</v>
      </c>
      <c r="FE122" s="12">
        <f t="shared" si="122"/>
        <v>0</v>
      </c>
      <c r="FF122" s="12">
        <f t="shared" si="122"/>
        <v>0</v>
      </c>
      <c r="FG122" s="12">
        <f t="shared" si="122"/>
        <v>0</v>
      </c>
      <c r="FH122" s="12">
        <f t="shared" si="122"/>
        <v>0</v>
      </c>
    </row>
    <row r="123" spans="1:164" x14ac:dyDescent="0.2">
      <c r="A123" s="10"/>
      <c r="B123" s="10"/>
      <c r="C123" s="238" t="s">
        <v>2</v>
      </c>
      <c r="D123" s="238"/>
      <c r="E123" s="238"/>
      <c r="F123" s="238"/>
      <c r="G123" s="238"/>
      <c r="H123" s="239">
        <f t="shared" si="82"/>
        <v>-99611.029372312099</v>
      </c>
      <c r="I123" s="239">
        <f t="shared" ref="I123:AN123" si="123">SUM(I116:I122)</f>
        <v>0</v>
      </c>
      <c r="J123" s="239">
        <f t="shared" si="123"/>
        <v>0</v>
      </c>
      <c r="K123" s="239">
        <f t="shared" si="123"/>
        <v>0</v>
      </c>
      <c r="L123" s="239">
        <f t="shared" si="123"/>
        <v>0</v>
      </c>
      <c r="M123" s="239">
        <f t="shared" si="123"/>
        <v>0</v>
      </c>
      <c r="N123" s="239">
        <f t="shared" si="123"/>
        <v>0</v>
      </c>
      <c r="O123" s="239">
        <f t="shared" si="123"/>
        <v>-93.941666666666663</v>
      </c>
      <c r="P123" s="239">
        <f t="shared" si="123"/>
        <v>-93.941666666666663</v>
      </c>
      <c r="Q123" s="239">
        <f t="shared" si="123"/>
        <v>-93.941666666666663</v>
      </c>
      <c r="R123" s="239">
        <f t="shared" si="123"/>
        <v>-393.4083333333333</v>
      </c>
      <c r="S123" s="239">
        <f t="shared" si="123"/>
        <v>-393.4083333333333</v>
      </c>
      <c r="T123" s="239">
        <f t="shared" si="123"/>
        <v>-393.4083333333333</v>
      </c>
      <c r="U123" s="239">
        <f t="shared" si="123"/>
        <v>-874.3711976926752</v>
      </c>
      <c r="V123" s="239">
        <f t="shared" si="123"/>
        <v>-874.3711976926752</v>
      </c>
      <c r="W123" s="239">
        <f t="shared" si="123"/>
        <v>-874.3711976926752</v>
      </c>
      <c r="X123" s="239">
        <f t="shared" si="123"/>
        <v>-874.3711976926752</v>
      </c>
      <c r="Y123" s="239">
        <f t="shared" si="123"/>
        <v>-874.3711976926752</v>
      </c>
      <c r="Z123" s="239">
        <f t="shared" si="123"/>
        <v>-874.3711976926752</v>
      </c>
      <c r="AA123" s="239">
        <f t="shared" si="123"/>
        <v>-1303.0896949737544</v>
      </c>
      <c r="AB123" s="239">
        <f t="shared" si="123"/>
        <v>-1728.3459259959814</v>
      </c>
      <c r="AC123" s="239">
        <f t="shared" si="123"/>
        <v>-2146.6005305539438</v>
      </c>
      <c r="AD123" s="239">
        <f t="shared" si="123"/>
        <v>-2553.2710236747012</v>
      </c>
      <c r="AE123" s="239">
        <f t="shared" si="123"/>
        <v>-2943.9018383343514</v>
      </c>
      <c r="AF123" s="239">
        <f t="shared" si="123"/>
        <v>-3314.2131415827293</v>
      </c>
      <c r="AG123" s="239">
        <f t="shared" si="123"/>
        <v>-3179.1848609294834</v>
      </c>
      <c r="AH123" s="239">
        <f t="shared" si="123"/>
        <v>-3496.9525934027452</v>
      </c>
      <c r="AI123" s="239">
        <f t="shared" si="123"/>
        <v>-3783.0719448690247</v>
      </c>
      <c r="AJ123" s="239">
        <f t="shared" si="123"/>
        <v>-3734.9414651726661</v>
      </c>
      <c r="AK123" s="239">
        <f t="shared" si="123"/>
        <v>-3948.7407957870796</v>
      </c>
      <c r="AL123" s="239">
        <f t="shared" si="123"/>
        <v>-4122.6608398389972</v>
      </c>
      <c r="AM123" s="239">
        <f t="shared" si="123"/>
        <v>-4254.796092930681</v>
      </c>
      <c r="AN123" s="239">
        <f t="shared" si="123"/>
        <v>-4343.6988535781757</v>
      </c>
      <c r="AO123" s="239">
        <f t="shared" ref="AO123:BT123" si="124">SUM(AO116:AO122)</f>
        <v>-4388.3950845317304</v>
      </c>
      <c r="AP123" s="239">
        <f t="shared" si="124"/>
        <v>-4388.3950845317304</v>
      </c>
      <c r="AQ123" s="239">
        <f t="shared" si="124"/>
        <v>-4343.6988535781757</v>
      </c>
      <c r="AR123" s="239">
        <f t="shared" si="124"/>
        <v>-4254.796092930681</v>
      </c>
      <c r="AS123" s="239">
        <f t="shared" si="124"/>
        <v>-4122.6608398389972</v>
      </c>
      <c r="AT123" s="239">
        <f t="shared" si="124"/>
        <v>-3948.7407957870796</v>
      </c>
      <c r="AU123" s="239">
        <f t="shared" si="124"/>
        <v>-3734.9414651726679</v>
      </c>
      <c r="AV123" s="239">
        <f t="shared" si="124"/>
        <v>-3483.6052782023585</v>
      </c>
      <c r="AW123" s="239">
        <f t="shared" si="124"/>
        <v>-3197.4859267360789</v>
      </c>
      <c r="AX123" s="239">
        <f t="shared" si="124"/>
        <v>-2879.7181942628163</v>
      </c>
      <c r="AY123" s="239">
        <f t="shared" si="124"/>
        <v>-2533.7836105567226</v>
      </c>
      <c r="AZ123" s="239">
        <f t="shared" si="124"/>
        <v>-2163.4723073083428</v>
      </c>
      <c r="BA123" s="239">
        <f t="shared" si="124"/>
        <v>-1772.8414926486923</v>
      </c>
      <c r="BB123" s="239">
        <f t="shared" si="124"/>
        <v>-1366.1709995279343</v>
      </c>
      <c r="BC123" s="239">
        <f t="shared" si="124"/>
        <v>-947.91639496997323</v>
      </c>
      <c r="BD123" s="239">
        <f t="shared" si="124"/>
        <v>-522.66016394774556</v>
      </c>
      <c r="BE123" s="239">
        <f t="shared" si="124"/>
        <v>0</v>
      </c>
      <c r="BF123" s="239">
        <f t="shared" si="124"/>
        <v>0</v>
      </c>
      <c r="BG123" s="239">
        <f t="shared" si="124"/>
        <v>0</v>
      </c>
      <c r="BH123" s="239">
        <f t="shared" si="124"/>
        <v>0</v>
      </c>
      <c r="BI123" s="239">
        <f t="shared" si="124"/>
        <v>0</v>
      </c>
      <c r="BJ123" s="239">
        <f t="shared" si="124"/>
        <v>0</v>
      </c>
      <c r="BK123" s="239">
        <f t="shared" si="124"/>
        <v>0</v>
      </c>
      <c r="BL123" s="239">
        <f t="shared" si="124"/>
        <v>0</v>
      </c>
      <c r="BM123" s="239">
        <f t="shared" si="124"/>
        <v>0</v>
      </c>
      <c r="BN123" s="239">
        <f t="shared" si="124"/>
        <v>0</v>
      </c>
      <c r="BO123" s="239">
        <f t="shared" si="124"/>
        <v>0</v>
      </c>
      <c r="BP123" s="239">
        <f t="shared" si="124"/>
        <v>0</v>
      </c>
      <c r="BQ123" s="239">
        <f t="shared" si="124"/>
        <v>0</v>
      </c>
      <c r="BR123" s="239">
        <f t="shared" si="124"/>
        <v>0</v>
      </c>
      <c r="BS123" s="239">
        <f t="shared" si="124"/>
        <v>0</v>
      </c>
      <c r="BT123" s="239">
        <f t="shared" si="124"/>
        <v>0</v>
      </c>
      <c r="BU123" s="239">
        <f t="shared" ref="BU123:CZ123" si="125">SUM(BU116:BU122)</f>
        <v>0</v>
      </c>
      <c r="BV123" s="239">
        <f t="shared" si="125"/>
        <v>0</v>
      </c>
      <c r="BW123" s="239">
        <f t="shared" si="125"/>
        <v>0</v>
      </c>
      <c r="BX123" s="239">
        <f t="shared" si="125"/>
        <v>0</v>
      </c>
      <c r="BY123" s="239">
        <f t="shared" si="125"/>
        <v>0</v>
      </c>
      <c r="BZ123" s="239">
        <f t="shared" si="125"/>
        <v>0</v>
      </c>
      <c r="CA123" s="239">
        <f t="shared" si="125"/>
        <v>0</v>
      </c>
      <c r="CB123" s="239">
        <f t="shared" si="125"/>
        <v>0</v>
      </c>
      <c r="CC123" s="239">
        <f t="shared" si="125"/>
        <v>0</v>
      </c>
      <c r="CD123" s="239">
        <f t="shared" si="125"/>
        <v>0</v>
      </c>
      <c r="CE123" s="239">
        <f t="shared" si="125"/>
        <v>0</v>
      </c>
      <c r="CF123" s="239">
        <f t="shared" si="125"/>
        <v>0</v>
      </c>
      <c r="CG123" s="239">
        <f t="shared" si="125"/>
        <v>0</v>
      </c>
      <c r="CH123" s="239">
        <f t="shared" si="125"/>
        <v>0</v>
      </c>
      <c r="CI123" s="239">
        <f t="shared" si="125"/>
        <v>0</v>
      </c>
      <c r="CJ123" s="239">
        <f t="shared" si="125"/>
        <v>0</v>
      </c>
      <c r="CK123" s="239">
        <f t="shared" si="125"/>
        <v>0</v>
      </c>
      <c r="CL123" s="239">
        <f t="shared" si="125"/>
        <v>0</v>
      </c>
      <c r="CM123" s="239">
        <f t="shared" si="125"/>
        <v>0</v>
      </c>
      <c r="CN123" s="239">
        <f t="shared" si="125"/>
        <v>0</v>
      </c>
      <c r="CO123" s="239">
        <f t="shared" si="125"/>
        <v>0</v>
      </c>
      <c r="CP123" s="239">
        <f t="shared" si="125"/>
        <v>0</v>
      </c>
      <c r="CQ123" s="239">
        <f t="shared" si="125"/>
        <v>0</v>
      </c>
      <c r="CR123" s="239">
        <f t="shared" si="125"/>
        <v>0</v>
      </c>
      <c r="CS123" s="239">
        <f t="shared" si="125"/>
        <v>0</v>
      </c>
      <c r="CT123" s="239">
        <f t="shared" si="125"/>
        <v>0</v>
      </c>
      <c r="CU123" s="239">
        <f t="shared" si="125"/>
        <v>0</v>
      </c>
      <c r="CV123" s="239">
        <f t="shared" si="125"/>
        <v>0</v>
      </c>
      <c r="CW123" s="239">
        <f t="shared" si="125"/>
        <v>0</v>
      </c>
      <c r="CX123" s="239">
        <f t="shared" si="125"/>
        <v>0</v>
      </c>
      <c r="CY123" s="239">
        <f t="shared" si="125"/>
        <v>0</v>
      </c>
      <c r="CZ123" s="239">
        <f t="shared" si="125"/>
        <v>0</v>
      </c>
      <c r="DA123" s="239">
        <f t="shared" ref="DA123:EF123" si="126">SUM(DA116:DA122)</f>
        <v>0</v>
      </c>
      <c r="DB123" s="239">
        <f t="shared" si="126"/>
        <v>0</v>
      </c>
      <c r="DC123" s="239">
        <f t="shared" si="126"/>
        <v>0</v>
      </c>
      <c r="DD123" s="239">
        <f t="shared" si="126"/>
        <v>0</v>
      </c>
      <c r="DE123" s="239">
        <f t="shared" si="126"/>
        <v>0</v>
      </c>
      <c r="DF123" s="239">
        <f t="shared" si="126"/>
        <v>0</v>
      </c>
      <c r="DG123" s="239">
        <f t="shared" si="126"/>
        <v>0</v>
      </c>
      <c r="DH123" s="239">
        <f t="shared" si="126"/>
        <v>0</v>
      </c>
      <c r="DI123" s="239">
        <f t="shared" si="126"/>
        <v>0</v>
      </c>
      <c r="DJ123" s="239">
        <f t="shared" si="126"/>
        <v>0</v>
      </c>
      <c r="DK123" s="239">
        <f t="shared" si="126"/>
        <v>0</v>
      </c>
      <c r="DL123" s="239">
        <f t="shared" si="126"/>
        <v>0</v>
      </c>
      <c r="DM123" s="239">
        <f t="shared" si="126"/>
        <v>0</v>
      </c>
      <c r="DN123" s="239">
        <f t="shared" si="126"/>
        <v>0</v>
      </c>
      <c r="DO123" s="239">
        <f t="shared" si="126"/>
        <v>0</v>
      </c>
      <c r="DP123" s="239">
        <f t="shared" si="126"/>
        <v>0</v>
      </c>
      <c r="DQ123" s="239">
        <f t="shared" si="126"/>
        <v>0</v>
      </c>
      <c r="DR123" s="239">
        <f t="shared" si="126"/>
        <v>0</v>
      </c>
      <c r="DS123" s="239">
        <f t="shared" si="126"/>
        <v>0</v>
      </c>
      <c r="DT123" s="239">
        <f t="shared" si="126"/>
        <v>0</v>
      </c>
      <c r="DU123" s="239">
        <f t="shared" si="126"/>
        <v>0</v>
      </c>
      <c r="DV123" s="239">
        <f t="shared" si="126"/>
        <v>0</v>
      </c>
      <c r="DW123" s="239">
        <f t="shared" si="126"/>
        <v>0</v>
      </c>
      <c r="DX123" s="239">
        <f t="shared" si="126"/>
        <v>0</v>
      </c>
      <c r="DY123" s="239">
        <f t="shared" si="126"/>
        <v>0</v>
      </c>
      <c r="DZ123" s="239">
        <f t="shared" si="126"/>
        <v>0</v>
      </c>
      <c r="EA123" s="239">
        <f t="shared" si="126"/>
        <v>0</v>
      </c>
      <c r="EB123" s="239">
        <f t="shared" si="126"/>
        <v>0</v>
      </c>
      <c r="EC123" s="239">
        <f t="shared" si="126"/>
        <v>0</v>
      </c>
      <c r="ED123" s="239">
        <f t="shared" si="126"/>
        <v>0</v>
      </c>
      <c r="EE123" s="239">
        <f t="shared" si="126"/>
        <v>0</v>
      </c>
      <c r="EF123" s="239">
        <f t="shared" si="126"/>
        <v>0</v>
      </c>
      <c r="EG123" s="239">
        <f t="shared" ref="EG123:FH123" si="127">SUM(EG116:EG122)</f>
        <v>0</v>
      </c>
      <c r="EH123" s="239">
        <f t="shared" si="127"/>
        <v>0</v>
      </c>
      <c r="EI123" s="239">
        <f t="shared" si="127"/>
        <v>0</v>
      </c>
      <c r="EJ123" s="239">
        <f t="shared" si="127"/>
        <v>0</v>
      </c>
      <c r="EK123" s="239">
        <f t="shared" si="127"/>
        <v>0</v>
      </c>
      <c r="EL123" s="239">
        <f t="shared" si="127"/>
        <v>0</v>
      </c>
      <c r="EM123" s="239">
        <f t="shared" si="127"/>
        <v>0</v>
      </c>
      <c r="EN123" s="239">
        <f t="shared" si="127"/>
        <v>0</v>
      </c>
      <c r="EO123" s="239">
        <f t="shared" si="127"/>
        <v>0</v>
      </c>
      <c r="EP123" s="239">
        <f t="shared" si="127"/>
        <v>0</v>
      </c>
      <c r="EQ123" s="239">
        <f t="shared" si="127"/>
        <v>0</v>
      </c>
      <c r="ER123" s="239">
        <f t="shared" si="127"/>
        <v>0</v>
      </c>
      <c r="ES123" s="239">
        <f t="shared" si="127"/>
        <v>0</v>
      </c>
      <c r="ET123" s="239">
        <f t="shared" si="127"/>
        <v>0</v>
      </c>
      <c r="EU123" s="239">
        <f t="shared" si="127"/>
        <v>0</v>
      </c>
      <c r="EV123" s="239">
        <f t="shared" si="127"/>
        <v>0</v>
      </c>
      <c r="EW123" s="239">
        <f t="shared" si="127"/>
        <v>0</v>
      </c>
      <c r="EX123" s="239">
        <f t="shared" si="127"/>
        <v>0</v>
      </c>
      <c r="EY123" s="239">
        <f t="shared" si="127"/>
        <v>0</v>
      </c>
      <c r="EZ123" s="239">
        <f t="shared" si="127"/>
        <v>0</v>
      </c>
      <c r="FA123" s="239">
        <f t="shared" si="127"/>
        <v>0</v>
      </c>
      <c r="FB123" s="239">
        <f t="shared" si="127"/>
        <v>0</v>
      </c>
      <c r="FC123" s="239">
        <f t="shared" si="127"/>
        <v>0</v>
      </c>
      <c r="FD123" s="239">
        <f t="shared" si="127"/>
        <v>0</v>
      </c>
      <c r="FE123" s="239">
        <f t="shared" si="127"/>
        <v>0</v>
      </c>
      <c r="FF123" s="239">
        <f t="shared" si="127"/>
        <v>0</v>
      </c>
      <c r="FG123" s="239">
        <f t="shared" si="127"/>
        <v>0</v>
      </c>
      <c r="FH123" s="239">
        <f t="shared" si="127"/>
        <v>0</v>
      </c>
    </row>
    <row r="124" spans="1:164" x14ac:dyDescent="0.2">
      <c r="A124" s="10"/>
      <c r="B124" s="31" t="s">
        <v>915</v>
      </c>
      <c r="C124" s="31"/>
      <c r="D124" s="31"/>
      <c r="E124" s="31"/>
      <c r="F124" s="31"/>
      <c r="G124" s="31"/>
      <c r="H124" s="32">
        <f t="shared" si="82"/>
        <v>64257.13062768802</v>
      </c>
      <c r="I124" s="32">
        <f t="shared" ref="I124:AN124" si="128">I113+I123</f>
        <v>0</v>
      </c>
      <c r="J124" s="32">
        <f t="shared" si="128"/>
        <v>0</v>
      </c>
      <c r="K124" s="32">
        <f t="shared" si="128"/>
        <v>0</v>
      </c>
      <c r="L124" s="32">
        <f t="shared" si="128"/>
        <v>0</v>
      </c>
      <c r="M124" s="32">
        <f t="shared" si="128"/>
        <v>0</v>
      </c>
      <c r="N124" s="32">
        <f t="shared" si="128"/>
        <v>0</v>
      </c>
      <c r="O124" s="32">
        <f t="shared" si="128"/>
        <v>-93.941666666666663</v>
      </c>
      <c r="P124" s="32">
        <f t="shared" si="128"/>
        <v>-93.941666666666663</v>
      </c>
      <c r="Q124" s="32">
        <f t="shared" si="128"/>
        <v>-93.941666666666663</v>
      </c>
      <c r="R124" s="32">
        <f t="shared" si="128"/>
        <v>-393.4083333333333</v>
      </c>
      <c r="S124" s="32">
        <f t="shared" si="128"/>
        <v>-393.4083333333333</v>
      </c>
      <c r="T124" s="32">
        <f t="shared" si="128"/>
        <v>-393.4083333333333</v>
      </c>
      <c r="U124" s="32">
        <f t="shared" si="128"/>
        <v>323.49546897399159</v>
      </c>
      <c r="V124" s="32">
        <f t="shared" si="128"/>
        <v>372.7791261168486</v>
      </c>
      <c r="W124" s="32">
        <f t="shared" si="128"/>
        <v>423.51230258743681</v>
      </c>
      <c r="X124" s="32">
        <f t="shared" si="128"/>
        <v>475.78284804198233</v>
      </c>
      <c r="Y124" s="32">
        <f t="shared" si="128"/>
        <v>529.6868480419821</v>
      </c>
      <c r="Z124" s="32">
        <f t="shared" si="128"/>
        <v>585.32968675165944</v>
      </c>
      <c r="AA124" s="32">
        <f t="shared" si="128"/>
        <v>-751.85089052941953</v>
      </c>
      <c r="AB124" s="32">
        <f t="shared" si="128"/>
        <v>-1165.2110663792328</v>
      </c>
      <c r="AC124" s="32">
        <f t="shared" si="128"/>
        <v>-1571.1447566514807</v>
      </c>
      <c r="AD124" s="32">
        <f t="shared" si="128"/>
        <v>-1965.0380053277936</v>
      </c>
      <c r="AE124" s="32">
        <f t="shared" si="128"/>
        <v>-2342.4001430643671</v>
      </c>
      <c r="AF124" s="32">
        <f t="shared" si="128"/>
        <v>-2698.9120223127452</v>
      </c>
      <c r="AG124" s="32">
        <f t="shared" si="128"/>
        <v>-2549.5093416594991</v>
      </c>
      <c r="AH124" s="32">
        <f t="shared" si="128"/>
        <v>-2852.2777002197172</v>
      </c>
      <c r="AI124" s="32">
        <f t="shared" si="128"/>
        <v>-3122.7158880496336</v>
      </c>
      <c r="AJ124" s="32">
        <f t="shared" si="128"/>
        <v>-3058.1575226389891</v>
      </c>
      <c r="AK124" s="32">
        <f t="shared" si="128"/>
        <v>-3254.7075732534026</v>
      </c>
      <c r="AL124" s="32">
        <f t="shared" si="128"/>
        <v>-3410.4704804632147</v>
      </c>
      <c r="AM124" s="32">
        <f t="shared" si="128"/>
        <v>-3523.4398668882322</v>
      </c>
      <c r="AN124" s="32">
        <f t="shared" si="128"/>
        <v>-3592.0493569474911</v>
      </c>
      <c r="AO124" s="32">
        <f t="shared" ref="AO124:BT124" si="129">AO113+AO123</f>
        <v>-3615.1839879010458</v>
      </c>
      <c r="AP124" s="32">
        <f t="shared" si="129"/>
        <v>-3592.1849479010461</v>
      </c>
      <c r="AQ124" s="32">
        <f t="shared" si="129"/>
        <v>-3522.8468883760629</v>
      </c>
      <c r="AR124" s="32">
        <f t="shared" si="129"/>
        <v>-3407.4067738824142</v>
      </c>
      <c r="AS124" s="32">
        <f t="shared" si="129"/>
        <v>-3246.5227207907305</v>
      </c>
      <c r="AT124" s="32">
        <f t="shared" si="129"/>
        <v>-3041.2403494660857</v>
      </c>
      <c r="AU124" s="32">
        <f t="shared" si="129"/>
        <v>-2792.942458851674</v>
      </c>
      <c r="AV124" s="32">
        <f t="shared" si="129"/>
        <v>-2503.2745385480312</v>
      </c>
      <c r="AW124" s="32">
        <f t="shared" si="129"/>
        <v>-2174.0319870817516</v>
      </c>
      <c r="AX124" s="32">
        <f t="shared" si="129"/>
        <v>-1806.9805974656319</v>
      </c>
      <c r="AY124" s="32">
        <f t="shared" si="129"/>
        <v>-1403.5484137595381</v>
      </c>
      <c r="AZ124" s="32">
        <f t="shared" si="129"/>
        <v>-964.23999051115857</v>
      </c>
      <c r="BA124" s="32">
        <f t="shared" si="129"/>
        <v>-487.3627758515081</v>
      </c>
      <c r="BB124" s="32">
        <f t="shared" si="129"/>
        <v>34.302917269249974</v>
      </c>
      <c r="BC124" s="32">
        <f t="shared" si="129"/>
        <v>625.05032182721106</v>
      </c>
      <c r="BD124" s="32">
        <f t="shared" si="129"/>
        <v>1395.2921528494389</v>
      </c>
      <c r="BE124" s="32">
        <f t="shared" si="129"/>
        <v>6899.7120000000059</v>
      </c>
      <c r="BF124" s="32">
        <f t="shared" si="129"/>
        <v>1034.9567999999999</v>
      </c>
      <c r="BG124" s="32">
        <f t="shared" si="129"/>
        <v>1034.9567999999999</v>
      </c>
      <c r="BH124" s="32">
        <f t="shared" si="129"/>
        <v>1034.9567999999999</v>
      </c>
      <c r="BI124" s="32">
        <f t="shared" si="129"/>
        <v>1034.9567999999999</v>
      </c>
      <c r="BJ124" s="32">
        <f t="shared" si="129"/>
        <v>1034.9567999999999</v>
      </c>
      <c r="BK124" s="32">
        <f t="shared" si="129"/>
        <v>1034.9567999999999</v>
      </c>
      <c r="BL124" s="32">
        <f t="shared" si="129"/>
        <v>1034.9567999999999</v>
      </c>
      <c r="BM124" s="32">
        <f t="shared" si="129"/>
        <v>1034.9567999999999</v>
      </c>
      <c r="BN124" s="32">
        <f t="shared" si="129"/>
        <v>1034.9567999999999</v>
      </c>
      <c r="BO124" s="32">
        <f t="shared" si="129"/>
        <v>1034.9567999999999</v>
      </c>
      <c r="BP124" s="32">
        <f t="shared" si="129"/>
        <v>112120.32000000011</v>
      </c>
      <c r="BQ124" s="32">
        <f t="shared" si="129"/>
        <v>0</v>
      </c>
      <c r="BR124" s="32">
        <f t="shared" si="129"/>
        <v>0</v>
      </c>
      <c r="BS124" s="32">
        <f t="shared" si="129"/>
        <v>0</v>
      </c>
      <c r="BT124" s="32">
        <f t="shared" si="129"/>
        <v>0</v>
      </c>
      <c r="BU124" s="32">
        <f t="shared" ref="BU124:CZ124" si="130">BU113+BU123</f>
        <v>0</v>
      </c>
      <c r="BV124" s="32">
        <f t="shared" si="130"/>
        <v>0</v>
      </c>
      <c r="BW124" s="32">
        <f t="shared" si="130"/>
        <v>0</v>
      </c>
      <c r="BX124" s="32">
        <f t="shared" si="130"/>
        <v>0</v>
      </c>
      <c r="BY124" s="32">
        <f t="shared" si="130"/>
        <v>0</v>
      </c>
      <c r="BZ124" s="32">
        <f t="shared" si="130"/>
        <v>0</v>
      </c>
      <c r="CA124" s="32">
        <f t="shared" si="130"/>
        <v>0</v>
      </c>
      <c r="CB124" s="32">
        <f t="shared" si="130"/>
        <v>0</v>
      </c>
      <c r="CC124" s="32">
        <f t="shared" si="130"/>
        <v>0</v>
      </c>
      <c r="CD124" s="32">
        <f t="shared" si="130"/>
        <v>0</v>
      </c>
      <c r="CE124" s="32">
        <f t="shared" si="130"/>
        <v>0</v>
      </c>
      <c r="CF124" s="32">
        <f t="shared" si="130"/>
        <v>0</v>
      </c>
      <c r="CG124" s="32">
        <f t="shared" si="130"/>
        <v>0</v>
      </c>
      <c r="CH124" s="32">
        <f t="shared" si="130"/>
        <v>0</v>
      </c>
      <c r="CI124" s="32">
        <f t="shared" si="130"/>
        <v>0</v>
      </c>
      <c r="CJ124" s="32">
        <f t="shared" si="130"/>
        <v>0</v>
      </c>
      <c r="CK124" s="32">
        <f t="shared" si="130"/>
        <v>0</v>
      </c>
      <c r="CL124" s="32">
        <f t="shared" si="130"/>
        <v>0</v>
      </c>
      <c r="CM124" s="32">
        <f t="shared" si="130"/>
        <v>0</v>
      </c>
      <c r="CN124" s="32">
        <f t="shared" si="130"/>
        <v>0</v>
      </c>
      <c r="CO124" s="32">
        <f t="shared" si="130"/>
        <v>0</v>
      </c>
      <c r="CP124" s="32">
        <f t="shared" si="130"/>
        <v>0</v>
      </c>
      <c r="CQ124" s="32">
        <f t="shared" si="130"/>
        <v>0</v>
      </c>
      <c r="CR124" s="32">
        <f t="shared" si="130"/>
        <v>0</v>
      </c>
      <c r="CS124" s="32">
        <f t="shared" si="130"/>
        <v>0</v>
      </c>
      <c r="CT124" s="32">
        <f t="shared" si="130"/>
        <v>0</v>
      </c>
      <c r="CU124" s="32">
        <f t="shared" si="130"/>
        <v>0</v>
      </c>
      <c r="CV124" s="32">
        <f t="shared" si="130"/>
        <v>0</v>
      </c>
      <c r="CW124" s="32">
        <f t="shared" si="130"/>
        <v>0</v>
      </c>
      <c r="CX124" s="32">
        <f t="shared" si="130"/>
        <v>0</v>
      </c>
      <c r="CY124" s="32">
        <f t="shared" si="130"/>
        <v>0</v>
      </c>
      <c r="CZ124" s="32">
        <f t="shared" si="130"/>
        <v>0</v>
      </c>
      <c r="DA124" s="32">
        <f t="shared" ref="DA124:EF124" si="131">DA113+DA123</f>
        <v>0</v>
      </c>
      <c r="DB124" s="32">
        <f t="shared" si="131"/>
        <v>0</v>
      </c>
      <c r="DC124" s="32">
        <f t="shared" si="131"/>
        <v>0</v>
      </c>
      <c r="DD124" s="32">
        <f t="shared" si="131"/>
        <v>0</v>
      </c>
      <c r="DE124" s="32">
        <f t="shared" si="131"/>
        <v>0</v>
      </c>
      <c r="DF124" s="32">
        <f t="shared" si="131"/>
        <v>0</v>
      </c>
      <c r="DG124" s="32">
        <f t="shared" si="131"/>
        <v>0</v>
      </c>
      <c r="DH124" s="32">
        <f t="shared" si="131"/>
        <v>0</v>
      </c>
      <c r="DI124" s="32">
        <f t="shared" si="131"/>
        <v>0</v>
      </c>
      <c r="DJ124" s="32">
        <f t="shared" si="131"/>
        <v>0</v>
      </c>
      <c r="DK124" s="32">
        <f t="shared" si="131"/>
        <v>0</v>
      </c>
      <c r="DL124" s="32">
        <f t="shared" si="131"/>
        <v>0</v>
      </c>
      <c r="DM124" s="32">
        <f t="shared" si="131"/>
        <v>0</v>
      </c>
      <c r="DN124" s="32">
        <f t="shared" si="131"/>
        <v>0</v>
      </c>
      <c r="DO124" s="32">
        <f t="shared" si="131"/>
        <v>0</v>
      </c>
      <c r="DP124" s="32">
        <f t="shared" si="131"/>
        <v>0</v>
      </c>
      <c r="DQ124" s="32">
        <f t="shared" si="131"/>
        <v>0</v>
      </c>
      <c r="DR124" s="32">
        <f t="shared" si="131"/>
        <v>0</v>
      </c>
      <c r="DS124" s="32">
        <f t="shared" si="131"/>
        <v>0</v>
      </c>
      <c r="DT124" s="32">
        <f t="shared" si="131"/>
        <v>0</v>
      </c>
      <c r="DU124" s="32">
        <f t="shared" si="131"/>
        <v>0</v>
      </c>
      <c r="DV124" s="32">
        <f t="shared" si="131"/>
        <v>0</v>
      </c>
      <c r="DW124" s="32">
        <f t="shared" si="131"/>
        <v>0</v>
      </c>
      <c r="DX124" s="32">
        <f t="shared" si="131"/>
        <v>0</v>
      </c>
      <c r="DY124" s="32">
        <f t="shared" si="131"/>
        <v>0</v>
      </c>
      <c r="DZ124" s="32">
        <f t="shared" si="131"/>
        <v>0</v>
      </c>
      <c r="EA124" s="32">
        <f t="shared" si="131"/>
        <v>0</v>
      </c>
      <c r="EB124" s="32">
        <f t="shared" si="131"/>
        <v>0</v>
      </c>
      <c r="EC124" s="32">
        <f t="shared" si="131"/>
        <v>0</v>
      </c>
      <c r="ED124" s="32">
        <f t="shared" si="131"/>
        <v>0</v>
      </c>
      <c r="EE124" s="32">
        <f t="shared" si="131"/>
        <v>0</v>
      </c>
      <c r="EF124" s="32">
        <f t="shared" si="131"/>
        <v>0</v>
      </c>
      <c r="EG124" s="32">
        <f t="shared" ref="EG124:FH124" si="132">EG113+EG123</f>
        <v>0</v>
      </c>
      <c r="EH124" s="32">
        <f t="shared" si="132"/>
        <v>0</v>
      </c>
      <c r="EI124" s="32">
        <f t="shared" si="132"/>
        <v>0</v>
      </c>
      <c r="EJ124" s="32">
        <f t="shared" si="132"/>
        <v>0</v>
      </c>
      <c r="EK124" s="32">
        <f t="shared" si="132"/>
        <v>0</v>
      </c>
      <c r="EL124" s="32">
        <f t="shared" si="132"/>
        <v>0</v>
      </c>
      <c r="EM124" s="32">
        <f t="shared" si="132"/>
        <v>0</v>
      </c>
      <c r="EN124" s="32">
        <f t="shared" si="132"/>
        <v>0</v>
      </c>
      <c r="EO124" s="32">
        <f t="shared" si="132"/>
        <v>0</v>
      </c>
      <c r="EP124" s="32">
        <f t="shared" si="132"/>
        <v>0</v>
      </c>
      <c r="EQ124" s="32">
        <f t="shared" si="132"/>
        <v>0</v>
      </c>
      <c r="ER124" s="32">
        <f t="shared" si="132"/>
        <v>0</v>
      </c>
      <c r="ES124" s="32">
        <f t="shared" si="132"/>
        <v>0</v>
      </c>
      <c r="ET124" s="32">
        <f t="shared" si="132"/>
        <v>0</v>
      </c>
      <c r="EU124" s="32">
        <f t="shared" si="132"/>
        <v>0</v>
      </c>
      <c r="EV124" s="32">
        <f t="shared" si="132"/>
        <v>0</v>
      </c>
      <c r="EW124" s="32">
        <f t="shared" si="132"/>
        <v>0</v>
      </c>
      <c r="EX124" s="32">
        <f t="shared" si="132"/>
        <v>0</v>
      </c>
      <c r="EY124" s="32">
        <f t="shared" si="132"/>
        <v>0</v>
      </c>
      <c r="EZ124" s="32">
        <f t="shared" si="132"/>
        <v>0</v>
      </c>
      <c r="FA124" s="32">
        <f t="shared" si="132"/>
        <v>0</v>
      </c>
      <c r="FB124" s="32">
        <f t="shared" si="132"/>
        <v>0</v>
      </c>
      <c r="FC124" s="32">
        <f t="shared" si="132"/>
        <v>0</v>
      </c>
      <c r="FD124" s="32">
        <f t="shared" si="132"/>
        <v>0</v>
      </c>
      <c r="FE124" s="32">
        <f t="shared" si="132"/>
        <v>0</v>
      </c>
      <c r="FF124" s="32">
        <f t="shared" si="132"/>
        <v>0</v>
      </c>
      <c r="FG124" s="32">
        <f t="shared" si="132"/>
        <v>0</v>
      </c>
      <c r="FH124" s="32">
        <f t="shared" si="132"/>
        <v>0</v>
      </c>
    </row>
    <row r="125" spans="1:164" x14ac:dyDescent="0.2">
      <c r="A125" s="10"/>
      <c r="B125" s="10"/>
      <c r="C125" s="10" t="s">
        <v>916</v>
      </c>
      <c r="D125" s="10"/>
      <c r="E125" s="10"/>
      <c r="F125" s="10"/>
      <c r="G125" s="10"/>
      <c r="H125" s="12"/>
      <c r="I125" s="12">
        <f>I124</f>
        <v>0</v>
      </c>
      <c r="J125" s="12">
        <f t="shared" ref="J125:AO125" si="133">I125+J124</f>
        <v>0</v>
      </c>
      <c r="K125" s="12">
        <f t="shared" si="133"/>
        <v>0</v>
      </c>
      <c r="L125" s="12">
        <f t="shared" si="133"/>
        <v>0</v>
      </c>
      <c r="M125" s="12">
        <f t="shared" si="133"/>
        <v>0</v>
      </c>
      <c r="N125" s="12">
        <f t="shared" si="133"/>
        <v>0</v>
      </c>
      <c r="O125" s="12">
        <f t="shared" si="133"/>
        <v>-93.941666666666663</v>
      </c>
      <c r="P125" s="12">
        <f t="shared" si="133"/>
        <v>-187.88333333333333</v>
      </c>
      <c r="Q125" s="12">
        <f t="shared" si="133"/>
        <v>-281.82499999999999</v>
      </c>
      <c r="R125" s="12">
        <f t="shared" si="133"/>
        <v>-675.23333333333335</v>
      </c>
      <c r="S125" s="12">
        <f t="shared" si="133"/>
        <v>-1068.6416666666667</v>
      </c>
      <c r="T125" s="12">
        <f t="shared" si="133"/>
        <v>-1462.05</v>
      </c>
      <c r="U125" s="12">
        <f t="shared" si="133"/>
        <v>-1138.5545310260084</v>
      </c>
      <c r="V125" s="12">
        <f t="shared" si="133"/>
        <v>-765.77540490915976</v>
      </c>
      <c r="W125" s="12">
        <f t="shared" si="133"/>
        <v>-342.26310232172295</v>
      </c>
      <c r="X125" s="12">
        <f t="shared" si="133"/>
        <v>133.51974572025938</v>
      </c>
      <c r="Y125" s="12">
        <f t="shared" si="133"/>
        <v>663.20659376224148</v>
      </c>
      <c r="Z125" s="12">
        <f t="shared" si="133"/>
        <v>1248.5362805139009</v>
      </c>
      <c r="AA125" s="12">
        <f t="shared" si="133"/>
        <v>496.68538998448139</v>
      </c>
      <c r="AB125" s="12">
        <f t="shared" si="133"/>
        <v>-668.52567639475137</v>
      </c>
      <c r="AC125" s="12">
        <f t="shared" si="133"/>
        <v>-2239.6704330462321</v>
      </c>
      <c r="AD125" s="12">
        <f t="shared" si="133"/>
        <v>-4204.7084383740257</v>
      </c>
      <c r="AE125" s="12">
        <f t="shared" si="133"/>
        <v>-6547.1085814383932</v>
      </c>
      <c r="AF125" s="12">
        <f t="shared" si="133"/>
        <v>-9246.020603751138</v>
      </c>
      <c r="AG125" s="12">
        <f t="shared" si="133"/>
        <v>-11795.529945410637</v>
      </c>
      <c r="AH125" s="12">
        <f t="shared" si="133"/>
        <v>-14647.807645630353</v>
      </c>
      <c r="AI125" s="12">
        <f t="shared" si="133"/>
        <v>-17770.523533679989</v>
      </c>
      <c r="AJ125" s="12">
        <f t="shared" si="133"/>
        <v>-20828.681056318979</v>
      </c>
      <c r="AK125" s="12">
        <f t="shared" si="133"/>
        <v>-24083.388629572382</v>
      </c>
      <c r="AL125" s="12">
        <f t="shared" si="133"/>
        <v>-27493.859110035599</v>
      </c>
      <c r="AM125" s="12">
        <f t="shared" si="133"/>
        <v>-31017.29897692383</v>
      </c>
      <c r="AN125" s="12">
        <f t="shared" si="133"/>
        <v>-34609.348333871319</v>
      </c>
      <c r="AO125" s="12">
        <f t="shared" si="133"/>
        <v>-38224.532321772364</v>
      </c>
      <c r="AP125" s="12">
        <f t="shared" ref="AP125:BU125" si="134">AO125+AP124</f>
        <v>-41816.717269673412</v>
      </c>
      <c r="AQ125" s="12">
        <f t="shared" si="134"/>
        <v>-45339.564158049478</v>
      </c>
      <c r="AR125" s="12">
        <f t="shared" si="134"/>
        <v>-48746.970931931894</v>
      </c>
      <c r="AS125" s="12">
        <f t="shared" si="134"/>
        <v>-51993.493652722624</v>
      </c>
      <c r="AT125" s="12">
        <f t="shared" si="134"/>
        <v>-55034.734002188707</v>
      </c>
      <c r="AU125" s="12">
        <f t="shared" si="134"/>
        <v>-57827.676461040377</v>
      </c>
      <c r="AV125" s="12">
        <f t="shared" si="134"/>
        <v>-60330.950999588407</v>
      </c>
      <c r="AW125" s="12">
        <f t="shared" si="134"/>
        <v>-62504.982986670162</v>
      </c>
      <c r="AX125" s="12">
        <f t="shared" si="134"/>
        <v>-64311.963584135796</v>
      </c>
      <c r="AY125" s="12">
        <f t="shared" si="134"/>
        <v>-65715.51199789533</v>
      </c>
      <c r="AZ125" s="12">
        <f t="shared" si="134"/>
        <v>-66679.751988406482</v>
      </c>
      <c r="BA125" s="12">
        <f t="shared" si="134"/>
        <v>-67167.114764257989</v>
      </c>
      <c r="BB125" s="12">
        <f t="shared" si="134"/>
        <v>-67132.811846988741</v>
      </c>
      <c r="BC125" s="12">
        <f t="shared" si="134"/>
        <v>-66507.761525161535</v>
      </c>
      <c r="BD125" s="12">
        <f t="shared" si="134"/>
        <v>-65112.469372312094</v>
      </c>
      <c r="BE125" s="12">
        <f t="shared" si="134"/>
        <v>-58212.757372312088</v>
      </c>
      <c r="BF125" s="12">
        <f t="shared" si="134"/>
        <v>-57177.800572312088</v>
      </c>
      <c r="BG125" s="12">
        <f t="shared" si="134"/>
        <v>-56142.843772312088</v>
      </c>
      <c r="BH125" s="12">
        <f t="shared" si="134"/>
        <v>-55107.886972312088</v>
      </c>
      <c r="BI125" s="12">
        <f t="shared" si="134"/>
        <v>-54072.930172312088</v>
      </c>
      <c r="BJ125" s="12">
        <f t="shared" si="134"/>
        <v>-53037.973372312088</v>
      </c>
      <c r="BK125" s="12">
        <f t="shared" si="134"/>
        <v>-52003.016572312088</v>
      </c>
      <c r="BL125" s="12">
        <f t="shared" si="134"/>
        <v>-50968.059772312088</v>
      </c>
      <c r="BM125" s="12">
        <f t="shared" si="134"/>
        <v>-49933.102972312088</v>
      </c>
      <c r="BN125" s="12">
        <f t="shared" si="134"/>
        <v>-48898.146172312088</v>
      </c>
      <c r="BO125" s="12">
        <f t="shared" si="134"/>
        <v>-47863.189372312088</v>
      </c>
      <c r="BP125" s="12">
        <f t="shared" si="134"/>
        <v>64257.13062768802</v>
      </c>
      <c r="BQ125" s="12">
        <f t="shared" si="134"/>
        <v>64257.13062768802</v>
      </c>
      <c r="BR125" s="12">
        <f t="shared" si="134"/>
        <v>64257.13062768802</v>
      </c>
      <c r="BS125" s="12">
        <f t="shared" si="134"/>
        <v>64257.13062768802</v>
      </c>
      <c r="BT125" s="12">
        <f t="shared" si="134"/>
        <v>64257.13062768802</v>
      </c>
      <c r="BU125" s="12">
        <f t="shared" si="134"/>
        <v>64257.13062768802</v>
      </c>
      <c r="BV125" s="12">
        <f t="shared" ref="BV125:DA125" si="135">BU125+BV124</f>
        <v>64257.13062768802</v>
      </c>
      <c r="BW125" s="12">
        <f t="shared" si="135"/>
        <v>64257.13062768802</v>
      </c>
      <c r="BX125" s="12">
        <f t="shared" si="135"/>
        <v>64257.13062768802</v>
      </c>
      <c r="BY125" s="12">
        <f t="shared" si="135"/>
        <v>64257.13062768802</v>
      </c>
      <c r="BZ125" s="12">
        <f t="shared" si="135"/>
        <v>64257.13062768802</v>
      </c>
      <c r="CA125" s="12">
        <f t="shared" si="135"/>
        <v>64257.13062768802</v>
      </c>
      <c r="CB125" s="12">
        <f t="shared" si="135"/>
        <v>64257.13062768802</v>
      </c>
      <c r="CC125" s="12">
        <f t="shared" si="135"/>
        <v>64257.13062768802</v>
      </c>
      <c r="CD125" s="12">
        <f t="shared" si="135"/>
        <v>64257.13062768802</v>
      </c>
      <c r="CE125" s="12">
        <f t="shared" si="135"/>
        <v>64257.13062768802</v>
      </c>
      <c r="CF125" s="12">
        <f t="shared" si="135"/>
        <v>64257.13062768802</v>
      </c>
      <c r="CG125" s="12">
        <f t="shared" si="135"/>
        <v>64257.13062768802</v>
      </c>
      <c r="CH125" s="12">
        <f t="shared" si="135"/>
        <v>64257.13062768802</v>
      </c>
      <c r="CI125" s="12">
        <f t="shared" si="135"/>
        <v>64257.13062768802</v>
      </c>
      <c r="CJ125" s="12">
        <f t="shared" si="135"/>
        <v>64257.13062768802</v>
      </c>
      <c r="CK125" s="12">
        <f t="shared" si="135"/>
        <v>64257.13062768802</v>
      </c>
      <c r="CL125" s="12">
        <f t="shared" si="135"/>
        <v>64257.13062768802</v>
      </c>
      <c r="CM125" s="12">
        <f t="shared" si="135"/>
        <v>64257.13062768802</v>
      </c>
      <c r="CN125" s="12">
        <f t="shared" si="135"/>
        <v>64257.13062768802</v>
      </c>
      <c r="CO125" s="12">
        <f t="shared" si="135"/>
        <v>64257.13062768802</v>
      </c>
      <c r="CP125" s="12">
        <f t="shared" si="135"/>
        <v>64257.13062768802</v>
      </c>
      <c r="CQ125" s="12">
        <f t="shared" si="135"/>
        <v>64257.13062768802</v>
      </c>
      <c r="CR125" s="12">
        <f t="shared" si="135"/>
        <v>64257.13062768802</v>
      </c>
      <c r="CS125" s="12">
        <f t="shared" si="135"/>
        <v>64257.13062768802</v>
      </c>
      <c r="CT125" s="12">
        <f t="shared" si="135"/>
        <v>64257.13062768802</v>
      </c>
      <c r="CU125" s="12">
        <f t="shared" si="135"/>
        <v>64257.13062768802</v>
      </c>
      <c r="CV125" s="12">
        <f t="shared" si="135"/>
        <v>64257.13062768802</v>
      </c>
      <c r="CW125" s="12">
        <f t="shared" si="135"/>
        <v>64257.13062768802</v>
      </c>
      <c r="CX125" s="12">
        <f t="shared" si="135"/>
        <v>64257.13062768802</v>
      </c>
      <c r="CY125" s="12">
        <f t="shared" si="135"/>
        <v>64257.13062768802</v>
      </c>
      <c r="CZ125" s="12">
        <f t="shared" si="135"/>
        <v>64257.13062768802</v>
      </c>
      <c r="DA125" s="12">
        <f t="shared" si="135"/>
        <v>64257.13062768802</v>
      </c>
      <c r="DB125" s="12">
        <f t="shared" ref="DB125:EG125" si="136">DA125+DB124</f>
        <v>64257.13062768802</v>
      </c>
      <c r="DC125" s="12">
        <f t="shared" si="136"/>
        <v>64257.13062768802</v>
      </c>
      <c r="DD125" s="12">
        <f t="shared" si="136"/>
        <v>64257.13062768802</v>
      </c>
      <c r="DE125" s="12">
        <f t="shared" si="136"/>
        <v>64257.13062768802</v>
      </c>
      <c r="DF125" s="12">
        <f t="shared" si="136"/>
        <v>64257.13062768802</v>
      </c>
      <c r="DG125" s="12">
        <f t="shared" si="136"/>
        <v>64257.13062768802</v>
      </c>
      <c r="DH125" s="12">
        <f t="shared" si="136"/>
        <v>64257.13062768802</v>
      </c>
      <c r="DI125" s="12">
        <f t="shared" si="136"/>
        <v>64257.13062768802</v>
      </c>
      <c r="DJ125" s="12">
        <f t="shared" si="136"/>
        <v>64257.13062768802</v>
      </c>
      <c r="DK125" s="12">
        <f t="shared" si="136"/>
        <v>64257.13062768802</v>
      </c>
      <c r="DL125" s="12">
        <f t="shared" si="136"/>
        <v>64257.13062768802</v>
      </c>
      <c r="DM125" s="12">
        <f t="shared" si="136"/>
        <v>64257.13062768802</v>
      </c>
      <c r="DN125" s="12">
        <f t="shared" si="136"/>
        <v>64257.13062768802</v>
      </c>
      <c r="DO125" s="12">
        <f t="shared" si="136"/>
        <v>64257.13062768802</v>
      </c>
      <c r="DP125" s="12">
        <f t="shared" si="136"/>
        <v>64257.13062768802</v>
      </c>
      <c r="DQ125" s="12">
        <f t="shared" si="136"/>
        <v>64257.13062768802</v>
      </c>
      <c r="DR125" s="12">
        <f t="shared" si="136"/>
        <v>64257.13062768802</v>
      </c>
      <c r="DS125" s="12">
        <f t="shared" si="136"/>
        <v>64257.13062768802</v>
      </c>
      <c r="DT125" s="12">
        <f t="shared" si="136"/>
        <v>64257.13062768802</v>
      </c>
      <c r="DU125" s="12">
        <f t="shared" si="136"/>
        <v>64257.13062768802</v>
      </c>
      <c r="DV125" s="12">
        <f t="shared" si="136"/>
        <v>64257.13062768802</v>
      </c>
      <c r="DW125" s="12">
        <f t="shared" si="136"/>
        <v>64257.13062768802</v>
      </c>
      <c r="DX125" s="12">
        <f t="shared" si="136"/>
        <v>64257.13062768802</v>
      </c>
      <c r="DY125" s="12">
        <f t="shared" si="136"/>
        <v>64257.13062768802</v>
      </c>
      <c r="DZ125" s="12">
        <f t="shared" si="136"/>
        <v>64257.13062768802</v>
      </c>
      <c r="EA125" s="12">
        <f t="shared" si="136"/>
        <v>64257.13062768802</v>
      </c>
      <c r="EB125" s="12">
        <f t="shared" si="136"/>
        <v>64257.13062768802</v>
      </c>
      <c r="EC125" s="12">
        <f t="shared" si="136"/>
        <v>64257.13062768802</v>
      </c>
      <c r="ED125" s="12">
        <f t="shared" si="136"/>
        <v>64257.13062768802</v>
      </c>
      <c r="EE125" s="12">
        <f t="shared" si="136"/>
        <v>64257.13062768802</v>
      </c>
      <c r="EF125" s="12">
        <f t="shared" si="136"/>
        <v>64257.13062768802</v>
      </c>
      <c r="EG125" s="12">
        <f t="shared" si="136"/>
        <v>64257.13062768802</v>
      </c>
      <c r="EH125" s="12">
        <f t="shared" ref="EH125:FH125" si="137">EG125+EH124</f>
        <v>64257.13062768802</v>
      </c>
      <c r="EI125" s="12">
        <f t="shared" si="137"/>
        <v>64257.13062768802</v>
      </c>
      <c r="EJ125" s="12">
        <f t="shared" si="137"/>
        <v>64257.13062768802</v>
      </c>
      <c r="EK125" s="12">
        <f t="shared" si="137"/>
        <v>64257.13062768802</v>
      </c>
      <c r="EL125" s="12">
        <f t="shared" si="137"/>
        <v>64257.13062768802</v>
      </c>
      <c r="EM125" s="12">
        <f t="shared" si="137"/>
        <v>64257.13062768802</v>
      </c>
      <c r="EN125" s="12">
        <f t="shared" si="137"/>
        <v>64257.13062768802</v>
      </c>
      <c r="EO125" s="12">
        <f t="shared" si="137"/>
        <v>64257.13062768802</v>
      </c>
      <c r="EP125" s="12">
        <f t="shared" si="137"/>
        <v>64257.13062768802</v>
      </c>
      <c r="EQ125" s="12">
        <f t="shared" si="137"/>
        <v>64257.13062768802</v>
      </c>
      <c r="ER125" s="12">
        <f t="shared" si="137"/>
        <v>64257.13062768802</v>
      </c>
      <c r="ES125" s="12">
        <f t="shared" si="137"/>
        <v>64257.13062768802</v>
      </c>
      <c r="ET125" s="12">
        <f t="shared" si="137"/>
        <v>64257.13062768802</v>
      </c>
      <c r="EU125" s="12">
        <f t="shared" si="137"/>
        <v>64257.13062768802</v>
      </c>
      <c r="EV125" s="12">
        <f t="shared" si="137"/>
        <v>64257.13062768802</v>
      </c>
      <c r="EW125" s="12">
        <f t="shared" si="137"/>
        <v>64257.13062768802</v>
      </c>
      <c r="EX125" s="12">
        <f t="shared" si="137"/>
        <v>64257.13062768802</v>
      </c>
      <c r="EY125" s="12">
        <f t="shared" si="137"/>
        <v>64257.13062768802</v>
      </c>
      <c r="EZ125" s="12">
        <f t="shared" si="137"/>
        <v>64257.13062768802</v>
      </c>
      <c r="FA125" s="12">
        <f t="shared" si="137"/>
        <v>64257.13062768802</v>
      </c>
      <c r="FB125" s="12">
        <f t="shared" si="137"/>
        <v>64257.13062768802</v>
      </c>
      <c r="FC125" s="12">
        <f t="shared" si="137"/>
        <v>64257.13062768802</v>
      </c>
      <c r="FD125" s="12">
        <f t="shared" si="137"/>
        <v>64257.13062768802</v>
      </c>
      <c r="FE125" s="12">
        <f t="shared" si="137"/>
        <v>64257.13062768802</v>
      </c>
      <c r="FF125" s="12">
        <f t="shared" si="137"/>
        <v>64257.13062768802</v>
      </c>
      <c r="FG125" s="12">
        <f t="shared" si="137"/>
        <v>64257.13062768802</v>
      </c>
      <c r="FH125" s="12">
        <f t="shared" si="137"/>
        <v>64257.13062768802</v>
      </c>
    </row>
    <row r="126" spans="1:164" x14ac:dyDescent="0.2">
      <c r="A126" s="10"/>
      <c r="B126" s="10"/>
      <c r="C126" s="201" t="s">
        <v>764</v>
      </c>
      <c r="D126" s="194"/>
      <c r="E126" s="194"/>
      <c r="F126" s="194"/>
      <c r="G126" s="194"/>
      <c r="H126" s="216"/>
      <c r="I126" s="216">
        <f>SUM($I115:I115)*$D$29</f>
        <v>0</v>
      </c>
      <c r="J126" s="216">
        <f>SUM($I115:J115)*$D$29</f>
        <v>0</v>
      </c>
      <c r="K126" s="216">
        <f>SUM($I115:K115)*$D$29</f>
        <v>0</v>
      </c>
      <c r="L126" s="216">
        <f>SUM($I115:L115)*$D$29</f>
        <v>0</v>
      </c>
      <c r="M126" s="216">
        <f>SUM($I115:M115)*$D$29</f>
        <v>0</v>
      </c>
      <c r="N126" s="216">
        <f>SUM($I115:N115)*$D$29</f>
        <v>0</v>
      </c>
      <c r="O126" s="216">
        <f>SUM($I115:O115)*$D$29</f>
        <v>0</v>
      </c>
      <c r="P126" s="216">
        <f>SUM($I115:P115)*$D$29</f>
        <v>0</v>
      </c>
      <c r="Q126" s="216">
        <f>SUM($I115:Q115)*$D$29</f>
        <v>0</v>
      </c>
      <c r="R126" s="216">
        <f>SUM($I115:R115)*$D$29</f>
        <v>0</v>
      </c>
      <c r="S126" s="216">
        <f>SUM($I115:S115)*$D$29</f>
        <v>0</v>
      </c>
      <c r="T126" s="216">
        <f>SUM($I115:T115)*$D$29</f>
        <v>0</v>
      </c>
      <c r="U126" s="216">
        <f>SUM($I115:U115)*$D$29</f>
        <v>0</v>
      </c>
      <c r="V126" s="216">
        <f>SUM($I115:V115)*$D$29</f>
        <v>0</v>
      </c>
      <c r="W126" s="216">
        <f>SUM($I115:W115)*$D$29</f>
        <v>0</v>
      </c>
      <c r="X126" s="216">
        <f>SUM($I115:X115)*$D$29</f>
        <v>0</v>
      </c>
      <c r="Y126" s="216">
        <f>SUM($I115:Y115)*$D$29</f>
        <v>0</v>
      </c>
      <c r="Z126" s="216">
        <f>SUM($I115:Z115)*$D$29</f>
        <v>0</v>
      </c>
      <c r="AA126" s="216">
        <f>SUM($I115:AA115)*$D$29</f>
        <v>154.38668378363667</v>
      </c>
      <c r="AB126" s="216">
        <f>SUM($I115:AB115)*$D$29</f>
        <v>615.85524231952252</v>
      </c>
      <c r="AC126" s="216">
        <f>SUM($I115:AC115)*$D$29</f>
        <v>1379.3497295118343</v>
      </c>
      <c r="AD126" s="216">
        <f>SUM($I115:AD115)*$D$29</f>
        <v>2436.5051399874001</v>
      </c>
      <c r="AE126" s="216">
        <f>SUM($I115:AE115)*$D$29</f>
        <v>3775.7390578450577</v>
      </c>
      <c r="AF126" s="216">
        <f>SUM($I115:AF115)*$D$29</f>
        <v>5382.378556028043</v>
      </c>
      <c r="AG126" s="216">
        <f>SUM($I115:AG115)*$D$29</f>
        <v>7238.8209559833367</v>
      </c>
      <c r="AH126" s="216">
        <f>SUM($I115:AH115)*$D$29</f>
        <v>9324.7266862914785</v>
      </c>
      <c r="AI126" s="216">
        <f>SUM($I115:AI115)*$D$29</f>
        <v>11617.242127267376</v>
      </c>
      <c r="AJ126" s="216">
        <f>SUM($I115:AJ115)*$D$29</f>
        <v>14091.25</v>
      </c>
      <c r="AK126" s="216">
        <f>SUM($I115:AK115)*$D$29</f>
        <v>16719.644556516261</v>
      </c>
      <c r="AL126" s="216">
        <f>SUM($I115:AL115)*$D$29</f>
        <v>19473.628556028045</v>
      </c>
      <c r="AM126" s="216">
        <f>SUM($I115:AM115)*$D$29</f>
        <v>22323.028773528498</v>
      </c>
      <c r="AN126" s="216">
        <f>SUM($I115:AN115)*$D$29</f>
        <v>25236.626583959358</v>
      </c>
      <c r="AO126" s="216">
        <f>SUM($I115:AO115)*$D$29</f>
        <v>28182.5</v>
      </c>
      <c r="AP126" s="216">
        <f>SUM($I115:AP115)*$D$29</f>
        <v>31128.373416040646</v>
      </c>
      <c r="AQ126" s="216">
        <f>SUM($I115:AQ115)*$D$29</f>
        <v>34041.971226471505</v>
      </c>
      <c r="AR126" s="216">
        <f>SUM($I115:AR115)*$D$29</f>
        <v>36891.371443971955</v>
      </c>
      <c r="AS126" s="216">
        <f>SUM($I115:AS115)*$D$29</f>
        <v>39645.355443483735</v>
      </c>
      <c r="AT126" s="216">
        <f>SUM($I115:AT115)*$D$29</f>
        <v>42273.75</v>
      </c>
      <c r="AU126" s="216">
        <f>SUM($I115:AU115)*$D$29</f>
        <v>44747.757872732625</v>
      </c>
      <c r="AV126" s="216">
        <f>SUM($I115:AV115)*$D$29</f>
        <v>47040.273313708523</v>
      </c>
      <c r="AW126" s="216">
        <f>SUM($I115:AW115)*$D$29</f>
        <v>49126.179044016666</v>
      </c>
      <c r="AX126" s="216">
        <f>SUM($I115:AX115)*$D$29</f>
        <v>50982.621443971955</v>
      </c>
      <c r="AY126" s="216">
        <f>SUM($I115:AY115)*$D$29</f>
        <v>52589.260942154942</v>
      </c>
      <c r="AZ126" s="216">
        <f>SUM($I115:AZ115)*$D$29</f>
        <v>53928.494860012594</v>
      </c>
      <c r="BA126" s="216">
        <f>SUM($I115:BA115)*$D$29</f>
        <v>54985.650270488164</v>
      </c>
      <c r="BB126" s="216">
        <f>SUM($I115:BB115)*$D$29</f>
        <v>55749.144757680471</v>
      </c>
      <c r="BC126" s="216">
        <f>SUM($I115:BC115)*$D$29</f>
        <v>56210.613316216353</v>
      </c>
      <c r="BD126" s="216">
        <f>SUM($I115:BD115)*$D$29</f>
        <v>56364.999999999993</v>
      </c>
      <c r="BE126" s="216">
        <f>SUM($I115:BE115)*$D$29</f>
        <v>56364.999999999993</v>
      </c>
      <c r="BF126" s="216">
        <f>SUM($I115:BF115)*$D$29</f>
        <v>56364.999999999993</v>
      </c>
      <c r="BG126" s="216">
        <f>SUM($I115:BG115)*$D$29</f>
        <v>56364.999999999993</v>
      </c>
      <c r="BH126" s="216">
        <f>SUM($I115:BH115)*$D$29</f>
        <v>56364.999999999993</v>
      </c>
      <c r="BI126" s="216">
        <f>SUM($I115:BI115)*$D$29</f>
        <v>56364.999999999993</v>
      </c>
      <c r="BJ126" s="216">
        <f>SUM($I115:BJ115)*$D$29</f>
        <v>56364.999999999993</v>
      </c>
      <c r="BK126" s="216">
        <f>SUM($I115:BK115)*$D$29</f>
        <v>56364.999999999993</v>
      </c>
      <c r="BL126" s="216">
        <f>SUM($I115:BL115)*$D$29</f>
        <v>56364.999999999993</v>
      </c>
      <c r="BM126" s="216">
        <f>SUM($I115:BM115)*$D$29</f>
        <v>56364.999999999993</v>
      </c>
      <c r="BN126" s="216">
        <f>SUM($I115:BN115)*$D$29</f>
        <v>56364.999999999993</v>
      </c>
      <c r="BO126" s="216">
        <f>SUM($I115:BO115)*$D$29</f>
        <v>56364.999999999993</v>
      </c>
      <c r="BP126" s="216">
        <f>SUM($I115:BP115)*$D$29</f>
        <v>56364.999999999993</v>
      </c>
      <c r="BQ126" s="216">
        <f>SUM($I115:BQ115)*$D$29</f>
        <v>56364.999999999993</v>
      </c>
      <c r="BR126" s="216">
        <f>SUM($I115:BR115)*$D$29</f>
        <v>56364.999999999993</v>
      </c>
      <c r="BS126" s="216">
        <f>SUM($I115:BS115)*$D$29</f>
        <v>56364.999999999993</v>
      </c>
      <c r="BT126" s="216">
        <f>SUM($I115:BT115)*$D$29</f>
        <v>56364.999999999993</v>
      </c>
      <c r="BU126" s="216">
        <f>SUM($I115:BU115)*$D$29</f>
        <v>56364.999999999993</v>
      </c>
      <c r="BV126" s="216">
        <f>SUM($I115:BV115)*$D$29</f>
        <v>56364.999999999993</v>
      </c>
      <c r="BW126" s="216">
        <f>SUM($I115:BW115)*$D$29</f>
        <v>56364.999999999993</v>
      </c>
      <c r="BX126" s="216">
        <f>SUM($I115:BX115)*$D$29</f>
        <v>56364.999999999993</v>
      </c>
      <c r="BY126" s="216">
        <f>SUM($I115:BY115)*$D$29</f>
        <v>56364.999999999993</v>
      </c>
      <c r="BZ126" s="216">
        <f>SUM($I115:BZ115)*$D$29</f>
        <v>56364.999999999993</v>
      </c>
      <c r="CA126" s="216">
        <f>SUM($I115:CA115)*$D$29</f>
        <v>56364.999999999993</v>
      </c>
      <c r="CB126" s="216">
        <f>SUM($I115:CB115)*$D$29</f>
        <v>56364.999999999993</v>
      </c>
      <c r="CC126" s="216">
        <f>SUM($I115:CC115)*$D$29</f>
        <v>56364.999999999993</v>
      </c>
      <c r="CD126" s="216">
        <f>SUM($I115:CD115)*$D$29</f>
        <v>56364.999999999993</v>
      </c>
      <c r="CE126" s="216">
        <f>SUM($I115:CE115)*$D$29</f>
        <v>56364.999999999993</v>
      </c>
      <c r="CF126" s="216">
        <f>SUM($I115:CF115)*$D$29</f>
        <v>56364.999999999993</v>
      </c>
      <c r="CG126" s="216">
        <f>SUM($I115:CG115)*$D$29</f>
        <v>56364.999999999993</v>
      </c>
      <c r="CH126" s="216">
        <f>SUM($I115:CH115)*$D$29</f>
        <v>56364.999999999993</v>
      </c>
      <c r="CI126" s="216">
        <f>SUM($I115:CI115)*$D$29</f>
        <v>56364.999999999993</v>
      </c>
      <c r="CJ126" s="216">
        <f>SUM($I115:CJ115)*$D$29</f>
        <v>56364.999999999993</v>
      </c>
      <c r="CK126" s="216">
        <f>SUM($I115:CK115)*$D$29</f>
        <v>56364.999999999993</v>
      </c>
      <c r="CL126" s="216">
        <f>SUM($I115:CL115)*$D$29</f>
        <v>56364.999999999993</v>
      </c>
      <c r="CM126" s="216">
        <f>SUM($I115:CM115)*$D$29</f>
        <v>56364.999999999993</v>
      </c>
      <c r="CN126" s="216">
        <f>SUM($I115:CN115)*$D$29</f>
        <v>56364.999999999993</v>
      </c>
      <c r="CO126" s="216">
        <f>SUM($I115:CO115)*$D$29</f>
        <v>56364.999999999993</v>
      </c>
      <c r="CP126" s="216">
        <f>SUM($I115:CP115)*$D$29</f>
        <v>56364.999999999993</v>
      </c>
      <c r="CQ126" s="216">
        <f>SUM($I115:CQ115)*$D$29</f>
        <v>56364.999999999993</v>
      </c>
      <c r="CR126" s="216">
        <f>SUM($I115:CR115)*$D$29</f>
        <v>56364.999999999993</v>
      </c>
      <c r="CS126" s="216">
        <f>SUM($I115:CS115)*$D$29</f>
        <v>56364.999999999993</v>
      </c>
      <c r="CT126" s="216">
        <f>SUM($I115:CT115)*$D$29</f>
        <v>56364.999999999993</v>
      </c>
      <c r="CU126" s="216">
        <f>SUM($I115:CU115)*$D$29</f>
        <v>56364.999999999993</v>
      </c>
      <c r="CV126" s="216">
        <f>SUM($I115:CV115)*$D$29</f>
        <v>56364.999999999993</v>
      </c>
      <c r="CW126" s="216">
        <f>SUM($I115:CW115)*$D$29</f>
        <v>56364.999999999993</v>
      </c>
      <c r="CX126" s="216">
        <f>SUM($I115:CX115)*$D$29</f>
        <v>56364.999999999993</v>
      </c>
      <c r="CY126" s="216">
        <f>SUM($I115:CY115)*$D$29</f>
        <v>56364.999999999993</v>
      </c>
      <c r="CZ126" s="216">
        <f>SUM($I115:CZ115)*$D$29</f>
        <v>56364.999999999993</v>
      </c>
      <c r="DA126" s="216">
        <f>SUM($I115:DA115)*$D$29</f>
        <v>56364.999999999993</v>
      </c>
      <c r="DB126" s="216">
        <f>SUM($I115:DB115)*$D$29</f>
        <v>56364.999999999993</v>
      </c>
      <c r="DC126" s="216">
        <f>SUM($I115:DC115)*$D$29</f>
        <v>56364.999999999993</v>
      </c>
      <c r="DD126" s="216">
        <f>SUM($I115:DD115)*$D$29</f>
        <v>56364.999999999993</v>
      </c>
      <c r="DE126" s="216">
        <f>SUM($I115:DE115)*$D$29</f>
        <v>56364.999999999993</v>
      </c>
      <c r="DF126" s="216">
        <f>SUM($I115:DF115)*$D$29</f>
        <v>56364.999999999993</v>
      </c>
      <c r="DG126" s="216">
        <f>SUM($I115:DG115)*$D$29</f>
        <v>56364.999999999993</v>
      </c>
      <c r="DH126" s="216">
        <f>SUM($I115:DH115)*$D$29</f>
        <v>56364.999999999993</v>
      </c>
      <c r="DI126" s="216">
        <f>SUM($I115:DI115)*$D$29</f>
        <v>56364.999999999993</v>
      </c>
      <c r="DJ126" s="216">
        <f>SUM($I115:DJ115)*$D$29</f>
        <v>56364.999999999993</v>
      </c>
      <c r="DK126" s="216">
        <f>SUM($I115:DK115)*$D$29</f>
        <v>56364.999999999993</v>
      </c>
      <c r="DL126" s="216">
        <f>SUM($I115:DL115)*$D$29</f>
        <v>56364.999999999993</v>
      </c>
      <c r="DM126" s="216">
        <f>SUM($I115:DM115)*$D$29</f>
        <v>56364.999999999993</v>
      </c>
      <c r="DN126" s="216">
        <f>SUM($I115:DN115)*$D$29</f>
        <v>56364.999999999993</v>
      </c>
      <c r="DO126" s="216">
        <f>SUM($I115:DO115)*$D$29</f>
        <v>56364.999999999993</v>
      </c>
      <c r="DP126" s="216">
        <f>SUM($I115:DP115)*$D$29</f>
        <v>56364.999999999993</v>
      </c>
      <c r="DQ126" s="216">
        <f>SUM($I115:DQ115)*$D$29</f>
        <v>56364.999999999993</v>
      </c>
      <c r="DR126" s="216">
        <f>SUM($I115:DR115)*$D$29</f>
        <v>56364.999999999993</v>
      </c>
      <c r="DS126" s="216">
        <f>SUM($I115:DS115)*$D$29</f>
        <v>56364.999999999993</v>
      </c>
      <c r="DT126" s="216">
        <f>SUM($I115:DT115)*$D$29</f>
        <v>56364.999999999993</v>
      </c>
      <c r="DU126" s="216">
        <f>SUM($I115:DU115)*$D$29</f>
        <v>56364.999999999993</v>
      </c>
      <c r="DV126" s="216">
        <f>SUM($I115:DV115)*$D$29</f>
        <v>56364.999999999993</v>
      </c>
      <c r="DW126" s="216">
        <f>SUM($I115:DW115)*$D$29</f>
        <v>56364.999999999993</v>
      </c>
      <c r="DX126" s="216">
        <f>SUM($I115:DX115)*$D$29</f>
        <v>56364.999999999993</v>
      </c>
      <c r="DY126" s="216">
        <f>SUM($I115:DY115)*$D$29</f>
        <v>56364.999999999993</v>
      </c>
      <c r="DZ126" s="216">
        <f>SUM($I115:DZ115)*$D$29</f>
        <v>56364.999999999993</v>
      </c>
      <c r="EA126" s="216">
        <f>SUM($I115:EA115)*$D$29</f>
        <v>56364.999999999993</v>
      </c>
      <c r="EB126" s="216">
        <f>SUM($I115:EB115)*$D$29</f>
        <v>56364.999999999993</v>
      </c>
      <c r="EC126" s="216">
        <f>SUM($I115:EC115)*$D$29</f>
        <v>56364.999999999993</v>
      </c>
      <c r="ED126" s="216">
        <f>SUM($I115:ED115)*$D$29</f>
        <v>56364.999999999993</v>
      </c>
      <c r="EE126" s="216">
        <f>SUM($I115:EE115)*$D$29</f>
        <v>56364.999999999993</v>
      </c>
      <c r="EF126" s="216">
        <f>SUM($I115:EF115)*$D$29</f>
        <v>56364.999999999993</v>
      </c>
      <c r="EG126" s="216">
        <f>SUM($I115:EG115)*$D$29</f>
        <v>56364.999999999993</v>
      </c>
      <c r="EH126" s="216">
        <f>SUM($I115:EH115)*$D$29</f>
        <v>56364.999999999993</v>
      </c>
      <c r="EI126" s="216">
        <f>SUM($I115:EI115)*$D$29</f>
        <v>56364.999999999993</v>
      </c>
      <c r="EJ126" s="216">
        <f>SUM($I115:EJ115)*$D$29</f>
        <v>56364.999999999993</v>
      </c>
      <c r="EK126" s="216">
        <f>SUM($I115:EK115)*$D$29</f>
        <v>56364.999999999993</v>
      </c>
      <c r="EL126" s="216">
        <f>SUM($I115:EL115)*$D$29</f>
        <v>56364.999999999993</v>
      </c>
      <c r="EM126" s="216">
        <f>SUM($I115:EM115)*$D$29</f>
        <v>56364.999999999993</v>
      </c>
      <c r="EN126" s="216">
        <f>SUM($I115:EN115)*$D$29</f>
        <v>56364.999999999993</v>
      </c>
      <c r="EO126" s="216">
        <f>SUM($I115:EO115)*$D$29</f>
        <v>56364.999999999993</v>
      </c>
      <c r="EP126" s="216">
        <f>SUM($I115:EP115)*$D$29</f>
        <v>56364.999999999993</v>
      </c>
      <c r="EQ126" s="216">
        <f>SUM($I115:EQ115)*$D$29</f>
        <v>56364.999999999993</v>
      </c>
      <c r="ER126" s="216">
        <f>SUM($I115:ER115)*$D$29</f>
        <v>56364.999999999993</v>
      </c>
      <c r="ES126" s="216">
        <f>SUM($I115:ES115)*$D$29</f>
        <v>56364.999999999993</v>
      </c>
      <c r="ET126" s="216">
        <f>SUM($I115:ET115)*$D$29</f>
        <v>56364.999999999993</v>
      </c>
      <c r="EU126" s="216">
        <f>SUM($I115:EU115)*$D$29</f>
        <v>56364.999999999993</v>
      </c>
      <c r="EV126" s="216">
        <f>SUM($I115:EV115)*$D$29</f>
        <v>56364.999999999993</v>
      </c>
      <c r="EW126" s="216">
        <f>SUM($I115:EW115)*$D$29</f>
        <v>56364.999999999993</v>
      </c>
      <c r="EX126" s="216">
        <f>SUM($I115:EX115)*$D$29</f>
        <v>56364.999999999993</v>
      </c>
      <c r="EY126" s="216">
        <f>SUM($I115:EY115)*$D$29</f>
        <v>56364.999999999993</v>
      </c>
      <c r="EZ126" s="216">
        <f>SUM($I115:EZ115)*$D$29</f>
        <v>56364.999999999993</v>
      </c>
      <c r="FA126" s="216">
        <f>SUM($I115:FA115)*$D$29</f>
        <v>56364.999999999993</v>
      </c>
      <c r="FB126" s="216">
        <f>SUM($I115:FB115)*$D$29</f>
        <v>56364.999999999993</v>
      </c>
      <c r="FC126" s="216">
        <f>SUM($I115:FC115)*$D$29</f>
        <v>56364.999999999993</v>
      </c>
      <c r="FD126" s="216">
        <f>SUM($I115:FD115)*$D$29</f>
        <v>56364.999999999993</v>
      </c>
      <c r="FE126" s="216">
        <f>SUM($I115:FE115)*$D$29</f>
        <v>56364.999999999993</v>
      </c>
      <c r="FF126" s="216">
        <f>SUM($I115:FF115)*$D$29</f>
        <v>56364.999999999993</v>
      </c>
      <c r="FG126" s="216">
        <f>SUM($I115:FG115)*$D$29</f>
        <v>56364.999999999993</v>
      </c>
      <c r="FH126" s="216">
        <f>SUM($I115:FH115)*$D$29</f>
        <v>56364.999999999993</v>
      </c>
    </row>
    <row r="127" spans="1:164" x14ac:dyDescent="0.2">
      <c r="A127" s="10"/>
      <c r="B127" s="10"/>
      <c r="C127" s="201" t="s">
        <v>765</v>
      </c>
      <c r="D127" s="194"/>
      <c r="E127" s="194"/>
      <c r="F127" s="194"/>
      <c r="G127" s="194"/>
      <c r="H127" s="216"/>
      <c r="I127" s="216">
        <f t="shared" ref="I127:AN127" si="138">IF(I$6&lt;$D$76,MAX(0,I126-(1-$D$74)*$D$29),0)</f>
        <v>0</v>
      </c>
      <c r="J127" s="216">
        <f t="shared" si="138"/>
        <v>0</v>
      </c>
      <c r="K127" s="216">
        <f t="shared" si="138"/>
        <v>0</v>
      </c>
      <c r="L127" s="216">
        <f t="shared" si="138"/>
        <v>0</v>
      </c>
      <c r="M127" s="216">
        <f t="shared" si="138"/>
        <v>0</v>
      </c>
      <c r="N127" s="216">
        <f t="shared" si="138"/>
        <v>0</v>
      </c>
      <c r="O127" s="216">
        <f t="shared" si="138"/>
        <v>0</v>
      </c>
      <c r="P127" s="216">
        <f t="shared" si="138"/>
        <v>0</v>
      </c>
      <c r="Q127" s="216">
        <f t="shared" si="138"/>
        <v>0</v>
      </c>
      <c r="R127" s="216">
        <f t="shared" si="138"/>
        <v>0</v>
      </c>
      <c r="S127" s="216">
        <f t="shared" si="138"/>
        <v>0</v>
      </c>
      <c r="T127" s="216">
        <f t="shared" si="138"/>
        <v>0</v>
      </c>
      <c r="U127" s="216">
        <f t="shared" si="138"/>
        <v>0</v>
      </c>
      <c r="V127" s="216">
        <f t="shared" si="138"/>
        <v>0</v>
      </c>
      <c r="W127" s="216">
        <f t="shared" si="138"/>
        <v>0</v>
      </c>
      <c r="X127" s="216">
        <f t="shared" si="138"/>
        <v>0</v>
      </c>
      <c r="Y127" s="216">
        <f t="shared" si="138"/>
        <v>0</v>
      </c>
      <c r="Z127" s="216">
        <f t="shared" si="138"/>
        <v>0</v>
      </c>
      <c r="AA127" s="216">
        <f t="shared" si="138"/>
        <v>0</v>
      </c>
      <c r="AB127" s="216">
        <f t="shared" si="138"/>
        <v>0</v>
      </c>
      <c r="AC127" s="216">
        <f t="shared" si="138"/>
        <v>0</v>
      </c>
      <c r="AD127" s="216">
        <f t="shared" si="138"/>
        <v>0</v>
      </c>
      <c r="AE127" s="216">
        <f t="shared" si="138"/>
        <v>0</v>
      </c>
      <c r="AF127" s="216">
        <f t="shared" si="138"/>
        <v>0</v>
      </c>
      <c r="AG127" s="216">
        <f t="shared" si="138"/>
        <v>0</v>
      </c>
      <c r="AH127" s="216">
        <f t="shared" si="138"/>
        <v>0</v>
      </c>
      <c r="AI127" s="216">
        <f t="shared" si="138"/>
        <v>0</v>
      </c>
      <c r="AJ127" s="216">
        <f t="shared" si="138"/>
        <v>0</v>
      </c>
      <c r="AK127" s="216">
        <f t="shared" si="138"/>
        <v>0</v>
      </c>
      <c r="AL127" s="216">
        <f t="shared" si="138"/>
        <v>0</v>
      </c>
      <c r="AM127" s="216">
        <f t="shared" si="138"/>
        <v>0</v>
      </c>
      <c r="AN127" s="216">
        <f t="shared" si="138"/>
        <v>2690.626583959358</v>
      </c>
      <c r="AO127" s="216">
        <f t="shared" ref="AO127:BT127" si="139">IF(AO$6&lt;$D$76,MAX(0,AO126-(1-$D$74)*$D$29),0)</f>
        <v>5636.5</v>
      </c>
      <c r="AP127" s="216">
        <f t="shared" si="139"/>
        <v>8582.3734160406457</v>
      </c>
      <c r="AQ127" s="216">
        <f t="shared" si="139"/>
        <v>11495.971226471505</v>
      </c>
      <c r="AR127" s="216">
        <f t="shared" si="139"/>
        <v>14345.371443971955</v>
      </c>
      <c r="AS127" s="216">
        <f t="shared" si="139"/>
        <v>17099.355443483735</v>
      </c>
      <c r="AT127" s="216">
        <f t="shared" si="139"/>
        <v>19727.75</v>
      </c>
      <c r="AU127" s="216">
        <f t="shared" si="139"/>
        <v>22201.757872732625</v>
      </c>
      <c r="AV127" s="216">
        <f t="shared" si="139"/>
        <v>24494.273313708523</v>
      </c>
      <c r="AW127" s="216">
        <f t="shared" si="139"/>
        <v>26580.179044016666</v>
      </c>
      <c r="AX127" s="216">
        <f t="shared" si="139"/>
        <v>28436.621443971955</v>
      </c>
      <c r="AY127" s="216">
        <f t="shared" si="139"/>
        <v>30043.260942154942</v>
      </c>
      <c r="AZ127" s="216">
        <f t="shared" si="139"/>
        <v>31382.494860012594</v>
      </c>
      <c r="BA127" s="216">
        <f t="shared" si="139"/>
        <v>32439.650270488164</v>
      </c>
      <c r="BB127" s="216">
        <f t="shared" si="139"/>
        <v>33203.144757680471</v>
      </c>
      <c r="BC127" s="216">
        <f t="shared" si="139"/>
        <v>33664.613316216353</v>
      </c>
      <c r="BD127" s="216">
        <f t="shared" si="139"/>
        <v>33818.999999999993</v>
      </c>
      <c r="BE127" s="216">
        <f t="shared" si="139"/>
        <v>33818.999999999993</v>
      </c>
      <c r="BF127" s="216">
        <f t="shared" si="139"/>
        <v>33818.999999999993</v>
      </c>
      <c r="BG127" s="216">
        <f t="shared" si="139"/>
        <v>33818.999999999993</v>
      </c>
      <c r="BH127" s="216">
        <f t="shared" si="139"/>
        <v>33818.999999999993</v>
      </c>
      <c r="BI127" s="216">
        <f t="shared" si="139"/>
        <v>33818.999999999993</v>
      </c>
      <c r="BJ127" s="216">
        <f t="shared" si="139"/>
        <v>33818.999999999993</v>
      </c>
      <c r="BK127" s="216">
        <f t="shared" si="139"/>
        <v>33818.999999999993</v>
      </c>
      <c r="BL127" s="216">
        <f t="shared" si="139"/>
        <v>33818.999999999993</v>
      </c>
      <c r="BM127" s="216">
        <f t="shared" si="139"/>
        <v>33818.999999999993</v>
      </c>
      <c r="BN127" s="216">
        <f t="shared" si="139"/>
        <v>33818.999999999993</v>
      </c>
      <c r="BO127" s="216">
        <f t="shared" si="139"/>
        <v>33818.999999999993</v>
      </c>
      <c r="BP127" s="216">
        <f t="shared" si="139"/>
        <v>0</v>
      </c>
      <c r="BQ127" s="216">
        <f t="shared" si="139"/>
        <v>0</v>
      </c>
      <c r="BR127" s="216">
        <f t="shared" si="139"/>
        <v>0</v>
      </c>
      <c r="BS127" s="216">
        <f t="shared" si="139"/>
        <v>0</v>
      </c>
      <c r="BT127" s="216">
        <f t="shared" si="139"/>
        <v>0</v>
      </c>
      <c r="BU127" s="216">
        <f t="shared" ref="BU127:CZ127" si="140">IF(BU$6&lt;$D$76,MAX(0,BU126-(1-$D$74)*$D$29),0)</f>
        <v>0</v>
      </c>
      <c r="BV127" s="216">
        <f t="shared" si="140"/>
        <v>0</v>
      </c>
      <c r="BW127" s="216">
        <f t="shared" si="140"/>
        <v>0</v>
      </c>
      <c r="BX127" s="216">
        <f t="shared" si="140"/>
        <v>0</v>
      </c>
      <c r="BY127" s="216">
        <f t="shared" si="140"/>
        <v>0</v>
      </c>
      <c r="BZ127" s="216">
        <f t="shared" si="140"/>
        <v>0</v>
      </c>
      <c r="CA127" s="216">
        <f t="shared" si="140"/>
        <v>0</v>
      </c>
      <c r="CB127" s="216">
        <f t="shared" si="140"/>
        <v>0</v>
      </c>
      <c r="CC127" s="216">
        <f t="shared" si="140"/>
        <v>0</v>
      </c>
      <c r="CD127" s="216">
        <f t="shared" si="140"/>
        <v>0</v>
      </c>
      <c r="CE127" s="216">
        <f t="shared" si="140"/>
        <v>0</v>
      </c>
      <c r="CF127" s="216">
        <f t="shared" si="140"/>
        <v>0</v>
      </c>
      <c r="CG127" s="216">
        <f t="shared" si="140"/>
        <v>0</v>
      </c>
      <c r="CH127" s="216">
        <f t="shared" si="140"/>
        <v>0</v>
      </c>
      <c r="CI127" s="216">
        <f t="shared" si="140"/>
        <v>0</v>
      </c>
      <c r="CJ127" s="216">
        <f t="shared" si="140"/>
        <v>0</v>
      </c>
      <c r="CK127" s="216">
        <f t="shared" si="140"/>
        <v>0</v>
      </c>
      <c r="CL127" s="216">
        <f t="shared" si="140"/>
        <v>0</v>
      </c>
      <c r="CM127" s="216">
        <f t="shared" si="140"/>
        <v>0</v>
      </c>
      <c r="CN127" s="216">
        <f t="shared" si="140"/>
        <v>0</v>
      </c>
      <c r="CO127" s="216">
        <f t="shared" si="140"/>
        <v>0</v>
      </c>
      <c r="CP127" s="216">
        <f t="shared" si="140"/>
        <v>0</v>
      </c>
      <c r="CQ127" s="216">
        <f t="shared" si="140"/>
        <v>0</v>
      </c>
      <c r="CR127" s="216">
        <f t="shared" si="140"/>
        <v>0</v>
      </c>
      <c r="CS127" s="216">
        <f t="shared" si="140"/>
        <v>0</v>
      </c>
      <c r="CT127" s="216">
        <f t="shared" si="140"/>
        <v>0</v>
      </c>
      <c r="CU127" s="216">
        <f t="shared" si="140"/>
        <v>0</v>
      </c>
      <c r="CV127" s="216">
        <f t="shared" si="140"/>
        <v>0</v>
      </c>
      <c r="CW127" s="216">
        <f t="shared" si="140"/>
        <v>0</v>
      </c>
      <c r="CX127" s="216">
        <f t="shared" si="140"/>
        <v>0</v>
      </c>
      <c r="CY127" s="216">
        <f t="shared" si="140"/>
        <v>0</v>
      </c>
      <c r="CZ127" s="216">
        <f t="shared" si="140"/>
        <v>0</v>
      </c>
      <c r="DA127" s="216">
        <f t="shared" ref="DA127:EF127" si="141">IF(DA$6&lt;$D$76,MAX(0,DA126-(1-$D$74)*$D$29),0)</f>
        <v>0</v>
      </c>
      <c r="DB127" s="216">
        <f t="shared" si="141"/>
        <v>0</v>
      </c>
      <c r="DC127" s="216">
        <f t="shared" si="141"/>
        <v>0</v>
      </c>
      <c r="DD127" s="216">
        <f t="shared" si="141"/>
        <v>0</v>
      </c>
      <c r="DE127" s="216">
        <f t="shared" si="141"/>
        <v>0</v>
      </c>
      <c r="DF127" s="216">
        <f t="shared" si="141"/>
        <v>0</v>
      </c>
      <c r="DG127" s="216">
        <f t="shared" si="141"/>
        <v>0</v>
      </c>
      <c r="DH127" s="216">
        <f t="shared" si="141"/>
        <v>0</v>
      </c>
      <c r="DI127" s="216">
        <f t="shared" si="141"/>
        <v>0</v>
      </c>
      <c r="DJ127" s="216">
        <f t="shared" si="141"/>
        <v>0</v>
      </c>
      <c r="DK127" s="216">
        <f t="shared" si="141"/>
        <v>0</v>
      </c>
      <c r="DL127" s="216">
        <f t="shared" si="141"/>
        <v>0</v>
      </c>
      <c r="DM127" s="216">
        <f t="shared" si="141"/>
        <v>0</v>
      </c>
      <c r="DN127" s="216">
        <f t="shared" si="141"/>
        <v>0</v>
      </c>
      <c r="DO127" s="216">
        <f t="shared" si="141"/>
        <v>0</v>
      </c>
      <c r="DP127" s="216">
        <f t="shared" si="141"/>
        <v>0</v>
      </c>
      <c r="DQ127" s="216">
        <f t="shared" si="141"/>
        <v>0</v>
      </c>
      <c r="DR127" s="216">
        <f t="shared" si="141"/>
        <v>0</v>
      </c>
      <c r="DS127" s="216">
        <f t="shared" si="141"/>
        <v>0</v>
      </c>
      <c r="DT127" s="216">
        <f t="shared" si="141"/>
        <v>0</v>
      </c>
      <c r="DU127" s="216">
        <f t="shared" si="141"/>
        <v>0</v>
      </c>
      <c r="DV127" s="216">
        <f t="shared" si="141"/>
        <v>0</v>
      </c>
      <c r="DW127" s="216">
        <f t="shared" si="141"/>
        <v>0</v>
      </c>
      <c r="DX127" s="216">
        <f t="shared" si="141"/>
        <v>0</v>
      </c>
      <c r="DY127" s="216">
        <f t="shared" si="141"/>
        <v>0</v>
      </c>
      <c r="DZ127" s="216">
        <f t="shared" si="141"/>
        <v>0</v>
      </c>
      <c r="EA127" s="216">
        <f t="shared" si="141"/>
        <v>0</v>
      </c>
      <c r="EB127" s="216">
        <f t="shared" si="141"/>
        <v>0</v>
      </c>
      <c r="EC127" s="216">
        <f t="shared" si="141"/>
        <v>0</v>
      </c>
      <c r="ED127" s="216">
        <f t="shared" si="141"/>
        <v>0</v>
      </c>
      <c r="EE127" s="216">
        <f t="shared" si="141"/>
        <v>0</v>
      </c>
      <c r="EF127" s="216">
        <f t="shared" si="141"/>
        <v>0</v>
      </c>
      <c r="EG127" s="216">
        <f t="shared" ref="EG127:FH127" si="142">IF(EG$6&lt;$D$76,MAX(0,EG126-(1-$D$74)*$D$29),0)</f>
        <v>0</v>
      </c>
      <c r="EH127" s="216">
        <f t="shared" si="142"/>
        <v>0</v>
      </c>
      <c r="EI127" s="216">
        <f t="shared" si="142"/>
        <v>0</v>
      </c>
      <c r="EJ127" s="216">
        <f t="shared" si="142"/>
        <v>0</v>
      </c>
      <c r="EK127" s="216">
        <f t="shared" si="142"/>
        <v>0</v>
      </c>
      <c r="EL127" s="216">
        <f t="shared" si="142"/>
        <v>0</v>
      </c>
      <c r="EM127" s="216">
        <f t="shared" si="142"/>
        <v>0</v>
      </c>
      <c r="EN127" s="216">
        <f t="shared" si="142"/>
        <v>0</v>
      </c>
      <c r="EO127" s="216">
        <f t="shared" si="142"/>
        <v>0</v>
      </c>
      <c r="EP127" s="216">
        <f t="shared" si="142"/>
        <v>0</v>
      </c>
      <c r="EQ127" s="216">
        <f t="shared" si="142"/>
        <v>0</v>
      </c>
      <c r="ER127" s="216">
        <f t="shared" si="142"/>
        <v>0</v>
      </c>
      <c r="ES127" s="216">
        <f t="shared" si="142"/>
        <v>0</v>
      </c>
      <c r="ET127" s="216">
        <f t="shared" si="142"/>
        <v>0</v>
      </c>
      <c r="EU127" s="216">
        <f t="shared" si="142"/>
        <v>0</v>
      </c>
      <c r="EV127" s="216">
        <f t="shared" si="142"/>
        <v>0</v>
      </c>
      <c r="EW127" s="216">
        <f t="shared" si="142"/>
        <v>0</v>
      </c>
      <c r="EX127" s="216">
        <f t="shared" si="142"/>
        <v>0</v>
      </c>
      <c r="EY127" s="216">
        <f t="shared" si="142"/>
        <v>0</v>
      </c>
      <c r="EZ127" s="216">
        <f t="shared" si="142"/>
        <v>0</v>
      </c>
      <c r="FA127" s="216">
        <f t="shared" si="142"/>
        <v>0</v>
      </c>
      <c r="FB127" s="216">
        <f t="shared" si="142"/>
        <v>0</v>
      </c>
      <c r="FC127" s="216">
        <f t="shared" si="142"/>
        <v>0</v>
      </c>
      <c r="FD127" s="216">
        <f t="shared" si="142"/>
        <v>0</v>
      </c>
      <c r="FE127" s="216">
        <f t="shared" si="142"/>
        <v>0</v>
      </c>
      <c r="FF127" s="216">
        <f t="shared" si="142"/>
        <v>0</v>
      </c>
      <c r="FG127" s="216">
        <f t="shared" si="142"/>
        <v>0</v>
      </c>
      <c r="FH127" s="216">
        <f t="shared" si="142"/>
        <v>0</v>
      </c>
    </row>
    <row r="128" spans="1:164" x14ac:dyDescent="0.2">
      <c r="A128" s="10"/>
      <c r="B128" s="10"/>
      <c r="C128" s="10" t="s">
        <v>766</v>
      </c>
      <c r="D128" s="10"/>
      <c r="E128" s="10"/>
      <c r="F128" s="10"/>
      <c r="G128" s="10"/>
      <c r="H128" s="12"/>
      <c r="I128" s="12">
        <f>0</f>
        <v>0</v>
      </c>
      <c r="J128" s="12">
        <f t="shared" ref="J128:AO128" si="143">I132</f>
        <v>0</v>
      </c>
      <c r="K128" s="12">
        <f t="shared" si="143"/>
        <v>0</v>
      </c>
      <c r="L128" s="12">
        <f t="shared" si="143"/>
        <v>0</v>
      </c>
      <c r="M128" s="12">
        <f t="shared" si="143"/>
        <v>0</v>
      </c>
      <c r="N128" s="12">
        <f t="shared" si="143"/>
        <v>0</v>
      </c>
      <c r="O128" s="12">
        <f t="shared" si="143"/>
        <v>0</v>
      </c>
      <c r="P128" s="12">
        <f t="shared" si="143"/>
        <v>0</v>
      </c>
      <c r="Q128" s="12">
        <f t="shared" si="143"/>
        <v>0</v>
      </c>
      <c r="R128" s="12">
        <f t="shared" si="143"/>
        <v>0</v>
      </c>
      <c r="S128" s="12">
        <f t="shared" si="143"/>
        <v>0</v>
      </c>
      <c r="T128" s="12">
        <f t="shared" si="143"/>
        <v>0</v>
      </c>
      <c r="U128" s="12">
        <f t="shared" si="143"/>
        <v>0</v>
      </c>
      <c r="V128" s="12">
        <f t="shared" si="143"/>
        <v>0</v>
      </c>
      <c r="W128" s="12">
        <f t="shared" si="143"/>
        <v>0</v>
      </c>
      <c r="X128" s="12">
        <f t="shared" si="143"/>
        <v>0</v>
      </c>
      <c r="Y128" s="12">
        <f t="shared" si="143"/>
        <v>0</v>
      </c>
      <c r="Z128" s="12">
        <f t="shared" si="143"/>
        <v>0</v>
      </c>
      <c r="AA128" s="12">
        <f t="shared" si="143"/>
        <v>0</v>
      </c>
      <c r="AB128" s="12">
        <f t="shared" si="143"/>
        <v>0</v>
      </c>
      <c r="AC128" s="12">
        <f t="shared" si="143"/>
        <v>0</v>
      </c>
      <c r="AD128" s="12">
        <f t="shared" si="143"/>
        <v>0</v>
      </c>
      <c r="AE128" s="12">
        <f t="shared" si="143"/>
        <v>0</v>
      </c>
      <c r="AF128" s="12">
        <f t="shared" si="143"/>
        <v>0</v>
      </c>
      <c r="AG128" s="12">
        <f t="shared" si="143"/>
        <v>0</v>
      </c>
      <c r="AH128" s="12">
        <f t="shared" si="143"/>
        <v>0</v>
      </c>
      <c r="AI128" s="12">
        <f t="shared" si="143"/>
        <v>0</v>
      </c>
      <c r="AJ128" s="12">
        <f t="shared" si="143"/>
        <v>0</v>
      </c>
      <c r="AK128" s="12">
        <f t="shared" si="143"/>
        <v>0</v>
      </c>
      <c r="AL128" s="12">
        <f t="shared" si="143"/>
        <v>0</v>
      </c>
      <c r="AM128" s="12">
        <f t="shared" si="143"/>
        <v>0</v>
      </c>
      <c r="AN128" s="12">
        <f t="shared" si="143"/>
        <v>0</v>
      </c>
      <c r="AO128" s="12">
        <f t="shared" si="143"/>
        <v>2690.626583959358</v>
      </c>
      <c r="AP128" s="12">
        <f t="shared" ref="AP128:BU128" si="144">AO132</f>
        <v>5636.5</v>
      </c>
      <c r="AQ128" s="12">
        <f t="shared" si="144"/>
        <v>8582.3734160406457</v>
      </c>
      <c r="AR128" s="12">
        <f t="shared" si="144"/>
        <v>11495.971226471505</v>
      </c>
      <c r="AS128" s="12">
        <f t="shared" si="144"/>
        <v>14345.371443971955</v>
      </c>
      <c r="AT128" s="12">
        <f t="shared" si="144"/>
        <v>17099.355443483735</v>
      </c>
      <c r="AU128" s="12">
        <f t="shared" si="144"/>
        <v>19727.75</v>
      </c>
      <c r="AV128" s="12">
        <f t="shared" si="144"/>
        <v>22201.757872732625</v>
      </c>
      <c r="AW128" s="12">
        <f t="shared" si="144"/>
        <v>24494.273313708523</v>
      </c>
      <c r="AX128" s="12">
        <f t="shared" si="144"/>
        <v>26580.179044016666</v>
      </c>
      <c r="AY128" s="12">
        <f t="shared" si="144"/>
        <v>28436.621443971955</v>
      </c>
      <c r="AZ128" s="12">
        <f t="shared" si="144"/>
        <v>30043.260942154942</v>
      </c>
      <c r="BA128" s="12">
        <f t="shared" si="144"/>
        <v>31382.494860012594</v>
      </c>
      <c r="BB128" s="12">
        <f t="shared" si="144"/>
        <v>32439.650270488164</v>
      </c>
      <c r="BC128" s="12">
        <f t="shared" si="144"/>
        <v>33203.144757680471</v>
      </c>
      <c r="BD128" s="12">
        <f t="shared" si="144"/>
        <v>33664.613316216353</v>
      </c>
      <c r="BE128" s="12">
        <f t="shared" si="144"/>
        <v>33818.999999999993</v>
      </c>
      <c r="BF128" s="12">
        <f t="shared" si="144"/>
        <v>33818.999999999993</v>
      </c>
      <c r="BG128" s="12">
        <f t="shared" si="144"/>
        <v>33818.999999999993</v>
      </c>
      <c r="BH128" s="12">
        <f t="shared" si="144"/>
        <v>33818.999999999993</v>
      </c>
      <c r="BI128" s="12">
        <f t="shared" si="144"/>
        <v>33818.999999999993</v>
      </c>
      <c r="BJ128" s="12">
        <f t="shared" si="144"/>
        <v>33818.999999999993</v>
      </c>
      <c r="BK128" s="12">
        <f t="shared" si="144"/>
        <v>33818.999999999993</v>
      </c>
      <c r="BL128" s="12">
        <f t="shared" si="144"/>
        <v>33818.999999999993</v>
      </c>
      <c r="BM128" s="12">
        <f t="shared" si="144"/>
        <v>33818.999999999993</v>
      </c>
      <c r="BN128" s="12">
        <f t="shared" si="144"/>
        <v>33818.999999999993</v>
      </c>
      <c r="BO128" s="12">
        <f t="shared" si="144"/>
        <v>33818.999999999993</v>
      </c>
      <c r="BP128" s="12">
        <f t="shared" si="144"/>
        <v>33818.999999999993</v>
      </c>
      <c r="BQ128" s="12">
        <f t="shared" si="144"/>
        <v>0</v>
      </c>
      <c r="BR128" s="12">
        <f t="shared" si="144"/>
        <v>0</v>
      </c>
      <c r="BS128" s="12">
        <f t="shared" si="144"/>
        <v>0</v>
      </c>
      <c r="BT128" s="12">
        <f t="shared" si="144"/>
        <v>0</v>
      </c>
      <c r="BU128" s="12">
        <f t="shared" si="144"/>
        <v>0</v>
      </c>
      <c r="BV128" s="12">
        <f t="shared" ref="BV128:DA128" si="145">BU132</f>
        <v>0</v>
      </c>
      <c r="BW128" s="12">
        <f t="shared" si="145"/>
        <v>0</v>
      </c>
      <c r="BX128" s="12">
        <f t="shared" si="145"/>
        <v>0</v>
      </c>
      <c r="BY128" s="12">
        <f t="shared" si="145"/>
        <v>0</v>
      </c>
      <c r="BZ128" s="12">
        <f t="shared" si="145"/>
        <v>0</v>
      </c>
      <c r="CA128" s="12">
        <f t="shared" si="145"/>
        <v>0</v>
      </c>
      <c r="CB128" s="12">
        <f t="shared" si="145"/>
        <v>0</v>
      </c>
      <c r="CC128" s="12">
        <f t="shared" si="145"/>
        <v>0</v>
      </c>
      <c r="CD128" s="12">
        <f t="shared" si="145"/>
        <v>0</v>
      </c>
      <c r="CE128" s="12">
        <f t="shared" si="145"/>
        <v>0</v>
      </c>
      <c r="CF128" s="12">
        <f t="shared" si="145"/>
        <v>0</v>
      </c>
      <c r="CG128" s="12">
        <f t="shared" si="145"/>
        <v>0</v>
      </c>
      <c r="CH128" s="12">
        <f t="shared" si="145"/>
        <v>0</v>
      </c>
      <c r="CI128" s="12">
        <f t="shared" si="145"/>
        <v>0</v>
      </c>
      <c r="CJ128" s="12">
        <f t="shared" si="145"/>
        <v>0</v>
      </c>
      <c r="CK128" s="12">
        <f t="shared" si="145"/>
        <v>0</v>
      </c>
      <c r="CL128" s="12">
        <f t="shared" si="145"/>
        <v>0</v>
      </c>
      <c r="CM128" s="12">
        <f t="shared" si="145"/>
        <v>0</v>
      </c>
      <c r="CN128" s="12">
        <f t="shared" si="145"/>
        <v>0</v>
      </c>
      <c r="CO128" s="12">
        <f t="shared" si="145"/>
        <v>0</v>
      </c>
      <c r="CP128" s="12">
        <f t="shared" si="145"/>
        <v>0</v>
      </c>
      <c r="CQ128" s="12">
        <f t="shared" si="145"/>
        <v>0</v>
      </c>
      <c r="CR128" s="12">
        <f t="shared" si="145"/>
        <v>0</v>
      </c>
      <c r="CS128" s="12">
        <f t="shared" si="145"/>
        <v>0</v>
      </c>
      <c r="CT128" s="12">
        <f t="shared" si="145"/>
        <v>0</v>
      </c>
      <c r="CU128" s="12">
        <f t="shared" si="145"/>
        <v>0</v>
      </c>
      <c r="CV128" s="12">
        <f t="shared" si="145"/>
        <v>0</v>
      </c>
      <c r="CW128" s="12">
        <f t="shared" si="145"/>
        <v>0</v>
      </c>
      <c r="CX128" s="12">
        <f t="shared" si="145"/>
        <v>0</v>
      </c>
      <c r="CY128" s="12">
        <f t="shared" si="145"/>
        <v>0</v>
      </c>
      <c r="CZ128" s="12">
        <f t="shared" si="145"/>
        <v>0</v>
      </c>
      <c r="DA128" s="12">
        <f t="shared" si="145"/>
        <v>0</v>
      </c>
      <c r="DB128" s="12">
        <f t="shared" ref="DB128:EG128" si="146">DA132</f>
        <v>0</v>
      </c>
      <c r="DC128" s="12">
        <f t="shared" si="146"/>
        <v>0</v>
      </c>
      <c r="DD128" s="12">
        <f t="shared" si="146"/>
        <v>0</v>
      </c>
      <c r="DE128" s="12">
        <f t="shared" si="146"/>
        <v>0</v>
      </c>
      <c r="DF128" s="12">
        <f t="shared" si="146"/>
        <v>0</v>
      </c>
      <c r="DG128" s="12">
        <f t="shared" si="146"/>
        <v>0</v>
      </c>
      <c r="DH128" s="12">
        <f t="shared" si="146"/>
        <v>0</v>
      </c>
      <c r="DI128" s="12">
        <f t="shared" si="146"/>
        <v>0</v>
      </c>
      <c r="DJ128" s="12">
        <f t="shared" si="146"/>
        <v>0</v>
      </c>
      <c r="DK128" s="12">
        <f t="shared" si="146"/>
        <v>0</v>
      </c>
      <c r="DL128" s="12">
        <f t="shared" si="146"/>
        <v>0</v>
      </c>
      <c r="DM128" s="12">
        <f t="shared" si="146"/>
        <v>0</v>
      </c>
      <c r="DN128" s="12">
        <f t="shared" si="146"/>
        <v>0</v>
      </c>
      <c r="DO128" s="12">
        <f t="shared" si="146"/>
        <v>0</v>
      </c>
      <c r="DP128" s="12">
        <f t="shared" si="146"/>
        <v>0</v>
      </c>
      <c r="DQ128" s="12">
        <f t="shared" si="146"/>
        <v>0</v>
      </c>
      <c r="DR128" s="12">
        <f t="shared" si="146"/>
        <v>0</v>
      </c>
      <c r="DS128" s="12">
        <f t="shared" si="146"/>
        <v>0</v>
      </c>
      <c r="DT128" s="12">
        <f t="shared" si="146"/>
        <v>0</v>
      </c>
      <c r="DU128" s="12">
        <f t="shared" si="146"/>
        <v>0</v>
      </c>
      <c r="DV128" s="12">
        <f t="shared" si="146"/>
        <v>0</v>
      </c>
      <c r="DW128" s="12">
        <f t="shared" si="146"/>
        <v>0</v>
      </c>
      <c r="DX128" s="12">
        <f t="shared" si="146"/>
        <v>0</v>
      </c>
      <c r="DY128" s="12">
        <f t="shared" si="146"/>
        <v>0</v>
      </c>
      <c r="DZ128" s="12">
        <f t="shared" si="146"/>
        <v>0</v>
      </c>
      <c r="EA128" s="12">
        <f t="shared" si="146"/>
        <v>0</v>
      </c>
      <c r="EB128" s="12">
        <f t="shared" si="146"/>
        <v>0</v>
      </c>
      <c r="EC128" s="12">
        <f t="shared" si="146"/>
        <v>0</v>
      </c>
      <c r="ED128" s="12">
        <f t="shared" si="146"/>
        <v>0</v>
      </c>
      <c r="EE128" s="12">
        <f t="shared" si="146"/>
        <v>0</v>
      </c>
      <c r="EF128" s="12">
        <f t="shared" si="146"/>
        <v>0</v>
      </c>
      <c r="EG128" s="12">
        <f t="shared" si="146"/>
        <v>0</v>
      </c>
      <c r="EH128" s="12">
        <f t="shared" ref="EH128:FH128" si="147">EG132</f>
        <v>0</v>
      </c>
      <c r="EI128" s="12">
        <f t="shared" si="147"/>
        <v>0</v>
      </c>
      <c r="EJ128" s="12">
        <f t="shared" si="147"/>
        <v>0</v>
      </c>
      <c r="EK128" s="12">
        <f t="shared" si="147"/>
        <v>0</v>
      </c>
      <c r="EL128" s="12">
        <f t="shared" si="147"/>
        <v>0</v>
      </c>
      <c r="EM128" s="12">
        <f t="shared" si="147"/>
        <v>0</v>
      </c>
      <c r="EN128" s="12">
        <f t="shared" si="147"/>
        <v>0</v>
      </c>
      <c r="EO128" s="12">
        <f t="shared" si="147"/>
        <v>0</v>
      </c>
      <c r="EP128" s="12">
        <f t="shared" si="147"/>
        <v>0</v>
      </c>
      <c r="EQ128" s="12">
        <f t="shared" si="147"/>
        <v>0</v>
      </c>
      <c r="ER128" s="12">
        <f t="shared" si="147"/>
        <v>0</v>
      </c>
      <c r="ES128" s="12">
        <f t="shared" si="147"/>
        <v>0</v>
      </c>
      <c r="ET128" s="12">
        <f t="shared" si="147"/>
        <v>0</v>
      </c>
      <c r="EU128" s="12">
        <f t="shared" si="147"/>
        <v>0</v>
      </c>
      <c r="EV128" s="12">
        <f t="shared" si="147"/>
        <v>0</v>
      </c>
      <c r="EW128" s="12">
        <f t="shared" si="147"/>
        <v>0</v>
      </c>
      <c r="EX128" s="12">
        <f t="shared" si="147"/>
        <v>0</v>
      </c>
      <c r="EY128" s="12">
        <f t="shared" si="147"/>
        <v>0</v>
      </c>
      <c r="EZ128" s="12">
        <f t="shared" si="147"/>
        <v>0</v>
      </c>
      <c r="FA128" s="12">
        <f t="shared" si="147"/>
        <v>0</v>
      </c>
      <c r="FB128" s="12">
        <f t="shared" si="147"/>
        <v>0</v>
      </c>
      <c r="FC128" s="12">
        <f t="shared" si="147"/>
        <v>0</v>
      </c>
      <c r="FD128" s="12">
        <f t="shared" si="147"/>
        <v>0</v>
      </c>
      <c r="FE128" s="12">
        <f t="shared" si="147"/>
        <v>0</v>
      </c>
      <c r="FF128" s="12">
        <f t="shared" si="147"/>
        <v>0</v>
      </c>
      <c r="FG128" s="12">
        <f t="shared" si="147"/>
        <v>0</v>
      </c>
      <c r="FH128" s="12">
        <f t="shared" si="147"/>
        <v>0</v>
      </c>
    </row>
    <row r="129" spans="1:164" x14ac:dyDescent="0.2">
      <c r="A129" s="10"/>
      <c r="B129" s="10"/>
      <c r="C129" s="10" t="s">
        <v>767</v>
      </c>
      <c r="D129" s="10"/>
      <c r="E129" s="10"/>
      <c r="F129" s="10"/>
      <c r="G129" s="10"/>
      <c r="H129" s="12">
        <f>SUM(I129:FH129)</f>
        <v>33818.999999999993</v>
      </c>
      <c r="I129" s="12">
        <f>MAX(0,I127)</f>
        <v>0</v>
      </c>
      <c r="J129" s="12">
        <f t="shared" ref="J129:AO129" si="148">MAX(0,J127-I127)</f>
        <v>0</v>
      </c>
      <c r="K129" s="12">
        <f t="shared" si="148"/>
        <v>0</v>
      </c>
      <c r="L129" s="12">
        <f t="shared" si="148"/>
        <v>0</v>
      </c>
      <c r="M129" s="12">
        <f t="shared" si="148"/>
        <v>0</v>
      </c>
      <c r="N129" s="12">
        <f t="shared" si="148"/>
        <v>0</v>
      </c>
      <c r="O129" s="12">
        <f t="shared" si="148"/>
        <v>0</v>
      </c>
      <c r="P129" s="12">
        <f t="shared" si="148"/>
        <v>0</v>
      </c>
      <c r="Q129" s="12">
        <f t="shared" si="148"/>
        <v>0</v>
      </c>
      <c r="R129" s="12">
        <f t="shared" si="148"/>
        <v>0</v>
      </c>
      <c r="S129" s="12">
        <f t="shared" si="148"/>
        <v>0</v>
      </c>
      <c r="T129" s="12">
        <f t="shared" si="148"/>
        <v>0</v>
      </c>
      <c r="U129" s="12">
        <f t="shared" si="148"/>
        <v>0</v>
      </c>
      <c r="V129" s="12">
        <f t="shared" si="148"/>
        <v>0</v>
      </c>
      <c r="W129" s="12">
        <f t="shared" si="148"/>
        <v>0</v>
      </c>
      <c r="X129" s="12">
        <f t="shared" si="148"/>
        <v>0</v>
      </c>
      <c r="Y129" s="12">
        <f t="shared" si="148"/>
        <v>0</v>
      </c>
      <c r="Z129" s="12">
        <f t="shared" si="148"/>
        <v>0</v>
      </c>
      <c r="AA129" s="12">
        <f t="shared" si="148"/>
        <v>0</v>
      </c>
      <c r="AB129" s="12">
        <f t="shared" si="148"/>
        <v>0</v>
      </c>
      <c r="AC129" s="12">
        <f t="shared" si="148"/>
        <v>0</v>
      </c>
      <c r="AD129" s="12">
        <f t="shared" si="148"/>
        <v>0</v>
      </c>
      <c r="AE129" s="12">
        <f t="shared" si="148"/>
        <v>0</v>
      </c>
      <c r="AF129" s="12">
        <f t="shared" si="148"/>
        <v>0</v>
      </c>
      <c r="AG129" s="12">
        <f t="shared" si="148"/>
        <v>0</v>
      </c>
      <c r="AH129" s="12">
        <f t="shared" si="148"/>
        <v>0</v>
      </c>
      <c r="AI129" s="12">
        <f t="shared" si="148"/>
        <v>0</v>
      </c>
      <c r="AJ129" s="12">
        <f t="shared" si="148"/>
        <v>0</v>
      </c>
      <c r="AK129" s="12">
        <f t="shared" si="148"/>
        <v>0</v>
      </c>
      <c r="AL129" s="12">
        <f t="shared" si="148"/>
        <v>0</v>
      </c>
      <c r="AM129" s="12">
        <f t="shared" si="148"/>
        <v>0</v>
      </c>
      <c r="AN129" s="12">
        <f t="shared" si="148"/>
        <v>2690.626583959358</v>
      </c>
      <c r="AO129" s="12">
        <f t="shared" si="148"/>
        <v>2945.873416040642</v>
      </c>
      <c r="AP129" s="12">
        <f t="shared" ref="AP129:BU129" si="149">MAX(0,AP127-AO127)</f>
        <v>2945.8734160406457</v>
      </c>
      <c r="AQ129" s="12">
        <f t="shared" si="149"/>
        <v>2913.5978104308597</v>
      </c>
      <c r="AR129" s="12">
        <f t="shared" si="149"/>
        <v>2849.4002175004498</v>
      </c>
      <c r="AS129" s="12">
        <f t="shared" si="149"/>
        <v>2753.98399951178</v>
      </c>
      <c r="AT129" s="12">
        <f t="shared" si="149"/>
        <v>2628.3945565162649</v>
      </c>
      <c r="AU129" s="12">
        <f t="shared" si="149"/>
        <v>2474.0078727326254</v>
      </c>
      <c r="AV129" s="12">
        <f t="shared" si="149"/>
        <v>2292.5154409758979</v>
      </c>
      <c r="AW129" s="12">
        <f t="shared" si="149"/>
        <v>2085.9057303081427</v>
      </c>
      <c r="AX129" s="12">
        <f t="shared" si="149"/>
        <v>1856.4423999552891</v>
      </c>
      <c r="AY129" s="12">
        <f t="shared" si="149"/>
        <v>1606.6394981829872</v>
      </c>
      <c r="AZ129" s="12">
        <f t="shared" si="149"/>
        <v>1339.2339178576512</v>
      </c>
      <c r="BA129" s="12">
        <f t="shared" si="149"/>
        <v>1057.1554104755705</v>
      </c>
      <c r="BB129" s="12">
        <f t="shared" si="149"/>
        <v>763.49448719230713</v>
      </c>
      <c r="BC129" s="12">
        <f t="shared" si="149"/>
        <v>461.46855853588204</v>
      </c>
      <c r="BD129" s="12">
        <f t="shared" si="149"/>
        <v>154.38668378363946</v>
      </c>
      <c r="BE129" s="12">
        <f t="shared" si="149"/>
        <v>0</v>
      </c>
      <c r="BF129" s="12">
        <f t="shared" si="149"/>
        <v>0</v>
      </c>
      <c r="BG129" s="12">
        <f t="shared" si="149"/>
        <v>0</v>
      </c>
      <c r="BH129" s="12">
        <f t="shared" si="149"/>
        <v>0</v>
      </c>
      <c r="BI129" s="12">
        <f t="shared" si="149"/>
        <v>0</v>
      </c>
      <c r="BJ129" s="12">
        <f t="shared" si="149"/>
        <v>0</v>
      </c>
      <c r="BK129" s="12">
        <f t="shared" si="149"/>
        <v>0</v>
      </c>
      <c r="BL129" s="12">
        <f t="shared" si="149"/>
        <v>0</v>
      </c>
      <c r="BM129" s="12">
        <f t="shared" si="149"/>
        <v>0</v>
      </c>
      <c r="BN129" s="12">
        <f t="shared" si="149"/>
        <v>0</v>
      </c>
      <c r="BO129" s="12">
        <f t="shared" si="149"/>
        <v>0</v>
      </c>
      <c r="BP129" s="12">
        <f t="shared" si="149"/>
        <v>0</v>
      </c>
      <c r="BQ129" s="12">
        <f t="shared" si="149"/>
        <v>0</v>
      </c>
      <c r="BR129" s="12">
        <f t="shared" si="149"/>
        <v>0</v>
      </c>
      <c r="BS129" s="12">
        <f t="shared" si="149"/>
        <v>0</v>
      </c>
      <c r="BT129" s="12">
        <f t="shared" si="149"/>
        <v>0</v>
      </c>
      <c r="BU129" s="12">
        <f t="shared" si="149"/>
        <v>0</v>
      </c>
      <c r="BV129" s="12">
        <f t="shared" ref="BV129:DA129" si="150">MAX(0,BV127-BU127)</f>
        <v>0</v>
      </c>
      <c r="BW129" s="12">
        <f t="shared" si="150"/>
        <v>0</v>
      </c>
      <c r="BX129" s="12">
        <f t="shared" si="150"/>
        <v>0</v>
      </c>
      <c r="BY129" s="12">
        <f t="shared" si="150"/>
        <v>0</v>
      </c>
      <c r="BZ129" s="12">
        <f t="shared" si="150"/>
        <v>0</v>
      </c>
      <c r="CA129" s="12">
        <f t="shared" si="150"/>
        <v>0</v>
      </c>
      <c r="CB129" s="12">
        <f t="shared" si="150"/>
        <v>0</v>
      </c>
      <c r="CC129" s="12">
        <f t="shared" si="150"/>
        <v>0</v>
      </c>
      <c r="CD129" s="12">
        <f t="shared" si="150"/>
        <v>0</v>
      </c>
      <c r="CE129" s="12">
        <f t="shared" si="150"/>
        <v>0</v>
      </c>
      <c r="CF129" s="12">
        <f t="shared" si="150"/>
        <v>0</v>
      </c>
      <c r="CG129" s="12">
        <f t="shared" si="150"/>
        <v>0</v>
      </c>
      <c r="CH129" s="12">
        <f t="shared" si="150"/>
        <v>0</v>
      </c>
      <c r="CI129" s="12">
        <f t="shared" si="150"/>
        <v>0</v>
      </c>
      <c r="CJ129" s="12">
        <f t="shared" si="150"/>
        <v>0</v>
      </c>
      <c r="CK129" s="12">
        <f t="shared" si="150"/>
        <v>0</v>
      </c>
      <c r="CL129" s="12">
        <f t="shared" si="150"/>
        <v>0</v>
      </c>
      <c r="CM129" s="12">
        <f t="shared" si="150"/>
        <v>0</v>
      </c>
      <c r="CN129" s="12">
        <f t="shared" si="150"/>
        <v>0</v>
      </c>
      <c r="CO129" s="12">
        <f t="shared" si="150"/>
        <v>0</v>
      </c>
      <c r="CP129" s="12">
        <f t="shared" si="150"/>
        <v>0</v>
      </c>
      <c r="CQ129" s="12">
        <f t="shared" si="150"/>
        <v>0</v>
      </c>
      <c r="CR129" s="12">
        <f t="shared" si="150"/>
        <v>0</v>
      </c>
      <c r="CS129" s="12">
        <f t="shared" si="150"/>
        <v>0</v>
      </c>
      <c r="CT129" s="12">
        <f t="shared" si="150"/>
        <v>0</v>
      </c>
      <c r="CU129" s="12">
        <f t="shared" si="150"/>
        <v>0</v>
      </c>
      <c r="CV129" s="12">
        <f t="shared" si="150"/>
        <v>0</v>
      </c>
      <c r="CW129" s="12">
        <f t="shared" si="150"/>
        <v>0</v>
      </c>
      <c r="CX129" s="12">
        <f t="shared" si="150"/>
        <v>0</v>
      </c>
      <c r="CY129" s="12">
        <f t="shared" si="150"/>
        <v>0</v>
      </c>
      <c r="CZ129" s="12">
        <f t="shared" si="150"/>
        <v>0</v>
      </c>
      <c r="DA129" s="12">
        <f t="shared" si="150"/>
        <v>0</v>
      </c>
      <c r="DB129" s="12">
        <f t="shared" ref="DB129:EG129" si="151">MAX(0,DB127-DA127)</f>
        <v>0</v>
      </c>
      <c r="DC129" s="12">
        <f t="shared" si="151"/>
        <v>0</v>
      </c>
      <c r="DD129" s="12">
        <f t="shared" si="151"/>
        <v>0</v>
      </c>
      <c r="DE129" s="12">
        <f t="shared" si="151"/>
        <v>0</v>
      </c>
      <c r="DF129" s="12">
        <f t="shared" si="151"/>
        <v>0</v>
      </c>
      <c r="DG129" s="12">
        <f t="shared" si="151"/>
        <v>0</v>
      </c>
      <c r="DH129" s="12">
        <f t="shared" si="151"/>
        <v>0</v>
      </c>
      <c r="DI129" s="12">
        <f t="shared" si="151"/>
        <v>0</v>
      </c>
      <c r="DJ129" s="12">
        <f t="shared" si="151"/>
        <v>0</v>
      </c>
      <c r="DK129" s="12">
        <f t="shared" si="151"/>
        <v>0</v>
      </c>
      <c r="DL129" s="12">
        <f t="shared" si="151"/>
        <v>0</v>
      </c>
      <c r="DM129" s="12">
        <f t="shared" si="151"/>
        <v>0</v>
      </c>
      <c r="DN129" s="12">
        <f t="shared" si="151"/>
        <v>0</v>
      </c>
      <c r="DO129" s="12">
        <f t="shared" si="151"/>
        <v>0</v>
      </c>
      <c r="DP129" s="12">
        <f t="shared" si="151"/>
        <v>0</v>
      </c>
      <c r="DQ129" s="12">
        <f t="shared" si="151"/>
        <v>0</v>
      </c>
      <c r="DR129" s="12">
        <f t="shared" si="151"/>
        <v>0</v>
      </c>
      <c r="DS129" s="12">
        <f t="shared" si="151"/>
        <v>0</v>
      </c>
      <c r="DT129" s="12">
        <f t="shared" si="151"/>
        <v>0</v>
      </c>
      <c r="DU129" s="12">
        <f t="shared" si="151"/>
        <v>0</v>
      </c>
      <c r="DV129" s="12">
        <f t="shared" si="151"/>
        <v>0</v>
      </c>
      <c r="DW129" s="12">
        <f t="shared" si="151"/>
        <v>0</v>
      </c>
      <c r="DX129" s="12">
        <f t="shared" si="151"/>
        <v>0</v>
      </c>
      <c r="DY129" s="12">
        <f t="shared" si="151"/>
        <v>0</v>
      </c>
      <c r="DZ129" s="12">
        <f t="shared" si="151"/>
        <v>0</v>
      </c>
      <c r="EA129" s="12">
        <f t="shared" si="151"/>
        <v>0</v>
      </c>
      <c r="EB129" s="12">
        <f t="shared" si="151"/>
        <v>0</v>
      </c>
      <c r="EC129" s="12">
        <f t="shared" si="151"/>
        <v>0</v>
      </c>
      <c r="ED129" s="12">
        <f t="shared" si="151"/>
        <v>0</v>
      </c>
      <c r="EE129" s="12">
        <f t="shared" si="151"/>
        <v>0</v>
      </c>
      <c r="EF129" s="12">
        <f t="shared" si="151"/>
        <v>0</v>
      </c>
      <c r="EG129" s="12">
        <f t="shared" si="151"/>
        <v>0</v>
      </c>
      <c r="EH129" s="12">
        <f t="shared" ref="EH129:FH129" si="152">MAX(0,EH127-EG127)</f>
        <v>0</v>
      </c>
      <c r="EI129" s="12">
        <f t="shared" si="152"/>
        <v>0</v>
      </c>
      <c r="EJ129" s="12">
        <f t="shared" si="152"/>
        <v>0</v>
      </c>
      <c r="EK129" s="12">
        <f t="shared" si="152"/>
        <v>0</v>
      </c>
      <c r="EL129" s="12">
        <f t="shared" si="152"/>
        <v>0</v>
      </c>
      <c r="EM129" s="12">
        <f t="shared" si="152"/>
        <v>0</v>
      </c>
      <c r="EN129" s="12">
        <f t="shared" si="152"/>
        <v>0</v>
      </c>
      <c r="EO129" s="12">
        <f t="shared" si="152"/>
        <v>0</v>
      </c>
      <c r="EP129" s="12">
        <f t="shared" si="152"/>
        <v>0</v>
      </c>
      <c r="EQ129" s="12">
        <f t="shared" si="152"/>
        <v>0</v>
      </c>
      <c r="ER129" s="12">
        <f t="shared" si="152"/>
        <v>0</v>
      </c>
      <c r="ES129" s="12">
        <f t="shared" si="152"/>
        <v>0</v>
      </c>
      <c r="ET129" s="12">
        <f t="shared" si="152"/>
        <v>0</v>
      </c>
      <c r="EU129" s="12">
        <f t="shared" si="152"/>
        <v>0</v>
      </c>
      <c r="EV129" s="12">
        <f t="shared" si="152"/>
        <v>0</v>
      </c>
      <c r="EW129" s="12">
        <f t="shared" si="152"/>
        <v>0</v>
      </c>
      <c r="EX129" s="12">
        <f t="shared" si="152"/>
        <v>0</v>
      </c>
      <c r="EY129" s="12">
        <f t="shared" si="152"/>
        <v>0</v>
      </c>
      <c r="EZ129" s="12">
        <f t="shared" si="152"/>
        <v>0</v>
      </c>
      <c r="FA129" s="12">
        <f t="shared" si="152"/>
        <v>0</v>
      </c>
      <c r="FB129" s="12">
        <f t="shared" si="152"/>
        <v>0</v>
      </c>
      <c r="FC129" s="12">
        <f t="shared" si="152"/>
        <v>0</v>
      </c>
      <c r="FD129" s="12">
        <f t="shared" si="152"/>
        <v>0</v>
      </c>
      <c r="FE129" s="12">
        <f t="shared" si="152"/>
        <v>0</v>
      </c>
      <c r="FF129" s="12">
        <f t="shared" si="152"/>
        <v>0</v>
      </c>
      <c r="FG129" s="12">
        <f t="shared" si="152"/>
        <v>0</v>
      </c>
      <c r="FH129" s="12">
        <f t="shared" si="152"/>
        <v>0</v>
      </c>
    </row>
    <row r="130" spans="1:164" x14ac:dyDescent="0.2">
      <c r="A130" s="10"/>
      <c r="B130" s="10"/>
      <c r="C130" s="10" t="s">
        <v>768</v>
      </c>
      <c r="D130" s="10"/>
      <c r="E130" s="10"/>
      <c r="F130" s="10"/>
      <c r="G130" s="10"/>
      <c r="H130" s="12">
        <f>SUM(I130:FH130)</f>
        <v>-7096.2122417237606</v>
      </c>
      <c r="I130" s="12">
        <f t="shared" ref="I130:AN130" si="153">-I128*((1+$D$75)^(1/12)-1)</f>
        <v>0</v>
      </c>
      <c r="J130" s="12">
        <f t="shared" si="153"/>
        <v>0</v>
      </c>
      <c r="K130" s="12">
        <f t="shared" si="153"/>
        <v>0</v>
      </c>
      <c r="L130" s="12">
        <f t="shared" si="153"/>
        <v>0</v>
      </c>
      <c r="M130" s="12">
        <f t="shared" si="153"/>
        <v>0</v>
      </c>
      <c r="N130" s="12">
        <f t="shared" si="153"/>
        <v>0</v>
      </c>
      <c r="O130" s="12">
        <f t="shared" si="153"/>
        <v>0</v>
      </c>
      <c r="P130" s="12">
        <f t="shared" si="153"/>
        <v>0</v>
      </c>
      <c r="Q130" s="12">
        <f t="shared" si="153"/>
        <v>0</v>
      </c>
      <c r="R130" s="12">
        <f t="shared" si="153"/>
        <v>0</v>
      </c>
      <c r="S130" s="12">
        <f t="shared" si="153"/>
        <v>0</v>
      </c>
      <c r="T130" s="12">
        <f t="shared" si="153"/>
        <v>0</v>
      </c>
      <c r="U130" s="12">
        <f t="shared" si="153"/>
        <v>0</v>
      </c>
      <c r="V130" s="12">
        <f t="shared" si="153"/>
        <v>0</v>
      </c>
      <c r="W130" s="12">
        <f t="shared" si="153"/>
        <v>0</v>
      </c>
      <c r="X130" s="12">
        <f t="shared" si="153"/>
        <v>0</v>
      </c>
      <c r="Y130" s="12">
        <f t="shared" si="153"/>
        <v>0</v>
      </c>
      <c r="Z130" s="12">
        <f t="shared" si="153"/>
        <v>0</v>
      </c>
      <c r="AA130" s="12">
        <f t="shared" si="153"/>
        <v>0</v>
      </c>
      <c r="AB130" s="12">
        <f t="shared" si="153"/>
        <v>0</v>
      </c>
      <c r="AC130" s="12">
        <f t="shared" si="153"/>
        <v>0</v>
      </c>
      <c r="AD130" s="12">
        <f t="shared" si="153"/>
        <v>0</v>
      </c>
      <c r="AE130" s="12">
        <f t="shared" si="153"/>
        <v>0</v>
      </c>
      <c r="AF130" s="12">
        <f t="shared" si="153"/>
        <v>0</v>
      </c>
      <c r="AG130" s="12">
        <f t="shared" si="153"/>
        <v>0</v>
      </c>
      <c r="AH130" s="12">
        <f t="shared" si="153"/>
        <v>0</v>
      </c>
      <c r="AI130" s="12">
        <f t="shared" si="153"/>
        <v>0</v>
      </c>
      <c r="AJ130" s="12">
        <f t="shared" si="153"/>
        <v>0</v>
      </c>
      <c r="AK130" s="12">
        <f t="shared" si="153"/>
        <v>0</v>
      </c>
      <c r="AL130" s="12">
        <f t="shared" si="153"/>
        <v>0</v>
      </c>
      <c r="AM130" s="12">
        <f t="shared" si="153"/>
        <v>0</v>
      </c>
      <c r="AN130" s="12">
        <f t="shared" si="153"/>
        <v>0</v>
      </c>
      <c r="AO130" s="12">
        <f t="shared" ref="AO130:BT130" si="154">-AO128*((1+$D$75)^(1/12)-1)</f>
        <v>-25.530798519474871</v>
      </c>
      <c r="AP130" s="12">
        <f t="shared" si="154"/>
        <v>-53.483581375777334</v>
      </c>
      <c r="AQ130" s="12">
        <f t="shared" si="154"/>
        <v>-81.436364232079839</v>
      </c>
      <c r="AR130" s="12">
        <f t="shared" si="154"/>
        <v>-109.0828905499128</v>
      </c>
      <c r="AS130" s="12">
        <f t="shared" si="154"/>
        <v>-136.12025920153047</v>
      </c>
      <c r="AT130" s="12">
        <f t="shared" si="154"/>
        <v>-162.2522431180526</v>
      </c>
      <c r="AU130" s="12">
        <f t="shared" si="154"/>
        <v>-187.19253481522068</v>
      </c>
      <c r="AV130" s="12">
        <f t="shared" si="154"/>
        <v>-210.66788323810886</v>
      </c>
      <c r="AW130" s="12">
        <f t="shared" si="154"/>
        <v>-232.42108755686348</v>
      </c>
      <c r="AX130" s="12">
        <f t="shared" si="154"/>
        <v>-252.21381511281768</v>
      </c>
      <c r="AY130" s="12">
        <f t="shared" si="154"/>
        <v>-269.82921264097382</v>
      </c>
      <c r="AZ130" s="12">
        <f t="shared" si="154"/>
        <v>-285.0742821597546</v>
      </c>
      <c r="BA130" s="12">
        <f t="shared" si="154"/>
        <v>-297.78199549727623</v>
      </c>
      <c r="BB130" s="12">
        <f t="shared" si="154"/>
        <v>-307.8131242869531</v>
      </c>
      <c r="BC130" s="12">
        <f t="shared" si="154"/>
        <v>-315.05776538261654</v>
      </c>
      <c r="BD130" s="12">
        <f t="shared" si="154"/>
        <v>-319.43654498038404</v>
      </c>
      <c r="BE130" s="12">
        <f t="shared" si="154"/>
        <v>-320.90148825466395</v>
      </c>
      <c r="BF130" s="12">
        <f t="shared" si="154"/>
        <v>-320.90148825466395</v>
      </c>
      <c r="BG130" s="12">
        <f t="shared" si="154"/>
        <v>-320.90148825466395</v>
      </c>
      <c r="BH130" s="12">
        <f t="shared" si="154"/>
        <v>-320.90148825466395</v>
      </c>
      <c r="BI130" s="12">
        <f t="shared" si="154"/>
        <v>-320.90148825466395</v>
      </c>
      <c r="BJ130" s="12">
        <f t="shared" si="154"/>
        <v>-320.90148825466395</v>
      </c>
      <c r="BK130" s="12">
        <f t="shared" si="154"/>
        <v>-320.90148825466395</v>
      </c>
      <c r="BL130" s="12">
        <f t="shared" si="154"/>
        <v>-320.90148825466395</v>
      </c>
      <c r="BM130" s="12">
        <f t="shared" si="154"/>
        <v>-320.90148825466395</v>
      </c>
      <c r="BN130" s="12">
        <f t="shared" si="154"/>
        <v>-320.90148825466395</v>
      </c>
      <c r="BO130" s="12">
        <f t="shared" si="154"/>
        <v>-320.90148825466395</v>
      </c>
      <c r="BP130" s="12">
        <f t="shared" si="154"/>
        <v>-320.90148825466395</v>
      </c>
      <c r="BQ130" s="12">
        <f t="shared" si="154"/>
        <v>0</v>
      </c>
      <c r="BR130" s="12">
        <f t="shared" si="154"/>
        <v>0</v>
      </c>
      <c r="BS130" s="12">
        <f t="shared" si="154"/>
        <v>0</v>
      </c>
      <c r="BT130" s="12">
        <f t="shared" si="154"/>
        <v>0</v>
      </c>
      <c r="BU130" s="12">
        <f t="shared" ref="BU130:CZ130" si="155">-BU128*((1+$D$75)^(1/12)-1)</f>
        <v>0</v>
      </c>
      <c r="BV130" s="12">
        <f t="shared" si="155"/>
        <v>0</v>
      </c>
      <c r="BW130" s="12">
        <f t="shared" si="155"/>
        <v>0</v>
      </c>
      <c r="BX130" s="12">
        <f t="shared" si="155"/>
        <v>0</v>
      </c>
      <c r="BY130" s="12">
        <f t="shared" si="155"/>
        <v>0</v>
      </c>
      <c r="BZ130" s="12">
        <f t="shared" si="155"/>
        <v>0</v>
      </c>
      <c r="CA130" s="12">
        <f t="shared" si="155"/>
        <v>0</v>
      </c>
      <c r="CB130" s="12">
        <f t="shared" si="155"/>
        <v>0</v>
      </c>
      <c r="CC130" s="12">
        <f t="shared" si="155"/>
        <v>0</v>
      </c>
      <c r="CD130" s="12">
        <f t="shared" si="155"/>
        <v>0</v>
      </c>
      <c r="CE130" s="12">
        <f t="shared" si="155"/>
        <v>0</v>
      </c>
      <c r="CF130" s="12">
        <f t="shared" si="155"/>
        <v>0</v>
      </c>
      <c r="CG130" s="12">
        <f t="shared" si="155"/>
        <v>0</v>
      </c>
      <c r="CH130" s="12">
        <f t="shared" si="155"/>
        <v>0</v>
      </c>
      <c r="CI130" s="12">
        <f t="shared" si="155"/>
        <v>0</v>
      </c>
      <c r="CJ130" s="12">
        <f t="shared" si="155"/>
        <v>0</v>
      </c>
      <c r="CK130" s="12">
        <f t="shared" si="155"/>
        <v>0</v>
      </c>
      <c r="CL130" s="12">
        <f t="shared" si="155"/>
        <v>0</v>
      </c>
      <c r="CM130" s="12">
        <f t="shared" si="155"/>
        <v>0</v>
      </c>
      <c r="CN130" s="12">
        <f t="shared" si="155"/>
        <v>0</v>
      </c>
      <c r="CO130" s="12">
        <f t="shared" si="155"/>
        <v>0</v>
      </c>
      <c r="CP130" s="12">
        <f t="shared" si="155"/>
        <v>0</v>
      </c>
      <c r="CQ130" s="12">
        <f t="shared" si="155"/>
        <v>0</v>
      </c>
      <c r="CR130" s="12">
        <f t="shared" si="155"/>
        <v>0</v>
      </c>
      <c r="CS130" s="12">
        <f t="shared" si="155"/>
        <v>0</v>
      </c>
      <c r="CT130" s="12">
        <f t="shared" si="155"/>
        <v>0</v>
      </c>
      <c r="CU130" s="12">
        <f t="shared" si="155"/>
        <v>0</v>
      </c>
      <c r="CV130" s="12">
        <f t="shared" si="155"/>
        <v>0</v>
      </c>
      <c r="CW130" s="12">
        <f t="shared" si="155"/>
        <v>0</v>
      </c>
      <c r="CX130" s="12">
        <f t="shared" si="155"/>
        <v>0</v>
      </c>
      <c r="CY130" s="12">
        <f t="shared" si="155"/>
        <v>0</v>
      </c>
      <c r="CZ130" s="12">
        <f t="shared" si="155"/>
        <v>0</v>
      </c>
      <c r="DA130" s="12">
        <f t="shared" ref="DA130:EF130" si="156">-DA128*((1+$D$75)^(1/12)-1)</f>
        <v>0</v>
      </c>
      <c r="DB130" s="12">
        <f t="shared" si="156"/>
        <v>0</v>
      </c>
      <c r="DC130" s="12">
        <f t="shared" si="156"/>
        <v>0</v>
      </c>
      <c r="DD130" s="12">
        <f t="shared" si="156"/>
        <v>0</v>
      </c>
      <c r="DE130" s="12">
        <f t="shared" si="156"/>
        <v>0</v>
      </c>
      <c r="DF130" s="12">
        <f t="shared" si="156"/>
        <v>0</v>
      </c>
      <c r="DG130" s="12">
        <f t="shared" si="156"/>
        <v>0</v>
      </c>
      <c r="DH130" s="12">
        <f t="shared" si="156"/>
        <v>0</v>
      </c>
      <c r="DI130" s="12">
        <f t="shared" si="156"/>
        <v>0</v>
      </c>
      <c r="DJ130" s="12">
        <f t="shared" si="156"/>
        <v>0</v>
      </c>
      <c r="DK130" s="12">
        <f t="shared" si="156"/>
        <v>0</v>
      </c>
      <c r="DL130" s="12">
        <f t="shared" si="156"/>
        <v>0</v>
      </c>
      <c r="DM130" s="12">
        <f t="shared" si="156"/>
        <v>0</v>
      </c>
      <c r="DN130" s="12">
        <f t="shared" si="156"/>
        <v>0</v>
      </c>
      <c r="DO130" s="12">
        <f t="shared" si="156"/>
        <v>0</v>
      </c>
      <c r="DP130" s="12">
        <f t="shared" si="156"/>
        <v>0</v>
      </c>
      <c r="DQ130" s="12">
        <f t="shared" si="156"/>
        <v>0</v>
      </c>
      <c r="DR130" s="12">
        <f t="shared" si="156"/>
        <v>0</v>
      </c>
      <c r="DS130" s="12">
        <f t="shared" si="156"/>
        <v>0</v>
      </c>
      <c r="DT130" s="12">
        <f t="shared" si="156"/>
        <v>0</v>
      </c>
      <c r="DU130" s="12">
        <f t="shared" si="156"/>
        <v>0</v>
      </c>
      <c r="DV130" s="12">
        <f t="shared" si="156"/>
        <v>0</v>
      </c>
      <c r="DW130" s="12">
        <f t="shared" si="156"/>
        <v>0</v>
      </c>
      <c r="DX130" s="12">
        <f t="shared" si="156"/>
        <v>0</v>
      </c>
      <c r="DY130" s="12">
        <f t="shared" si="156"/>
        <v>0</v>
      </c>
      <c r="DZ130" s="12">
        <f t="shared" si="156"/>
        <v>0</v>
      </c>
      <c r="EA130" s="12">
        <f t="shared" si="156"/>
        <v>0</v>
      </c>
      <c r="EB130" s="12">
        <f t="shared" si="156"/>
        <v>0</v>
      </c>
      <c r="EC130" s="12">
        <f t="shared" si="156"/>
        <v>0</v>
      </c>
      <c r="ED130" s="12">
        <f t="shared" si="156"/>
        <v>0</v>
      </c>
      <c r="EE130" s="12">
        <f t="shared" si="156"/>
        <v>0</v>
      </c>
      <c r="EF130" s="12">
        <f t="shared" si="156"/>
        <v>0</v>
      </c>
      <c r="EG130" s="12">
        <f t="shared" ref="EG130:FH130" si="157">-EG128*((1+$D$75)^(1/12)-1)</f>
        <v>0</v>
      </c>
      <c r="EH130" s="12">
        <f t="shared" si="157"/>
        <v>0</v>
      </c>
      <c r="EI130" s="12">
        <f t="shared" si="157"/>
        <v>0</v>
      </c>
      <c r="EJ130" s="12">
        <f t="shared" si="157"/>
        <v>0</v>
      </c>
      <c r="EK130" s="12">
        <f t="shared" si="157"/>
        <v>0</v>
      </c>
      <c r="EL130" s="12">
        <f t="shared" si="157"/>
        <v>0</v>
      </c>
      <c r="EM130" s="12">
        <f t="shared" si="157"/>
        <v>0</v>
      </c>
      <c r="EN130" s="12">
        <f t="shared" si="157"/>
        <v>0</v>
      </c>
      <c r="EO130" s="12">
        <f t="shared" si="157"/>
        <v>0</v>
      </c>
      <c r="EP130" s="12">
        <f t="shared" si="157"/>
        <v>0</v>
      </c>
      <c r="EQ130" s="12">
        <f t="shared" si="157"/>
        <v>0</v>
      </c>
      <c r="ER130" s="12">
        <f t="shared" si="157"/>
        <v>0</v>
      </c>
      <c r="ES130" s="12">
        <f t="shared" si="157"/>
        <v>0</v>
      </c>
      <c r="ET130" s="12">
        <f t="shared" si="157"/>
        <v>0</v>
      </c>
      <c r="EU130" s="12">
        <f t="shared" si="157"/>
        <v>0</v>
      </c>
      <c r="EV130" s="12">
        <f t="shared" si="157"/>
        <v>0</v>
      </c>
      <c r="EW130" s="12">
        <f t="shared" si="157"/>
        <v>0</v>
      </c>
      <c r="EX130" s="12">
        <f t="shared" si="157"/>
        <v>0</v>
      </c>
      <c r="EY130" s="12">
        <f t="shared" si="157"/>
        <v>0</v>
      </c>
      <c r="EZ130" s="12">
        <f t="shared" si="157"/>
        <v>0</v>
      </c>
      <c r="FA130" s="12">
        <f t="shared" si="157"/>
        <v>0</v>
      </c>
      <c r="FB130" s="12">
        <f t="shared" si="157"/>
        <v>0</v>
      </c>
      <c r="FC130" s="12">
        <f t="shared" si="157"/>
        <v>0</v>
      </c>
      <c r="FD130" s="12">
        <f t="shared" si="157"/>
        <v>0</v>
      </c>
      <c r="FE130" s="12">
        <f t="shared" si="157"/>
        <v>0</v>
      </c>
      <c r="FF130" s="12">
        <f t="shared" si="157"/>
        <v>0</v>
      </c>
      <c r="FG130" s="12">
        <f t="shared" si="157"/>
        <v>0</v>
      </c>
      <c r="FH130" s="12">
        <f t="shared" si="157"/>
        <v>0</v>
      </c>
    </row>
    <row r="131" spans="1:164" x14ac:dyDescent="0.2">
      <c r="A131" s="10"/>
      <c r="B131" s="10"/>
      <c r="C131" s="10" t="s">
        <v>338</v>
      </c>
      <c r="D131" s="10"/>
      <c r="E131" s="10"/>
      <c r="F131" s="10"/>
      <c r="G131" s="10"/>
      <c r="H131" s="12">
        <f>SUM(I131:FH131)</f>
        <v>-33818.999999999993</v>
      </c>
      <c r="I131" s="12">
        <f t="shared" ref="I131:AN131" si="158">IF(I$6=$D$76,-(I128+I129),0)</f>
        <v>0</v>
      </c>
      <c r="J131" s="12">
        <f t="shared" si="158"/>
        <v>0</v>
      </c>
      <c r="K131" s="12">
        <f t="shared" si="158"/>
        <v>0</v>
      </c>
      <c r="L131" s="12">
        <f t="shared" si="158"/>
        <v>0</v>
      </c>
      <c r="M131" s="12">
        <f t="shared" si="158"/>
        <v>0</v>
      </c>
      <c r="N131" s="12">
        <f t="shared" si="158"/>
        <v>0</v>
      </c>
      <c r="O131" s="12">
        <f t="shared" si="158"/>
        <v>0</v>
      </c>
      <c r="P131" s="12">
        <f t="shared" si="158"/>
        <v>0</v>
      </c>
      <c r="Q131" s="12">
        <f t="shared" si="158"/>
        <v>0</v>
      </c>
      <c r="R131" s="12">
        <f t="shared" si="158"/>
        <v>0</v>
      </c>
      <c r="S131" s="12">
        <f t="shared" si="158"/>
        <v>0</v>
      </c>
      <c r="T131" s="12">
        <f t="shared" si="158"/>
        <v>0</v>
      </c>
      <c r="U131" s="12">
        <f t="shared" si="158"/>
        <v>0</v>
      </c>
      <c r="V131" s="12">
        <f t="shared" si="158"/>
        <v>0</v>
      </c>
      <c r="W131" s="12">
        <f t="shared" si="158"/>
        <v>0</v>
      </c>
      <c r="X131" s="12">
        <f t="shared" si="158"/>
        <v>0</v>
      </c>
      <c r="Y131" s="12">
        <f t="shared" si="158"/>
        <v>0</v>
      </c>
      <c r="Z131" s="12">
        <f t="shared" si="158"/>
        <v>0</v>
      </c>
      <c r="AA131" s="12">
        <f t="shared" si="158"/>
        <v>0</v>
      </c>
      <c r="AB131" s="12">
        <f t="shared" si="158"/>
        <v>0</v>
      </c>
      <c r="AC131" s="12">
        <f t="shared" si="158"/>
        <v>0</v>
      </c>
      <c r="AD131" s="12">
        <f t="shared" si="158"/>
        <v>0</v>
      </c>
      <c r="AE131" s="12">
        <f t="shared" si="158"/>
        <v>0</v>
      </c>
      <c r="AF131" s="12">
        <f t="shared" si="158"/>
        <v>0</v>
      </c>
      <c r="AG131" s="12">
        <f t="shared" si="158"/>
        <v>0</v>
      </c>
      <c r="AH131" s="12">
        <f t="shared" si="158"/>
        <v>0</v>
      </c>
      <c r="AI131" s="12">
        <f t="shared" si="158"/>
        <v>0</v>
      </c>
      <c r="AJ131" s="12">
        <f t="shared" si="158"/>
        <v>0</v>
      </c>
      <c r="AK131" s="12">
        <f t="shared" si="158"/>
        <v>0</v>
      </c>
      <c r="AL131" s="12">
        <f t="shared" si="158"/>
        <v>0</v>
      </c>
      <c r="AM131" s="12">
        <f t="shared" si="158"/>
        <v>0</v>
      </c>
      <c r="AN131" s="12">
        <f t="shared" si="158"/>
        <v>0</v>
      </c>
      <c r="AO131" s="12">
        <f t="shared" ref="AO131:BT131" si="159">IF(AO$6=$D$76,-(AO128+AO129),0)</f>
        <v>0</v>
      </c>
      <c r="AP131" s="12">
        <f t="shared" si="159"/>
        <v>0</v>
      </c>
      <c r="AQ131" s="12">
        <f t="shared" si="159"/>
        <v>0</v>
      </c>
      <c r="AR131" s="12">
        <f t="shared" si="159"/>
        <v>0</v>
      </c>
      <c r="AS131" s="12">
        <f t="shared" si="159"/>
        <v>0</v>
      </c>
      <c r="AT131" s="12">
        <f t="shared" si="159"/>
        <v>0</v>
      </c>
      <c r="AU131" s="12">
        <f t="shared" si="159"/>
        <v>0</v>
      </c>
      <c r="AV131" s="12">
        <f t="shared" si="159"/>
        <v>0</v>
      </c>
      <c r="AW131" s="12">
        <f t="shared" si="159"/>
        <v>0</v>
      </c>
      <c r="AX131" s="12">
        <f t="shared" si="159"/>
        <v>0</v>
      </c>
      <c r="AY131" s="12">
        <f t="shared" si="159"/>
        <v>0</v>
      </c>
      <c r="AZ131" s="12">
        <f t="shared" si="159"/>
        <v>0</v>
      </c>
      <c r="BA131" s="12">
        <f t="shared" si="159"/>
        <v>0</v>
      </c>
      <c r="BB131" s="12">
        <f t="shared" si="159"/>
        <v>0</v>
      </c>
      <c r="BC131" s="12">
        <f t="shared" si="159"/>
        <v>0</v>
      </c>
      <c r="BD131" s="12">
        <f t="shared" si="159"/>
        <v>0</v>
      </c>
      <c r="BE131" s="12">
        <f t="shared" si="159"/>
        <v>0</v>
      </c>
      <c r="BF131" s="12">
        <f t="shared" si="159"/>
        <v>0</v>
      </c>
      <c r="BG131" s="12">
        <f t="shared" si="159"/>
        <v>0</v>
      </c>
      <c r="BH131" s="12">
        <f t="shared" si="159"/>
        <v>0</v>
      </c>
      <c r="BI131" s="12">
        <f t="shared" si="159"/>
        <v>0</v>
      </c>
      <c r="BJ131" s="12">
        <f t="shared" si="159"/>
        <v>0</v>
      </c>
      <c r="BK131" s="12">
        <f t="shared" si="159"/>
        <v>0</v>
      </c>
      <c r="BL131" s="12">
        <f t="shared" si="159"/>
        <v>0</v>
      </c>
      <c r="BM131" s="12">
        <f t="shared" si="159"/>
        <v>0</v>
      </c>
      <c r="BN131" s="12">
        <f t="shared" si="159"/>
        <v>0</v>
      </c>
      <c r="BO131" s="12">
        <f t="shared" si="159"/>
        <v>0</v>
      </c>
      <c r="BP131" s="12">
        <f t="shared" si="159"/>
        <v>-33818.999999999993</v>
      </c>
      <c r="BQ131" s="12">
        <f t="shared" si="159"/>
        <v>0</v>
      </c>
      <c r="BR131" s="12">
        <f t="shared" si="159"/>
        <v>0</v>
      </c>
      <c r="BS131" s="12">
        <f t="shared" si="159"/>
        <v>0</v>
      </c>
      <c r="BT131" s="12">
        <f t="shared" si="159"/>
        <v>0</v>
      </c>
      <c r="BU131" s="12">
        <f t="shared" ref="BU131:CZ131" si="160">IF(BU$6=$D$76,-(BU128+BU129),0)</f>
        <v>0</v>
      </c>
      <c r="BV131" s="12">
        <f t="shared" si="160"/>
        <v>0</v>
      </c>
      <c r="BW131" s="12">
        <f t="shared" si="160"/>
        <v>0</v>
      </c>
      <c r="BX131" s="12">
        <f t="shared" si="160"/>
        <v>0</v>
      </c>
      <c r="BY131" s="12">
        <f t="shared" si="160"/>
        <v>0</v>
      </c>
      <c r="BZ131" s="12">
        <f t="shared" si="160"/>
        <v>0</v>
      </c>
      <c r="CA131" s="12">
        <f t="shared" si="160"/>
        <v>0</v>
      </c>
      <c r="CB131" s="12">
        <f t="shared" si="160"/>
        <v>0</v>
      </c>
      <c r="CC131" s="12">
        <f t="shared" si="160"/>
        <v>0</v>
      </c>
      <c r="CD131" s="12">
        <f t="shared" si="160"/>
        <v>0</v>
      </c>
      <c r="CE131" s="12">
        <f t="shared" si="160"/>
        <v>0</v>
      </c>
      <c r="CF131" s="12">
        <f t="shared" si="160"/>
        <v>0</v>
      </c>
      <c r="CG131" s="12">
        <f t="shared" si="160"/>
        <v>0</v>
      </c>
      <c r="CH131" s="12">
        <f t="shared" si="160"/>
        <v>0</v>
      </c>
      <c r="CI131" s="12">
        <f t="shared" si="160"/>
        <v>0</v>
      </c>
      <c r="CJ131" s="12">
        <f t="shared" si="160"/>
        <v>0</v>
      </c>
      <c r="CK131" s="12">
        <f t="shared" si="160"/>
        <v>0</v>
      </c>
      <c r="CL131" s="12">
        <f t="shared" si="160"/>
        <v>0</v>
      </c>
      <c r="CM131" s="12">
        <f t="shared" si="160"/>
        <v>0</v>
      </c>
      <c r="CN131" s="12">
        <f t="shared" si="160"/>
        <v>0</v>
      </c>
      <c r="CO131" s="12">
        <f t="shared" si="160"/>
        <v>0</v>
      </c>
      <c r="CP131" s="12">
        <f t="shared" si="160"/>
        <v>0</v>
      </c>
      <c r="CQ131" s="12">
        <f t="shared" si="160"/>
        <v>0</v>
      </c>
      <c r="CR131" s="12">
        <f t="shared" si="160"/>
        <v>0</v>
      </c>
      <c r="CS131" s="12">
        <f t="shared" si="160"/>
        <v>0</v>
      </c>
      <c r="CT131" s="12">
        <f t="shared" si="160"/>
        <v>0</v>
      </c>
      <c r="CU131" s="12">
        <f t="shared" si="160"/>
        <v>0</v>
      </c>
      <c r="CV131" s="12">
        <f t="shared" si="160"/>
        <v>0</v>
      </c>
      <c r="CW131" s="12">
        <f t="shared" si="160"/>
        <v>0</v>
      </c>
      <c r="CX131" s="12">
        <f t="shared" si="160"/>
        <v>0</v>
      </c>
      <c r="CY131" s="12">
        <f t="shared" si="160"/>
        <v>0</v>
      </c>
      <c r="CZ131" s="12">
        <f t="shared" si="160"/>
        <v>0</v>
      </c>
      <c r="DA131" s="12">
        <f t="shared" ref="DA131:EF131" si="161">IF(DA$6=$D$76,-(DA128+DA129),0)</f>
        <v>0</v>
      </c>
      <c r="DB131" s="12">
        <f t="shared" si="161"/>
        <v>0</v>
      </c>
      <c r="DC131" s="12">
        <f t="shared" si="161"/>
        <v>0</v>
      </c>
      <c r="DD131" s="12">
        <f t="shared" si="161"/>
        <v>0</v>
      </c>
      <c r="DE131" s="12">
        <f t="shared" si="161"/>
        <v>0</v>
      </c>
      <c r="DF131" s="12">
        <f t="shared" si="161"/>
        <v>0</v>
      </c>
      <c r="DG131" s="12">
        <f t="shared" si="161"/>
        <v>0</v>
      </c>
      <c r="DH131" s="12">
        <f t="shared" si="161"/>
        <v>0</v>
      </c>
      <c r="DI131" s="12">
        <f t="shared" si="161"/>
        <v>0</v>
      </c>
      <c r="DJ131" s="12">
        <f t="shared" si="161"/>
        <v>0</v>
      </c>
      <c r="DK131" s="12">
        <f t="shared" si="161"/>
        <v>0</v>
      </c>
      <c r="DL131" s="12">
        <f t="shared" si="161"/>
        <v>0</v>
      </c>
      <c r="DM131" s="12">
        <f t="shared" si="161"/>
        <v>0</v>
      </c>
      <c r="DN131" s="12">
        <f t="shared" si="161"/>
        <v>0</v>
      </c>
      <c r="DO131" s="12">
        <f t="shared" si="161"/>
        <v>0</v>
      </c>
      <c r="DP131" s="12">
        <f t="shared" si="161"/>
        <v>0</v>
      </c>
      <c r="DQ131" s="12">
        <f t="shared" si="161"/>
        <v>0</v>
      </c>
      <c r="DR131" s="12">
        <f t="shared" si="161"/>
        <v>0</v>
      </c>
      <c r="DS131" s="12">
        <f t="shared" si="161"/>
        <v>0</v>
      </c>
      <c r="DT131" s="12">
        <f t="shared" si="161"/>
        <v>0</v>
      </c>
      <c r="DU131" s="12">
        <f t="shared" si="161"/>
        <v>0</v>
      </c>
      <c r="DV131" s="12">
        <f t="shared" si="161"/>
        <v>0</v>
      </c>
      <c r="DW131" s="12">
        <f t="shared" si="161"/>
        <v>0</v>
      </c>
      <c r="DX131" s="12">
        <f t="shared" si="161"/>
        <v>0</v>
      </c>
      <c r="DY131" s="12">
        <f t="shared" si="161"/>
        <v>0</v>
      </c>
      <c r="DZ131" s="12">
        <f t="shared" si="161"/>
        <v>0</v>
      </c>
      <c r="EA131" s="12">
        <f t="shared" si="161"/>
        <v>0</v>
      </c>
      <c r="EB131" s="12">
        <f t="shared" si="161"/>
        <v>0</v>
      </c>
      <c r="EC131" s="12">
        <f t="shared" si="161"/>
        <v>0</v>
      </c>
      <c r="ED131" s="12">
        <f t="shared" si="161"/>
        <v>0</v>
      </c>
      <c r="EE131" s="12">
        <f t="shared" si="161"/>
        <v>0</v>
      </c>
      <c r="EF131" s="12">
        <f t="shared" si="161"/>
        <v>0</v>
      </c>
      <c r="EG131" s="12">
        <f t="shared" ref="EG131:FH131" si="162">IF(EG$6=$D$76,-(EG128+EG129),0)</f>
        <v>0</v>
      </c>
      <c r="EH131" s="12">
        <f t="shared" si="162"/>
        <v>0</v>
      </c>
      <c r="EI131" s="12">
        <f t="shared" si="162"/>
        <v>0</v>
      </c>
      <c r="EJ131" s="12">
        <f t="shared" si="162"/>
        <v>0</v>
      </c>
      <c r="EK131" s="12">
        <f t="shared" si="162"/>
        <v>0</v>
      </c>
      <c r="EL131" s="12">
        <f t="shared" si="162"/>
        <v>0</v>
      </c>
      <c r="EM131" s="12">
        <f t="shared" si="162"/>
        <v>0</v>
      </c>
      <c r="EN131" s="12">
        <f t="shared" si="162"/>
        <v>0</v>
      </c>
      <c r="EO131" s="12">
        <f t="shared" si="162"/>
        <v>0</v>
      </c>
      <c r="EP131" s="12">
        <f t="shared" si="162"/>
        <v>0</v>
      </c>
      <c r="EQ131" s="12">
        <f t="shared" si="162"/>
        <v>0</v>
      </c>
      <c r="ER131" s="12">
        <f t="shared" si="162"/>
        <v>0</v>
      </c>
      <c r="ES131" s="12">
        <f t="shared" si="162"/>
        <v>0</v>
      </c>
      <c r="ET131" s="12">
        <f t="shared" si="162"/>
        <v>0</v>
      </c>
      <c r="EU131" s="12">
        <f t="shared" si="162"/>
        <v>0</v>
      </c>
      <c r="EV131" s="12">
        <f t="shared" si="162"/>
        <v>0</v>
      </c>
      <c r="EW131" s="12">
        <f t="shared" si="162"/>
        <v>0</v>
      </c>
      <c r="EX131" s="12">
        <f t="shared" si="162"/>
        <v>0</v>
      </c>
      <c r="EY131" s="12">
        <f t="shared" si="162"/>
        <v>0</v>
      </c>
      <c r="EZ131" s="12">
        <f t="shared" si="162"/>
        <v>0</v>
      </c>
      <c r="FA131" s="12">
        <f t="shared" si="162"/>
        <v>0</v>
      </c>
      <c r="FB131" s="12">
        <f t="shared" si="162"/>
        <v>0</v>
      </c>
      <c r="FC131" s="12">
        <f t="shared" si="162"/>
        <v>0</v>
      </c>
      <c r="FD131" s="12">
        <f t="shared" si="162"/>
        <v>0</v>
      </c>
      <c r="FE131" s="12">
        <f t="shared" si="162"/>
        <v>0</v>
      </c>
      <c r="FF131" s="12">
        <f t="shared" si="162"/>
        <v>0</v>
      </c>
      <c r="FG131" s="12">
        <f t="shared" si="162"/>
        <v>0</v>
      </c>
      <c r="FH131" s="12">
        <f t="shared" si="162"/>
        <v>0</v>
      </c>
    </row>
    <row r="132" spans="1:164" x14ac:dyDescent="0.2">
      <c r="A132" s="10"/>
      <c r="B132" s="10"/>
      <c r="C132" s="10" t="s">
        <v>769</v>
      </c>
      <c r="D132" s="10"/>
      <c r="E132" s="10"/>
      <c r="F132" s="10"/>
      <c r="G132" s="10"/>
      <c r="H132" s="12"/>
      <c r="I132" s="12">
        <f t="shared" ref="I132:AN132" si="163">I128+I129+I131</f>
        <v>0</v>
      </c>
      <c r="J132" s="12">
        <f t="shared" si="163"/>
        <v>0</v>
      </c>
      <c r="K132" s="12">
        <f t="shared" si="163"/>
        <v>0</v>
      </c>
      <c r="L132" s="12">
        <f t="shared" si="163"/>
        <v>0</v>
      </c>
      <c r="M132" s="12">
        <f t="shared" si="163"/>
        <v>0</v>
      </c>
      <c r="N132" s="12">
        <f t="shared" si="163"/>
        <v>0</v>
      </c>
      <c r="O132" s="12">
        <f t="shared" si="163"/>
        <v>0</v>
      </c>
      <c r="P132" s="12">
        <f t="shared" si="163"/>
        <v>0</v>
      </c>
      <c r="Q132" s="12">
        <f t="shared" si="163"/>
        <v>0</v>
      </c>
      <c r="R132" s="12">
        <f t="shared" si="163"/>
        <v>0</v>
      </c>
      <c r="S132" s="12">
        <f t="shared" si="163"/>
        <v>0</v>
      </c>
      <c r="T132" s="12">
        <f t="shared" si="163"/>
        <v>0</v>
      </c>
      <c r="U132" s="12">
        <f t="shared" si="163"/>
        <v>0</v>
      </c>
      <c r="V132" s="12">
        <f t="shared" si="163"/>
        <v>0</v>
      </c>
      <c r="W132" s="12">
        <f t="shared" si="163"/>
        <v>0</v>
      </c>
      <c r="X132" s="12">
        <f t="shared" si="163"/>
        <v>0</v>
      </c>
      <c r="Y132" s="12">
        <f t="shared" si="163"/>
        <v>0</v>
      </c>
      <c r="Z132" s="12">
        <f t="shared" si="163"/>
        <v>0</v>
      </c>
      <c r="AA132" s="12">
        <f t="shared" si="163"/>
        <v>0</v>
      </c>
      <c r="AB132" s="12">
        <f t="shared" si="163"/>
        <v>0</v>
      </c>
      <c r="AC132" s="12">
        <f t="shared" si="163"/>
        <v>0</v>
      </c>
      <c r="AD132" s="12">
        <f t="shared" si="163"/>
        <v>0</v>
      </c>
      <c r="AE132" s="12">
        <f t="shared" si="163"/>
        <v>0</v>
      </c>
      <c r="AF132" s="12">
        <f t="shared" si="163"/>
        <v>0</v>
      </c>
      <c r="AG132" s="12">
        <f t="shared" si="163"/>
        <v>0</v>
      </c>
      <c r="AH132" s="12">
        <f t="shared" si="163"/>
        <v>0</v>
      </c>
      <c r="AI132" s="12">
        <f t="shared" si="163"/>
        <v>0</v>
      </c>
      <c r="AJ132" s="12">
        <f t="shared" si="163"/>
        <v>0</v>
      </c>
      <c r="AK132" s="12">
        <f t="shared" si="163"/>
        <v>0</v>
      </c>
      <c r="AL132" s="12">
        <f t="shared" si="163"/>
        <v>0</v>
      </c>
      <c r="AM132" s="12">
        <f t="shared" si="163"/>
        <v>0</v>
      </c>
      <c r="AN132" s="12">
        <f t="shared" si="163"/>
        <v>2690.626583959358</v>
      </c>
      <c r="AO132" s="12">
        <f t="shared" ref="AO132:BT132" si="164">AO128+AO129+AO131</f>
        <v>5636.5</v>
      </c>
      <c r="AP132" s="12">
        <f t="shared" si="164"/>
        <v>8582.3734160406457</v>
      </c>
      <c r="AQ132" s="12">
        <f t="shared" si="164"/>
        <v>11495.971226471505</v>
      </c>
      <c r="AR132" s="12">
        <f t="shared" si="164"/>
        <v>14345.371443971955</v>
      </c>
      <c r="AS132" s="12">
        <f t="shared" si="164"/>
        <v>17099.355443483735</v>
      </c>
      <c r="AT132" s="12">
        <f t="shared" si="164"/>
        <v>19727.75</v>
      </c>
      <c r="AU132" s="12">
        <f t="shared" si="164"/>
        <v>22201.757872732625</v>
      </c>
      <c r="AV132" s="12">
        <f t="shared" si="164"/>
        <v>24494.273313708523</v>
      </c>
      <c r="AW132" s="12">
        <f t="shared" si="164"/>
        <v>26580.179044016666</v>
      </c>
      <c r="AX132" s="12">
        <f t="shared" si="164"/>
        <v>28436.621443971955</v>
      </c>
      <c r="AY132" s="12">
        <f t="shared" si="164"/>
        <v>30043.260942154942</v>
      </c>
      <c r="AZ132" s="12">
        <f t="shared" si="164"/>
        <v>31382.494860012594</v>
      </c>
      <c r="BA132" s="12">
        <f t="shared" si="164"/>
        <v>32439.650270488164</v>
      </c>
      <c r="BB132" s="12">
        <f t="shared" si="164"/>
        <v>33203.144757680471</v>
      </c>
      <c r="BC132" s="12">
        <f t="shared" si="164"/>
        <v>33664.613316216353</v>
      </c>
      <c r="BD132" s="12">
        <f t="shared" si="164"/>
        <v>33818.999999999993</v>
      </c>
      <c r="BE132" s="12">
        <f t="shared" si="164"/>
        <v>33818.999999999993</v>
      </c>
      <c r="BF132" s="12">
        <f t="shared" si="164"/>
        <v>33818.999999999993</v>
      </c>
      <c r="BG132" s="12">
        <f t="shared" si="164"/>
        <v>33818.999999999993</v>
      </c>
      <c r="BH132" s="12">
        <f t="shared" si="164"/>
        <v>33818.999999999993</v>
      </c>
      <c r="BI132" s="12">
        <f t="shared" si="164"/>
        <v>33818.999999999993</v>
      </c>
      <c r="BJ132" s="12">
        <f t="shared" si="164"/>
        <v>33818.999999999993</v>
      </c>
      <c r="BK132" s="12">
        <f t="shared" si="164"/>
        <v>33818.999999999993</v>
      </c>
      <c r="BL132" s="12">
        <f t="shared" si="164"/>
        <v>33818.999999999993</v>
      </c>
      <c r="BM132" s="12">
        <f t="shared" si="164"/>
        <v>33818.999999999993</v>
      </c>
      <c r="BN132" s="12">
        <f t="shared" si="164"/>
        <v>33818.999999999993</v>
      </c>
      <c r="BO132" s="12">
        <f t="shared" si="164"/>
        <v>33818.999999999993</v>
      </c>
      <c r="BP132" s="12">
        <f t="shared" si="164"/>
        <v>0</v>
      </c>
      <c r="BQ132" s="12">
        <f t="shared" si="164"/>
        <v>0</v>
      </c>
      <c r="BR132" s="12">
        <f t="shared" si="164"/>
        <v>0</v>
      </c>
      <c r="BS132" s="12">
        <f t="shared" si="164"/>
        <v>0</v>
      </c>
      <c r="BT132" s="12">
        <f t="shared" si="164"/>
        <v>0</v>
      </c>
      <c r="BU132" s="12">
        <f t="shared" ref="BU132:CZ132" si="165">BU128+BU129+BU131</f>
        <v>0</v>
      </c>
      <c r="BV132" s="12">
        <f t="shared" si="165"/>
        <v>0</v>
      </c>
      <c r="BW132" s="12">
        <f t="shared" si="165"/>
        <v>0</v>
      </c>
      <c r="BX132" s="12">
        <f t="shared" si="165"/>
        <v>0</v>
      </c>
      <c r="BY132" s="12">
        <f t="shared" si="165"/>
        <v>0</v>
      </c>
      <c r="BZ132" s="12">
        <f t="shared" si="165"/>
        <v>0</v>
      </c>
      <c r="CA132" s="12">
        <f t="shared" si="165"/>
        <v>0</v>
      </c>
      <c r="CB132" s="12">
        <f t="shared" si="165"/>
        <v>0</v>
      </c>
      <c r="CC132" s="12">
        <f t="shared" si="165"/>
        <v>0</v>
      </c>
      <c r="CD132" s="12">
        <f t="shared" si="165"/>
        <v>0</v>
      </c>
      <c r="CE132" s="12">
        <f t="shared" si="165"/>
        <v>0</v>
      </c>
      <c r="CF132" s="12">
        <f t="shared" si="165"/>
        <v>0</v>
      </c>
      <c r="CG132" s="12">
        <f t="shared" si="165"/>
        <v>0</v>
      </c>
      <c r="CH132" s="12">
        <f t="shared" si="165"/>
        <v>0</v>
      </c>
      <c r="CI132" s="12">
        <f t="shared" si="165"/>
        <v>0</v>
      </c>
      <c r="CJ132" s="12">
        <f t="shared" si="165"/>
        <v>0</v>
      </c>
      <c r="CK132" s="12">
        <f t="shared" si="165"/>
        <v>0</v>
      </c>
      <c r="CL132" s="12">
        <f t="shared" si="165"/>
        <v>0</v>
      </c>
      <c r="CM132" s="12">
        <f t="shared" si="165"/>
        <v>0</v>
      </c>
      <c r="CN132" s="12">
        <f t="shared" si="165"/>
        <v>0</v>
      </c>
      <c r="CO132" s="12">
        <f t="shared" si="165"/>
        <v>0</v>
      </c>
      <c r="CP132" s="12">
        <f t="shared" si="165"/>
        <v>0</v>
      </c>
      <c r="CQ132" s="12">
        <f t="shared" si="165"/>
        <v>0</v>
      </c>
      <c r="CR132" s="12">
        <f t="shared" si="165"/>
        <v>0</v>
      </c>
      <c r="CS132" s="12">
        <f t="shared" si="165"/>
        <v>0</v>
      </c>
      <c r="CT132" s="12">
        <f t="shared" si="165"/>
        <v>0</v>
      </c>
      <c r="CU132" s="12">
        <f t="shared" si="165"/>
        <v>0</v>
      </c>
      <c r="CV132" s="12">
        <f t="shared" si="165"/>
        <v>0</v>
      </c>
      <c r="CW132" s="12">
        <f t="shared" si="165"/>
        <v>0</v>
      </c>
      <c r="CX132" s="12">
        <f t="shared" si="165"/>
        <v>0</v>
      </c>
      <c r="CY132" s="12">
        <f t="shared" si="165"/>
        <v>0</v>
      </c>
      <c r="CZ132" s="12">
        <f t="shared" si="165"/>
        <v>0</v>
      </c>
      <c r="DA132" s="12">
        <f t="shared" ref="DA132:EF132" si="166">DA128+DA129+DA131</f>
        <v>0</v>
      </c>
      <c r="DB132" s="12">
        <f t="shared" si="166"/>
        <v>0</v>
      </c>
      <c r="DC132" s="12">
        <f t="shared" si="166"/>
        <v>0</v>
      </c>
      <c r="DD132" s="12">
        <f t="shared" si="166"/>
        <v>0</v>
      </c>
      <c r="DE132" s="12">
        <f t="shared" si="166"/>
        <v>0</v>
      </c>
      <c r="DF132" s="12">
        <f t="shared" si="166"/>
        <v>0</v>
      </c>
      <c r="DG132" s="12">
        <f t="shared" si="166"/>
        <v>0</v>
      </c>
      <c r="DH132" s="12">
        <f t="shared" si="166"/>
        <v>0</v>
      </c>
      <c r="DI132" s="12">
        <f t="shared" si="166"/>
        <v>0</v>
      </c>
      <c r="DJ132" s="12">
        <f t="shared" si="166"/>
        <v>0</v>
      </c>
      <c r="DK132" s="12">
        <f t="shared" si="166"/>
        <v>0</v>
      </c>
      <c r="DL132" s="12">
        <f t="shared" si="166"/>
        <v>0</v>
      </c>
      <c r="DM132" s="12">
        <f t="shared" si="166"/>
        <v>0</v>
      </c>
      <c r="DN132" s="12">
        <f t="shared" si="166"/>
        <v>0</v>
      </c>
      <c r="DO132" s="12">
        <f t="shared" si="166"/>
        <v>0</v>
      </c>
      <c r="DP132" s="12">
        <f t="shared" si="166"/>
        <v>0</v>
      </c>
      <c r="DQ132" s="12">
        <f t="shared" si="166"/>
        <v>0</v>
      </c>
      <c r="DR132" s="12">
        <f t="shared" si="166"/>
        <v>0</v>
      </c>
      <c r="DS132" s="12">
        <f t="shared" si="166"/>
        <v>0</v>
      </c>
      <c r="DT132" s="12">
        <f t="shared" si="166"/>
        <v>0</v>
      </c>
      <c r="DU132" s="12">
        <f t="shared" si="166"/>
        <v>0</v>
      </c>
      <c r="DV132" s="12">
        <f t="shared" si="166"/>
        <v>0</v>
      </c>
      <c r="DW132" s="12">
        <f t="shared" si="166"/>
        <v>0</v>
      </c>
      <c r="DX132" s="12">
        <f t="shared" si="166"/>
        <v>0</v>
      </c>
      <c r="DY132" s="12">
        <f t="shared" si="166"/>
        <v>0</v>
      </c>
      <c r="DZ132" s="12">
        <f t="shared" si="166"/>
        <v>0</v>
      </c>
      <c r="EA132" s="12">
        <f t="shared" si="166"/>
        <v>0</v>
      </c>
      <c r="EB132" s="12">
        <f t="shared" si="166"/>
        <v>0</v>
      </c>
      <c r="EC132" s="12">
        <f t="shared" si="166"/>
        <v>0</v>
      </c>
      <c r="ED132" s="12">
        <f t="shared" si="166"/>
        <v>0</v>
      </c>
      <c r="EE132" s="12">
        <f t="shared" si="166"/>
        <v>0</v>
      </c>
      <c r="EF132" s="12">
        <f t="shared" si="166"/>
        <v>0</v>
      </c>
      <c r="EG132" s="12">
        <f t="shared" ref="EG132:FH132" si="167">EG128+EG129+EG131</f>
        <v>0</v>
      </c>
      <c r="EH132" s="12">
        <f t="shared" si="167"/>
        <v>0</v>
      </c>
      <c r="EI132" s="12">
        <f t="shared" si="167"/>
        <v>0</v>
      </c>
      <c r="EJ132" s="12">
        <f t="shared" si="167"/>
        <v>0</v>
      </c>
      <c r="EK132" s="12">
        <f t="shared" si="167"/>
        <v>0</v>
      </c>
      <c r="EL132" s="12">
        <f t="shared" si="167"/>
        <v>0</v>
      </c>
      <c r="EM132" s="12">
        <f t="shared" si="167"/>
        <v>0</v>
      </c>
      <c r="EN132" s="12">
        <f t="shared" si="167"/>
        <v>0</v>
      </c>
      <c r="EO132" s="12">
        <f t="shared" si="167"/>
        <v>0</v>
      </c>
      <c r="EP132" s="12">
        <f t="shared" si="167"/>
        <v>0</v>
      </c>
      <c r="EQ132" s="12">
        <f t="shared" si="167"/>
        <v>0</v>
      </c>
      <c r="ER132" s="12">
        <f t="shared" si="167"/>
        <v>0</v>
      </c>
      <c r="ES132" s="12">
        <f t="shared" si="167"/>
        <v>0</v>
      </c>
      <c r="ET132" s="12">
        <f t="shared" si="167"/>
        <v>0</v>
      </c>
      <c r="EU132" s="12">
        <f t="shared" si="167"/>
        <v>0</v>
      </c>
      <c r="EV132" s="12">
        <f t="shared" si="167"/>
        <v>0</v>
      </c>
      <c r="EW132" s="12">
        <f t="shared" si="167"/>
        <v>0</v>
      </c>
      <c r="EX132" s="12">
        <f t="shared" si="167"/>
        <v>0</v>
      </c>
      <c r="EY132" s="12">
        <f t="shared" si="167"/>
        <v>0</v>
      </c>
      <c r="EZ132" s="12">
        <f t="shared" si="167"/>
        <v>0</v>
      </c>
      <c r="FA132" s="12">
        <f t="shared" si="167"/>
        <v>0</v>
      </c>
      <c r="FB132" s="12">
        <f t="shared" si="167"/>
        <v>0</v>
      </c>
      <c r="FC132" s="12">
        <f t="shared" si="167"/>
        <v>0</v>
      </c>
      <c r="FD132" s="12">
        <f t="shared" si="167"/>
        <v>0</v>
      </c>
      <c r="FE132" s="12">
        <f t="shared" si="167"/>
        <v>0</v>
      </c>
      <c r="FF132" s="12">
        <f t="shared" si="167"/>
        <v>0</v>
      </c>
      <c r="FG132" s="12">
        <f t="shared" si="167"/>
        <v>0</v>
      </c>
      <c r="FH132" s="12">
        <f t="shared" si="167"/>
        <v>0</v>
      </c>
    </row>
    <row r="133" spans="1:164" x14ac:dyDescent="0.2">
      <c r="A133" s="10"/>
      <c r="B133" s="31" t="s">
        <v>917</v>
      </c>
      <c r="C133" s="31"/>
      <c r="D133" s="31"/>
      <c r="E133" s="31"/>
      <c r="F133" s="31"/>
      <c r="G133" s="31"/>
      <c r="H133" s="32">
        <f>SUM(I133:FH133)</f>
        <v>57160.918385964251</v>
      </c>
      <c r="I133" s="32">
        <f t="shared" ref="I133:AN133" si="168">I124+I129+I130+I131</f>
        <v>0</v>
      </c>
      <c r="J133" s="32">
        <f t="shared" si="168"/>
        <v>0</v>
      </c>
      <c r="K133" s="32">
        <f t="shared" si="168"/>
        <v>0</v>
      </c>
      <c r="L133" s="32">
        <f t="shared" si="168"/>
        <v>0</v>
      </c>
      <c r="M133" s="32">
        <f t="shared" si="168"/>
        <v>0</v>
      </c>
      <c r="N133" s="32">
        <f t="shared" si="168"/>
        <v>0</v>
      </c>
      <c r="O133" s="32">
        <f t="shared" si="168"/>
        <v>-93.941666666666663</v>
      </c>
      <c r="P133" s="32">
        <f t="shared" si="168"/>
        <v>-93.941666666666663</v>
      </c>
      <c r="Q133" s="32">
        <f t="shared" si="168"/>
        <v>-93.941666666666663</v>
      </c>
      <c r="R133" s="32">
        <f t="shared" si="168"/>
        <v>-393.4083333333333</v>
      </c>
      <c r="S133" s="32">
        <f t="shared" si="168"/>
        <v>-393.4083333333333</v>
      </c>
      <c r="T133" s="32">
        <f t="shared" si="168"/>
        <v>-393.4083333333333</v>
      </c>
      <c r="U133" s="32">
        <f t="shared" si="168"/>
        <v>323.49546897399159</v>
      </c>
      <c r="V133" s="32">
        <f t="shared" si="168"/>
        <v>372.7791261168486</v>
      </c>
      <c r="W133" s="32">
        <f t="shared" si="168"/>
        <v>423.51230258743681</v>
      </c>
      <c r="X133" s="32">
        <f t="shared" si="168"/>
        <v>475.78284804198233</v>
      </c>
      <c r="Y133" s="32">
        <f t="shared" si="168"/>
        <v>529.6868480419821</v>
      </c>
      <c r="Z133" s="32">
        <f t="shared" si="168"/>
        <v>585.32968675165944</v>
      </c>
      <c r="AA133" s="32">
        <f t="shared" si="168"/>
        <v>-751.85089052941953</v>
      </c>
      <c r="AB133" s="32">
        <f t="shared" si="168"/>
        <v>-1165.2110663792328</v>
      </c>
      <c r="AC133" s="32">
        <f t="shared" si="168"/>
        <v>-1571.1447566514807</v>
      </c>
      <c r="AD133" s="32">
        <f t="shared" si="168"/>
        <v>-1965.0380053277936</v>
      </c>
      <c r="AE133" s="32">
        <f t="shared" si="168"/>
        <v>-2342.4001430643671</v>
      </c>
      <c r="AF133" s="32">
        <f t="shared" si="168"/>
        <v>-2698.9120223127452</v>
      </c>
      <c r="AG133" s="32">
        <f t="shared" si="168"/>
        <v>-2549.5093416594991</v>
      </c>
      <c r="AH133" s="32">
        <f t="shared" si="168"/>
        <v>-2852.2777002197172</v>
      </c>
      <c r="AI133" s="32">
        <f t="shared" si="168"/>
        <v>-3122.7158880496336</v>
      </c>
      <c r="AJ133" s="32">
        <f t="shared" si="168"/>
        <v>-3058.1575226389891</v>
      </c>
      <c r="AK133" s="32">
        <f t="shared" si="168"/>
        <v>-3254.7075732534026</v>
      </c>
      <c r="AL133" s="32">
        <f t="shared" si="168"/>
        <v>-3410.4704804632147</v>
      </c>
      <c r="AM133" s="32">
        <f t="shared" si="168"/>
        <v>-3523.4398668882322</v>
      </c>
      <c r="AN133" s="32">
        <f t="shared" si="168"/>
        <v>-901.42277298813315</v>
      </c>
      <c r="AO133" s="32">
        <f t="shared" ref="AO133:BT133" si="169">AO124+AO129+AO130+AO131</f>
        <v>-694.84137037987864</v>
      </c>
      <c r="AP133" s="32">
        <f t="shared" si="169"/>
        <v>-699.79511323617783</v>
      </c>
      <c r="AQ133" s="32">
        <f t="shared" si="169"/>
        <v>-690.68544217728311</v>
      </c>
      <c r="AR133" s="32">
        <f t="shared" si="169"/>
        <v>-667.08944693187721</v>
      </c>
      <c r="AS133" s="32">
        <f t="shared" si="169"/>
        <v>-628.65898048048098</v>
      </c>
      <c r="AT133" s="32">
        <f t="shared" si="169"/>
        <v>-575.09803606787341</v>
      </c>
      <c r="AU133" s="32">
        <f t="shared" si="169"/>
        <v>-506.12712093426933</v>
      </c>
      <c r="AV133" s="32">
        <f t="shared" si="169"/>
        <v>-421.42698081024207</v>
      </c>
      <c r="AW133" s="32">
        <f t="shared" si="169"/>
        <v>-320.54734433047241</v>
      </c>
      <c r="AX133" s="32">
        <f t="shared" si="169"/>
        <v>-202.75201262316048</v>
      </c>
      <c r="AY133" s="32">
        <f t="shared" si="169"/>
        <v>-66.738128217524775</v>
      </c>
      <c r="AZ133" s="32">
        <f t="shared" si="169"/>
        <v>89.91964518673808</v>
      </c>
      <c r="BA133" s="32">
        <f t="shared" si="169"/>
        <v>272.0106391267862</v>
      </c>
      <c r="BB133" s="32">
        <f t="shared" si="169"/>
        <v>489.98428017460401</v>
      </c>
      <c r="BC133" s="32">
        <f t="shared" si="169"/>
        <v>771.46111498047662</v>
      </c>
      <c r="BD133" s="32">
        <f t="shared" si="169"/>
        <v>1230.2422916526943</v>
      </c>
      <c r="BE133" s="32">
        <f t="shared" si="169"/>
        <v>6578.8105117453415</v>
      </c>
      <c r="BF133" s="32">
        <f t="shared" si="169"/>
        <v>714.05531174533598</v>
      </c>
      <c r="BG133" s="32">
        <f t="shared" si="169"/>
        <v>714.05531174533598</v>
      </c>
      <c r="BH133" s="32">
        <f t="shared" si="169"/>
        <v>714.05531174533598</v>
      </c>
      <c r="BI133" s="32">
        <f t="shared" si="169"/>
        <v>714.05531174533598</v>
      </c>
      <c r="BJ133" s="32">
        <f t="shared" si="169"/>
        <v>714.05531174533598</v>
      </c>
      <c r="BK133" s="32">
        <f t="shared" si="169"/>
        <v>714.05531174533598</v>
      </c>
      <c r="BL133" s="32">
        <f t="shared" si="169"/>
        <v>714.05531174533598</v>
      </c>
      <c r="BM133" s="32">
        <f t="shared" si="169"/>
        <v>714.05531174533598</v>
      </c>
      <c r="BN133" s="32">
        <f t="shared" si="169"/>
        <v>714.05531174533598</v>
      </c>
      <c r="BO133" s="32">
        <f t="shared" si="169"/>
        <v>714.05531174533598</v>
      </c>
      <c r="BP133" s="32">
        <f t="shared" si="169"/>
        <v>77980.418511745462</v>
      </c>
      <c r="BQ133" s="32">
        <f t="shared" si="169"/>
        <v>0</v>
      </c>
      <c r="BR133" s="32">
        <f t="shared" si="169"/>
        <v>0</v>
      </c>
      <c r="BS133" s="32">
        <f t="shared" si="169"/>
        <v>0</v>
      </c>
      <c r="BT133" s="32">
        <f t="shared" si="169"/>
        <v>0</v>
      </c>
      <c r="BU133" s="32">
        <f t="shared" ref="BU133:CZ133" si="170">BU124+BU129+BU130+BU131</f>
        <v>0</v>
      </c>
      <c r="BV133" s="32">
        <f t="shared" si="170"/>
        <v>0</v>
      </c>
      <c r="BW133" s="32">
        <f t="shared" si="170"/>
        <v>0</v>
      </c>
      <c r="BX133" s="32">
        <f t="shared" si="170"/>
        <v>0</v>
      </c>
      <c r="BY133" s="32">
        <f t="shared" si="170"/>
        <v>0</v>
      </c>
      <c r="BZ133" s="32">
        <f t="shared" si="170"/>
        <v>0</v>
      </c>
      <c r="CA133" s="32">
        <f t="shared" si="170"/>
        <v>0</v>
      </c>
      <c r="CB133" s="32">
        <f t="shared" si="170"/>
        <v>0</v>
      </c>
      <c r="CC133" s="32">
        <f t="shared" si="170"/>
        <v>0</v>
      </c>
      <c r="CD133" s="32">
        <f t="shared" si="170"/>
        <v>0</v>
      </c>
      <c r="CE133" s="32">
        <f t="shared" si="170"/>
        <v>0</v>
      </c>
      <c r="CF133" s="32">
        <f t="shared" si="170"/>
        <v>0</v>
      </c>
      <c r="CG133" s="32">
        <f t="shared" si="170"/>
        <v>0</v>
      </c>
      <c r="CH133" s="32">
        <f t="shared" si="170"/>
        <v>0</v>
      </c>
      <c r="CI133" s="32">
        <f t="shared" si="170"/>
        <v>0</v>
      </c>
      <c r="CJ133" s="32">
        <f t="shared" si="170"/>
        <v>0</v>
      </c>
      <c r="CK133" s="32">
        <f t="shared" si="170"/>
        <v>0</v>
      </c>
      <c r="CL133" s="32">
        <f t="shared" si="170"/>
        <v>0</v>
      </c>
      <c r="CM133" s="32">
        <f t="shared" si="170"/>
        <v>0</v>
      </c>
      <c r="CN133" s="32">
        <f t="shared" si="170"/>
        <v>0</v>
      </c>
      <c r="CO133" s="32">
        <f t="shared" si="170"/>
        <v>0</v>
      </c>
      <c r="CP133" s="32">
        <f t="shared" si="170"/>
        <v>0</v>
      </c>
      <c r="CQ133" s="32">
        <f t="shared" si="170"/>
        <v>0</v>
      </c>
      <c r="CR133" s="32">
        <f t="shared" si="170"/>
        <v>0</v>
      </c>
      <c r="CS133" s="32">
        <f t="shared" si="170"/>
        <v>0</v>
      </c>
      <c r="CT133" s="32">
        <f t="shared" si="170"/>
        <v>0</v>
      </c>
      <c r="CU133" s="32">
        <f t="shared" si="170"/>
        <v>0</v>
      </c>
      <c r="CV133" s="32">
        <f t="shared" si="170"/>
        <v>0</v>
      </c>
      <c r="CW133" s="32">
        <f t="shared" si="170"/>
        <v>0</v>
      </c>
      <c r="CX133" s="32">
        <f t="shared" si="170"/>
        <v>0</v>
      </c>
      <c r="CY133" s="32">
        <f t="shared" si="170"/>
        <v>0</v>
      </c>
      <c r="CZ133" s="32">
        <f t="shared" si="170"/>
        <v>0</v>
      </c>
      <c r="DA133" s="32">
        <f t="shared" ref="DA133:EF133" si="171">DA124+DA129+DA130+DA131</f>
        <v>0</v>
      </c>
      <c r="DB133" s="32">
        <f t="shared" si="171"/>
        <v>0</v>
      </c>
      <c r="DC133" s="32">
        <f t="shared" si="171"/>
        <v>0</v>
      </c>
      <c r="DD133" s="32">
        <f t="shared" si="171"/>
        <v>0</v>
      </c>
      <c r="DE133" s="32">
        <f t="shared" si="171"/>
        <v>0</v>
      </c>
      <c r="DF133" s="32">
        <f t="shared" si="171"/>
        <v>0</v>
      </c>
      <c r="DG133" s="32">
        <f t="shared" si="171"/>
        <v>0</v>
      </c>
      <c r="DH133" s="32">
        <f t="shared" si="171"/>
        <v>0</v>
      </c>
      <c r="DI133" s="32">
        <f t="shared" si="171"/>
        <v>0</v>
      </c>
      <c r="DJ133" s="32">
        <f t="shared" si="171"/>
        <v>0</v>
      </c>
      <c r="DK133" s="32">
        <f t="shared" si="171"/>
        <v>0</v>
      </c>
      <c r="DL133" s="32">
        <f t="shared" si="171"/>
        <v>0</v>
      </c>
      <c r="DM133" s="32">
        <f t="shared" si="171"/>
        <v>0</v>
      </c>
      <c r="DN133" s="32">
        <f t="shared" si="171"/>
        <v>0</v>
      </c>
      <c r="DO133" s="32">
        <f t="shared" si="171"/>
        <v>0</v>
      </c>
      <c r="DP133" s="32">
        <f t="shared" si="171"/>
        <v>0</v>
      </c>
      <c r="DQ133" s="32">
        <f t="shared" si="171"/>
        <v>0</v>
      </c>
      <c r="DR133" s="32">
        <f t="shared" si="171"/>
        <v>0</v>
      </c>
      <c r="DS133" s="32">
        <f t="shared" si="171"/>
        <v>0</v>
      </c>
      <c r="DT133" s="32">
        <f t="shared" si="171"/>
        <v>0</v>
      </c>
      <c r="DU133" s="32">
        <f t="shared" si="171"/>
        <v>0</v>
      </c>
      <c r="DV133" s="32">
        <f t="shared" si="171"/>
        <v>0</v>
      </c>
      <c r="DW133" s="32">
        <f t="shared" si="171"/>
        <v>0</v>
      </c>
      <c r="DX133" s="32">
        <f t="shared" si="171"/>
        <v>0</v>
      </c>
      <c r="DY133" s="32">
        <f t="shared" si="171"/>
        <v>0</v>
      </c>
      <c r="DZ133" s="32">
        <f t="shared" si="171"/>
        <v>0</v>
      </c>
      <c r="EA133" s="32">
        <f t="shared" si="171"/>
        <v>0</v>
      </c>
      <c r="EB133" s="32">
        <f t="shared" si="171"/>
        <v>0</v>
      </c>
      <c r="EC133" s="32">
        <f t="shared" si="171"/>
        <v>0</v>
      </c>
      <c r="ED133" s="32">
        <f t="shared" si="171"/>
        <v>0</v>
      </c>
      <c r="EE133" s="32">
        <f t="shared" si="171"/>
        <v>0</v>
      </c>
      <c r="EF133" s="32">
        <f t="shared" si="171"/>
        <v>0</v>
      </c>
      <c r="EG133" s="32">
        <f t="shared" ref="EG133:FH133" si="172">EG124+EG129+EG130+EG131</f>
        <v>0</v>
      </c>
      <c r="EH133" s="32">
        <f t="shared" si="172"/>
        <v>0</v>
      </c>
      <c r="EI133" s="32">
        <f t="shared" si="172"/>
        <v>0</v>
      </c>
      <c r="EJ133" s="32">
        <f t="shared" si="172"/>
        <v>0</v>
      </c>
      <c r="EK133" s="32">
        <f t="shared" si="172"/>
        <v>0</v>
      </c>
      <c r="EL133" s="32">
        <f t="shared" si="172"/>
        <v>0</v>
      </c>
      <c r="EM133" s="32">
        <f t="shared" si="172"/>
        <v>0</v>
      </c>
      <c r="EN133" s="32">
        <f t="shared" si="172"/>
        <v>0</v>
      </c>
      <c r="EO133" s="32">
        <f t="shared" si="172"/>
        <v>0</v>
      </c>
      <c r="EP133" s="32">
        <f t="shared" si="172"/>
        <v>0</v>
      </c>
      <c r="EQ133" s="32">
        <f t="shared" si="172"/>
        <v>0</v>
      </c>
      <c r="ER133" s="32">
        <f t="shared" si="172"/>
        <v>0</v>
      </c>
      <c r="ES133" s="32">
        <f t="shared" si="172"/>
        <v>0</v>
      </c>
      <c r="ET133" s="32">
        <f t="shared" si="172"/>
        <v>0</v>
      </c>
      <c r="EU133" s="32">
        <f t="shared" si="172"/>
        <v>0</v>
      </c>
      <c r="EV133" s="32">
        <f t="shared" si="172"/>
        <v>0</v>
      </c>
      <c r="EW133" s="32">
        <f t="shared" si="172"/>
        <v>0</v>
      </c>
      <c r="EX133" s="32">
        <f t="shared" si="172"/>
        <v>0</v>
      </c>
      <c r="EY133" s="32">
        <f t="shared" si="172"/>
        <v>0</v>
      </c>
      <c r="EZ133" s="32">
        <f t="shared" si="172"/>
        <v>0</v>
      </c>
      <c r="FA133" s="32">
        <f t="shared" si="172"/>
        <v>0</v>
      </c>
      <c r="FB133" s="32">
        <f t="shared" si="172"/>
        <v>0</v>
      </c>
      <c r="FC133" s="32">
        <f t="shared" si="172"/>
        <v>0</v>
      </c>
      <c r="FD133" s="32">
        <f t="shared" si="172"/>
        <v>0</v>
      </c>
      <c r="FE133" s="32">
        <f t="shared" si="172"/>
        <v>0</v>
      </c>
      <c r="FF133" s="32">
        <f t="shared" si="172"/>
        <v>0</v>
      </c>
      <c r="FG133" s="32">
        <f t="shared" si="172"/>
        <v>0</v>
      </c>
      <c r="FH133" s="32">
        <f t="shared" si="172"/>
        <v>0</v>
      </c>
    </row>
    <row r="134" spans="1:164" x14ac:dyDescent="0.2">
      <c r="A134" s="10"/>
      <c r="B134" s="10"/>
      <c r="C134" s="10" t="s">
        <v>918</v>
      </c>
      <c r="D134" s="10"/>
      <c r="E134" s="10"/>
      <c r="F134" s="10"/>
      <c r="G134" s="10"/>
      <c r="H134" s="12"/>
      <c r="I134" s="12">
        <f>I133</f>
        <v>0</v>
      </c>
      <c r="J134" s="12">
        <f t="shared" ref="J134:AO134" si="173">I134+J133</f>
        <v>0</v>
      </c>
      <c r="K134" s="12">
        <f t="shared" si="173"/>
        <v>0</v>
      </c>
      <c r="L134" s="12">
        <f t="shared" si="173"/>
        <v>0</v>
      </c>
      <c r="M134" s="12">
        <f t="shared" si="173"/>
        <v>0</v>
      </c>
      <c r="N134" s="12">
        <f t="shared" si="173"/>
        <v>0</v>
      </c>
      <c r="O134" s="12">
        <f t="shared" si="173"/>
        <v>-93.941666666666663</v>
      </c>
      <c r="P134" s="12">
        <f t="shared" si="173"/>
        <v>-187.88333333333333</v>
      </c>
      <c r="Q134" s="12">
        <f t="shared" si="173"/>
        <v>-281.82499999999999</v>
      </c>
      <c r="R134" s="12">
        <f t="shared" si="173"/>
        <v>-675.23333333333335</v>
      </c>
      <c r="S134" s="12">
        <f t="shared" si="173"/>
        <v>-1068.6416666666667</v>
      </c>
      <c r="T134" s="12">
        <f t="shared" si="173"/>
        <v>-1462.05</v>
      </c>
      <c r="U134" s="12">
        <f t="shared" si="173"/>
        <v>-1138.5545310260084</v>
      </c>
      <c r="V134" s="12">
        <f t="shared" si="173"/>
        <v>-765.77540490915976</v>
      </c>
      <c r="W134" s="12">
        <f t="shared" si="173"/>
        <v>-342.26310232172295</v>
      </c>
      <c r="X134" s="12">
        <f t="shared" si="173"/>
        <v>133.51974572025938</v>
      </c>
      <c r="Y134" s="12">
        <f t="shared" si="173"/>
        <v>663.20659376224148</v>
      </c>
      <c r="Z134" s="12">
        <f t="shared" si="173"/>
        <v>1248.5362805139009</v>
      </c>
      <c r="AA134" s="12">
        <f t="shared" si="173"/>
        <v>496.68538998448139</v>
      </c>
      <c r="AB134" s="12">
        <f t="shared" si="173"/>
        <v>-668.52567639475137</v>
      </c>
      <c r="AC134" s="12">
        <f t="shared" si="173"/>
        <v>-2239.6704330462321</v>
      </c>
      <c r="AD134" s="12">
        <f t="shared" si="173"/>
        <v>-4204.7084383740257</v>
      </c>
      <c r="AE134" s="12">
        <f t="shared" si="173"/>
        <v>-6547.1085814383932</v>
      </c>
      <c r="AF134" s="12">
        <f t="shared" si="173"/>
        <v>-9246.020603751138</v>
      </c>
      <c r="AG134" s="12">
        <f t="shared" si="173"/>
        <v>-11795.529945410637</v>
      </c>
      <c r="AH134" s="12">
        <f t="shared" si="173"/>
        <v>-14647.807645630353</v>
      </c>
      <c r="AI134" s="12">
        <f t="shared" si="173"/>
        <v>-17770.523533679989</v>
      </c>
      <c r="AJ134" s="12">
        <f t="shared" si="173"/>
        <v>-20828.681056318979</v>
      </c>
      <c r="AK134" s="12">
        <f t="shared" si="173"/>
        <v>-24083.388629572382</v>
      </c>
      <c r="AL134" s="12">
        <f t="shared" si="173"/>
        <v>-27493.859110035599</v>
      </c>
      <c r="AM134" s="12">
        <f t="shared" si="173"/>
        <v>-31017.29897692383</v>
      </c>
      <c r="AN134" s="12">
        <f t="shared" si="173"/>
        <v>-31918.721749911965</v>
      </c>
      <c r="AO134" s="12">
        <f t="shared" si="173"/>
        <v>-32613.563120291845</v>
      </c>
      <c r="AP134" s="12">
        <f t="shared" ref="AP134:BU134" si="174">AO134+AP133</f>
        <v>-33313.358233528023</v>
      </c>
      <c r="AQ134" s="12">
        <f t="shared" si="174"/>
        <v>-34004.043675705303</v>
      </c>
      <c r="AR134" s="12">
        <f t="shared" si="174"/>
        <v>-34671.133122637177</v>
      </c>
      <c r="AS134" s="12">
        <f t="shared" si="174"/>
        <v>-35299.792103117659</v>
      </c>
      <c r="AT134" s="12">
        <f t="shared" si="174"/>
        <v>-35874.890139185532</v>
      </c>
      <c r="AU134" s="12">
        <f t="shared" si="174"/>
        <v>-36381.017260119799</v>
      </c>
      <c r="AV134" s="12">
        <f t="shared" si="174"/>
        <v>-36802.444240930039</v>
      </c>
      <c r="AW134" s="12">
        <f t="shared" si="174"/>
        <v>-37122.991585260512</v>
      </c>
      <c r="AX134" s="12">
        <f t="shared" si="174"/>
        <v>-37325.743597883673</v>
      </c>
      <c r="AY134" s="12">
        <f t="shared" si="174"/>
        <v>-37392.481726101199</v>
      </c>
      <c r="AZ134" s="12">
        <f t="shared" si="174"/>
        <v>-37302.56208091446</v>
      </c>
      <c r="BA134" s="12">
        <f t="shared" si="174"/>
        <v>-37030.551441787677</v>
      </c>
      <c r="BB134" s="12">
        <f t="shared" si="174"/>
        <v>-36540.567161613071</v>
      </c>
      <c r="BC134" s="12">
        <f t="shared" si="174"/>
        <v>-35769.106046632594</v>
      </c>
      <c r="BD134" s="12">
        <f t="shared" si="174"/>
        <v>-34538.863754979902</v>
      </c>
      <c r="BE134" s="12">
        <f t="shared" si="174"/>
        <v>-27960.053243234561</v>
      </c>
      <c r="BF134" s="12">
        <f t="shared" si="174"/>
        <v>-27245.997931489226</v>
      </c>
      <c r="BG134" s="12">
        <f t="shared" si="174"/>
        <v>-26531.942619743892</v>
      </c>
      <c r="BH134" s="12">
        <f t="shared" si="174"/>
        <v>-25817.887307998557</v>
      </c>
      <c r="BI134" s="12">
        <f t="shared" si="174"/>
        <v>-25103.831996253222</v>
      </c>
      <c r="BJ134" s="12">
        <f t="shared" si="174"/>
        <v>-24389.776684507888</v>
      </c>
      <c r="BK134" s="12">
        <f t="shared" si="174"/>
        <v>-23675.721372762553</v>
      </c>
      <c r="BL134" s="12">
        <f t="shared" si="174"/>
        <v>-22961.666061017218</v>
      </c>
      <c r="BM134" s="12">
        <f t="shared" si="174"/>
        <v>-22247.610749271884</v>
      </c>
      <c r="BN134" s="12">
        <f t="shared" si="174"/>
        <v>-21533.555437526549</v>
      </c>
      <c r="BO134" s="12">
        <f t="shared" si="174"/>
        <v>-20819.500125781215</v>
      </c>
      <c r="BP134" s="12">
        <f t="shared" si="174"/>
        <v>57160.918385964251</v>
      </c>
      <c r="BQ134" s="12">
        <f t="shared" si="174"/>
        <v>57160.918385964251</v>
      </c>
      <c r="BR134" s="12">
        <f t="shared" si="174"/>
        <v>57160.918385964251</v>
      </c>
      <c r="BS134" s="12">
        <f t="shared" si="174"/>
        <v>57160.918385964251</v>
      </c>
      <c r="BT134" s="12">
        <f t="shared" si="174"/>
        <v>57160.918385964251</v>
      </c>
      <c r="BU134" s="12">
        <f t="shared" si="174"/>
        <v>57160.918385964251</v>
      </c>
      <c r="BV134" s="12">
        <f t="shared" ref="BV134:DA134" si="175">BU134+BV133</f>
        <v>57160.918385964251</v>
      </c>
      <c r="BW134" s="12">
        <f t="shared" si="175"/>
        <v>57160.918385964251</v>
      </c>
      <c r="BX134" s="12">
        <f t="shared" si="175"/>
        <v>57160.918385964251</v>
      </c>
      <c r="BY134" s="12">
        <f t="shared" si="175"/>
        <v>57160.918385964251</v>
      </c>
      <c r="BZ134" s="12">
        <f t="shared" si="175"/>
        <v>57160.918385964251</v>
      </c>
      <c r="CA134" s="12">
        <f t="shared" si="175"/>
        <v>57160.918385964251</v>
      </c>
      <c r="CB134" s="12">
        <f t="shared" si="175"/>
        <v>57160.918385964251</v>
      </c>
      <c r="CC134" s="12">
        <f t="shared" si="175"/>
        <v>57160.918385964251</v>
      </c>
      <c r="CD134" s="12">
        <f t="shared" si="175"/>
        <v>57160.918385964251</v>
      </c>
      <c r="CE134" s="12">
        <f t="shared" si="175"/>
        <v>57160.918385964251</v>
      </c>
      <c r="CF134" s="12">
        <f t="shared" si="175"/>
        <v>57160.918385964251</v>
      </c>
      <c r="CG134" s="12">
        <f t="shared" si="175"/>
        <v>57160.918385964251</v>
      </c>
      <c r="CH134" s="12">
        <f t="shared" si="175"/>
        <v>57160.918385964251</v>
      </c>
      <c r="CI134" s="12">
        <f t="shared" si="175"/>
        <v>57160.918385964251</v>
      </c>
      <c r="CJ134" s="12">
        <f t="shared" si="175"/>
        <v>57160.918385964251</v>
      </c>
      <c r="CK134" s="12">
        <f t="shared" si="175"/>
        <v>57160.918385964251</v>
      </c>
      <c r="CL134" s="12">
        <f t="shared" si="175"/>
        <v>57160.918385964251</v>
      </c>
      <c r="CM134" s="12">
        <f t="shared" si="175"/>
        <v>57160.918385964251</v>
      </c>
      <c r="CN134" s="12">
        <f t="shared" si="175"/>
        <v>57160.918385964251</v>
      </c>
      <c r="CO134" s="12">
        <f t="shared" si="175"/>
        <v>57160.918385964251</v>
      </c>
      <c r="CP134" s="12">
        <f t="shared" si="175"/>
        <v>57160.918385964251</v>
      </c>
      <c r="CQ134" s="12">
        <f t="shared" si="175"/>
        <v>57160.918385964251</v>
      </c>
      <c r="CR134" s="12">
        <f t="shared" si="175"/>
        <v>57160.918385964251</v>
      </c>
      <c r="CS134" s="12">
        <f t="shared" si="175"/>
        <v>57160.918385964251</v>
      </c>
      <c r="CT134" s="12">
        <f t="shared" si="175"/>
        <v>57160.918385964251</v>
      </c>
      <c r="CU134" s="12">
        <f t="shared" si="175"/>
        <v>57160.918385964251</v>
      </c>
      <c r="CV134" s="12">
        <f t="shared" si="175"/>
        <v>57160.918385964251</v>
      </c>
      <c r="CW134" s="12">
        <f t="shared" si="175"/>
        <v>57160.918385964251</v>
      </c>
      <c r="CX134" s="12">
        <f t="shared" si="175"/>
        <v>57160.918385964251</v>
      </c>
      <c r="CY134" s="12">
        <f t="shared" si="175"/>
        <v>57160.918385964251</v>
      </c>
      <c r="CZ134" s="12">
        <f t="shared" si="175"/>
        <v>57160.918385964251</v>
      </c>
      <c r="DA134" s="12">
        <f t="shared" si="175"/>
        <v>57160.918385964251</v>
      </c>
      <c r="DB134" s="12">
        <f t="shared" ref="DB134:EG134" si="176">DA134+DB133</f>
        <v>57160.918385964251</v>
      </c>
      <c r="DC134" s="12">
        <f t="shared" si="176"/>
        <v>57160.918385964251</v>
      </c>
      <c r="DD134" s="12">
        <f t="shared" si="176"/>
        <v>57160.918385964251</v>
      </c>
      <c r="DE134" s="12">
        <f t="shared" si="176"/>
        <v>57160.918385964251</v>
      </c>
      <c r="DF134" s="12">
        <f t="shared" si="176"/>
        <v>57160.918385964251</v>
      </c>
      <c r="DG134" s="12">
        <f t="shared" si="176"/>
        <v>57160.918385964251</v>
      </c>
      <c r="DH134" s="12">
        <f t="shared" si="176"/>
        <v>57160.918385964251</v>
      </c>
      <c r="DI134" s="12">
        <f t="shared" si="176"/>
        <v>57160.918385964251</v>
      </c>
      <c r="DJ134" s="12">
        <f t="shared" si="176"/>
        <v>57160.918385964251</v>
      </c>
      <c r="DK134" s="12">
        <f t="shared" si="176"/>
        <v>57160.918385964251</v>
      </c>
      <c r="DL134" s="12">
        <f t="shared" si="176"/>
        <v>57160.918385964251</v>
      </c>
      <c r="DM134" s="12">
        <f t="shared" si="176"/>
        <v>57160.918385964251</v>
      </c>
      <c r="DN134" s="12">
        <f t="shared" si="176"/>
        <v>57160.918385964251</v>
      </c>
      <c r="DO134" s="12">
        <f t="shared" si="176"/>
        <v>57160.918385964251</v>
      </c>
      <c r="DP134" s="12">
        <f t="shared" si="176"/>
        <v>57160.918385964251</v>
      </c>
      <c r="DQ134" s="12">
        <f t="shared" si="176"/>
        <v>57160.918385964251</v>
      </c>
      <c r="DR134" s="12">
        <f t="shared" si="176"/>
        <v>57160.918385964251</v>
      </c>
      <c r="DS134" s="12">
        <f t="shared" si="176"/>
        <v>57160.918385964251</v>
      </c>
      <c r="DT134" s="12">
        <f t="shared" si="176"/>
        <v>57160.918385964251</v>
      </c>
      <c r="DU134" s="12">
        <f t="shared" si="176"/>
        <v>57160.918385964251</v>
      </c>
      <c r="DV134" s="12">
        <f t="shared" si="176"/>
        <v>57160.918385964251</v>
      </c>
      <c r="DW134" s="12">
        <f t="shared" si="176"/>
        <v>57160.918385964251</v>
      </c>
      <c r="DX134" s="12">
        <f t="shared" si="176"/>
        <v>57160.918385964251</v>
      </c>
      <c r="DY134" s="12">
        <f t="shared" si="176"/>
        <v>57160.918385964251</v>
      </c>
      <c r="DZ134" s="12">
        <f t="shared" si="176"/>
        <v>57160.918385964251</v>
      </c>
      <c r="EA134" s="12">
        <f t="shared" si="176"/>
        <v>57160.918385964251</v>
      </c>
      <c r="EB134" s="12">
        <f t="shared" si="176"/>
        <v>57160.918385964251</v>
      </c>
      <c r="EC134" s="12">
        <f t="shared" si="176"/>
        <v>57160.918385964251</v>
      </c>
      <c r="ED134" s="12">
        <f t="shared" si="176"/>
        <v>57160.918385964251</v>
      </c>
      <c r="EE134" s="12">
        <f t="shared" si="176"/>
        <v>57160.918385964251</v>
      </c>
      <c r="EF134" s="12">
        <f t="shared" si="176"/>
        <v>57160.918385964251</v>
      </c>
      <c r="EG134" s="12">
        <f t="shared" si="176"/>
        <v>57160.918385964251</v>
      </c>
      <c r="EH134" s="12">
        <f t="shared" ref="EH134:FH134" si="177">EG134+EH133</f>
        <v>57160.918385964251</v>
      </c>
      <c r="EI134" s="12">
        <f t="shared" si="177"/>
        <v>57160.918385964251</v>
      </c>
      <c r="EJ134" s="12">
        <f t="shared" si="177"/>
        <v>57160.918385964251</v>
      </c>
      <c r="EK134" s="12">
        <f t="shared" si="177"/>
        <v>57160.918385964251</v>
      </c>
      <c r="EL134" s="12">
        <f t="shared" si="177"/>
        <v>57160.918385964251</v>
      </c>
      <c r="EM134" s="12">
        <f t="shared" si="177"/>
        <v>57160.918385964251</v>
      </c>
      <c r="EN134" s="12">
        <f t="shared" si="177"/>
        <v>57160.918385964251</v>
      </c>
      <c r="EO134" s="12">
        <f t="shared" si="177"/>
        <v>57160.918385964251</v>
      </c>
      <c r="EP134" s="12">
        <f t="shared" si="177"/>
        <v>57160.918385964251</v>
      </c>
      <c r="EQ134" s="12">
        <f t="shared" si="177"/>
        <v>57160.918385964251</v>
      </c>
      <c r="ER134" s="12">
        <f t="shared" si="177"/>
        <v>57160.918385964251</v>
      </c>
      <c r="ES134" s="12">
        <f t="shared" si="177"/>
        <v>57160.918385964251</v>
      </c>
      <c r="ET134" s="12">
        <f t="shared" si="177"/>
        <v>57160.918385964251</v>
      </c>
      <c r="EU134" s="12">
        <f t="shared" si="177"/>
        <v>57160.918385964251</v>
      </c>
      <c r="EV134" s="12">
        <f t="shared" si="177"/>
        <v>57160.918385964251</v>
      </c>
      <c r="EW134" s="12">
        <f t="shared" si="177"/>
        <v>57160.918385964251</v>
      </c>
      <c r="EX134" s="12">
        <f t="shared" si="177"/>
        <v>57160.918385964251</v>
      </c>
      <c r="EY134" s="12">
        <f t="shared" si="177"/>
        <v>57160.918385964251</v>
      </c>
      <c r="EZ134" s="12">
        <f t="shared" si="177"/>
        <v>57160.918385964251</v>
      </c>
      <c r="FA134" s="12">
        <f t="shared" si="177"/>
        <v>57160.918385964251</v>
      </c>
      <c r="FB134" s="12">
        <f t="shared" si="177"/>
        <v>57160.918385964251</v>
      </c>
      <c r="FC134" s="12">
        <f t="shared" si="177"/>
        <v>57160.918385964251</v>
      </c>
      <c r="FD134" s="12">
        <f t="shared" si="177"/>
        <v>57160.918385964251</v>
      </c>
      <c r="FE134" s="12">
        <f t="shared" si="177"/>
        <v>57160.918385964251</v>
      </c>
      <c r="FF134" s="12">
        <f t="shared" si="177"/>
        <v>57160.918385964251</v>
      </c>
      <c r="FG134" s="12">
        <f t="shared" si="177"/>
        <v>57160.918385964251</v>
      </c>
      <c r="FH134" s="12">
        <f t="shared" si="177"/>
        <v>57160.918385964251</v>
      </c>
    </row>
    <row r="135" spans="1:164" x14ac:dyDescent="0.2">
      <c r="A135" s="10"/>
      <c r="B135" s="10"/>
      <c r="C135" s="70" t="s">
        <v>919</v>
      </c>
      <c r="D135" s="70"/>
      <c r="E135" s="70"/>
      <c r="F135" s="70"/>
      <c r="G135" s="70"/>
      <c r="H135" s="56">
        <f>SUM(I135:FH135)</f>
        <v>57160.918385964251</v>
      </c>
      <c r="I135" s="56">
        <f t="shared" ref="I135:AN135" si="178">IF($D$14="Levered",I133,I124)</f>
        <v>0</v>
      </c>
      <c r="J135" s="56">
        <f t="shared" si="178"/>
        <v>0</v>
      </c>
      <c r="K135" s="56">
        <f t="shared" si="178"/>
        <v>0</v>
      </c>
      <c r="L135" s="56">
        <f t="shared" si="178"/>
        <v>0</v>
      </c>
      <c r="M135" s="56">
        <f t="shared" si="178"/>
        <v>0</v>
      </c>
      <c r="N135" s="56">
        <f t="shared" si="178"/>
        <v>0</v>
      </c>
      <c r="O135" s="56">
        <f t="shared" si="178"/>
        <v>-93.941666666666663</v>
      </c>
      <c r="P135" s="56">
        <f t="shared" si="178"/>
        <v>-93.941666666666663</v>
      </c>
      <c r="Q135" s="56">
        <f t="shared" si="178"/>
        <v>-93.941666666666663</v>
      </c>
      <c r="R135" s="56">
        <f t="shared" si="178"/>
        <v>-393.4083333333333</v>
      </c>
      <c r="S135" s="56">
        <f t="shared" si="178"/>
        <v>-393.4083333333333</v>
      </c>
      <c r="T135" s="56">
        <f t="shared" si="178"/>
        <v>-393.4083333333333</v>
      </c>
      <c r="U135" s="56">
        <f t="shared" si="178"/>
        <v>323.49546897399159</v>
      </c>
      <c r="V135" s="56">
        <f t="shared" si="178"/>
        <v>372.7791261168486</v>
      </c>
      <c r="W135" s="56">
        <f t="shared" si="178"/>
        <v>423.51230258743681</v>
      </c>
      <c r="X135" s="56">
        <f t="shared" si="178"/>
        <v>475.78284804198233</v>
      </c>
      <c r="Y135" s="56">
        <f t="shared" si="178"/>
        <v>529.6868480419821</v>
      </c>
      <c r="Z135" s="56">
        <f t="shared" si="178"/>
        <v>585.32968675165944</v>
      </c>
      <c r="AA135" s="56">
        <f t="shared" si="178"/>
        <v>-751.85089052941953</v>
      </c>
      <c r="AB135" s="56">
        <f t="shared" si="178"/>
        <v>-1165.2110663792328</v>
      </c>
      <c r="AC135" s="56">
        <f t="shared" si="178"/>
        <v>-1571.1447566514807</v>
      </c>
      <c r="AD135" s="56">
        <f t="shared" si="178"/>
        <v>-1965.0380053277936</v>
      </c>
      <c r="AE135" s="56">
        <f t="shared" si="178"/>
        <v>-2342.4001430643671</v>
      </c>
      <c r="AF135" s="56">
        <f t="shared" si="178"/>
        <v>-2698.9120223127452</v>
      </c>
      <c r="AG135" s="56">
        <f t="shared" si="178"/>
        <v>-2549.5093416594991</v>
      </c>
      <c r="AH135" s="56">
        <f t="shared" si="178"/>
        <v>-2852.2777002197172</v>
      </c>
      <c r="AI135" s="56">
        <f t="shared" si="178"/>
        <v>-3122.7158880496336</v>
      </c>
      <c r="AJ135" s="56">
        <f t="shared" si="178"/>
        <v>-3058.1575226389891</v>
      </c>
      <c r="AK135" s="56">
        <f t="shared" si="178"/>
        <v>-3254.7075732534026</v>
      </c>
      <c r="AL135" s="56">
        <f t="shared" si="178"/>
        <v>-3410.4704804632147</v>
      </c>
      <c r="AM135" s="56">
        <f t="shared" si="178"/>
        <v>-3523.4398668882322</v>
      </c>
      <c r="AN135" s="56">
        <f t="shared" si="178"/>
        <v>-901.42277298813315</v>
      </c>
      <c r="AO135" s="56">
        <f t="shared" ref="AO135:BT135" si="179">IF($D$14="Levered",AO133,AO124)</f>
        <v>-694.84137037987864</v>
      </c>
      <c r="AP135" s="56">
        <f t="shared" si="179"/>
        <v>-699.79511323617783</v>
      </c>
      <c r="AQ135" s="56">
        <f t="shared" si="179"/>
        <v>-690.68544217728311</v>
      </c>
      <c r="AR135" s="56">
        <f t="shared" si="179"/>
        <v>-667.08944693187721</v>
      </c>
      <c r="AS135" s="56">
        <f t="shared" si="179"/>
        <v>-628.65898048048098</v>
      </c>
      <c r="AT135" s="56">
        <f t="shared" si="179"/>
        <v>-575.09803606787341</v>
      </c>
      <c r="AU135" s="56">
        <f t="shared" si="179"/>
        <v>-506.12712093426933</v>
      </c>
      <c r="AV135" s="56">
        <f t="shared" si="179"/>
        <v>-421.42698081024207</v>
      </c>
      <c r="AW135" s="56">
        <f t="shared" si="179"/>
        <v>-320.54734433047241</v>
      </c>
      <c r="AX135" s="56">
        <f t="shared" si="179"/>
        <v>-202.75201262316048</v>
      </c>
      <c r="AY135" s="56">
        <f t="shared" si="179"/>
        <v>-66.738128217524775</v>
      </c>
      <c r="AZ135" s="56">
        <f t="shared" si="179"/>
        <v>89.91964518673808</v>
      </c>
      <c r="BA135" s="56">
        <f t="shared" si="179"/>
        <v>272.0106391267862</v>
      </c>
      <c r="BB135" s="56">
        <f t="shared" si="179"/>
        <v>489.98428017460401</v>
      </c>
      <c r="BC135" s="56">
        <f t="shared" si="179"/>
        <v>771.46111498047662</v>
      </c>
      <c r="BD135" s="56">
        <f t="shared" si="179"/>
        <v>1230.2422916526943</v>
      </c>
      <c r="BE135" s="56">
        <f t="shared" si="179"/>
        <v>6578.8105117453415</v>
      </c>
      <c r="BF135" s="56">
        <f t="shared" si="179"/>
        <v>714.05531174533598</v>
      </c>
      <c r="BG135" s="56">
        <f t="shared" si="179"/>
        <v>714.05531174533598</v>
      </c>
      <c r="BH135" s="56">
        <f t="shared" si="179"/>
        <v>714.05531174533598</v>
      </c>
      <c r="BI135" s="56">
        <f t="shared" si="179"/>
        <v>714.05531174533598</v>
      </c>
      <c r="BJ135" s="56">
        <f t="shared" si="179"/>
        <v>714.05531174533598</v>
      </c>
      <c r="BK135" s="56">
        <f t="shared" si="179"/>
        <v>714.05531174533598</v>
      </c>
      <c r="BL135" s="56">
        <f t="shared" si="179"/>
        <v>714.05531174533598</v>
      </c>
      <c r="BM135" s="56">
        <f t="shared" si="179"/>
        <v>714.05531174533598</v>
      </c>
      <c r="BN135" s="56">
        <f t="shared" si="179"/>
        <v>714.05531174533598</v>
      </c>
      <c r="BO135" s="56">
        <f t="shared" si="179"/>
        <v>714.05531174533598</v>
      </c>
      <c r="BP135" s="56">
        <f t="shared" si="179"/>
        <v>77980.418511745462</v>
      </c>
      <c r="BQ135" s="56">
        <f t="shared" si="179"/>
        <v>0</v>
      </c>
      <c r="BR135" s="56">
        <f t="shared" si="179"/>
        <v>0</v>
      </c>
      <c r="BS135" s="56">
        <f t="shared" si="179"/>
        <v>0</v>
      </c>
      <c r="BT135" s="56">
        <f t="shared" si="179"/>
        <v>0</v>
      </c>
      <c r="BU135" s="56">
        <f t="shared" ref="BU135:CZ135" si="180">IF($D$14="Levered",BU133,BU124)</f>
        <v>0</v>
      </c>
      <c r="BV135" s="56">
        <f t="shared" si="180"/>
        <v>0</v>
      </c>
      <c r="BW135" s="56">
        <f t="shared" si="180"/>
        <v>0</v>
      </c>
      <c r="BX135" s="56">
        <f t="shared" si="180"/>
        <v>0</v>
      </c>
      <c r="BY135" s="56">
        <f t="shared" si="180"/>
        <v>0</v>
      </c>
      <c r="BZ135" s="56">
        <f t="shared" si="180"/>
        <v>0</v>
      </c>
      <c r="CA135" s="56">
        <f t="shared" si="180"/>
        <v>0</v>
      </c>
      <c r="CB135" s="56">
        <f t="shared" si="180"/>
        <v>0</v>
      </c>
      <c r="CC135" s="56">
        <f t="shared" si="180"/>
        <v>0</v>
      </c>
      <c r="CD135" s="56">
        <f t="shared" si="180"/>
        <v>0</v>
      </c>
      <c r="CE135" s="56">
        <f t="shared" si="180"/>
        <v>0</v>
      </c>
      <c r="CF135" s="56">
        <f t="shared" si="180"/>
        <v>0</v>
      </c>
      <c r="CG135" s="56">
        <f t="shared" si="180"/>
        <v>0</v>
      </c>
      <c r="CH135" s="56">
        <f t="shared" si="180"/>
        <v>0</v>
      </c>
      <c r="CI135" s="56">
        <f t="shared" si="180"/>
        <v>0</v>
      </c>
      <c r="CJ135" s="56">
        <f t="shared" si="180"/>
        <v>0</v>
      </c>
      <c r="CK135" s="56">
        <f t="shared" si="180"/>
        <v>0</v>
      </c>
      <c r="CL135" s="56">
        <f t="shared" si="180"/>
        <v>0</v>
      </c>
      <c r="CM135" s="56">
        <f t="shared" si="180"/>
        <v>0</v>
      </c>
      <c r="CN135" s="56">
        <f t="shared" si="180"/>
        <v>0</v>
      </c>
      <c r="CO135" s="56">
        <f t="shared" si="180"/>
        <v>0</v>
      </c>
      <c r="CP135" s="56">
        <f t="shared" si="180"/>
        <v>0</v>
      </c>
      <c r="CQ135" s="56">
        <f t="shared" si="180"/>
        <v>0</v>
      </c>
      <c r="CR135" s="56">
        <f t="shared" si="180"/>
        <v>0</v>
      </c>
      <c r="CS135" s="56">
        <f t="shared" si="180"/>
        <v>0</v>
      </c>
      <c r="CT135" s="56">
        <f t="shared" si="180"/>
        <v>0</v>
      </c>
      <c r="CU135" s="56">
        <f t="shared" si="180"/>
        <v>0</v>
      </c>
      <c r="CV135" s="56">
        <f t="shared" si="180"/>
        <v>0</v>
      </c>
      <c r="CW135" s="56">
        <f t="shared" si="180"/>
        <v>0</v>
      </c>
      <c r="CX135" s="56">
        <f t="shared" si="180"/>
        <v>0</v>
      </c>
      <c r="CY135" s="56">
        <f t="shared" si="180"/>
        <v>0</v>
      </c>
      <c r="CZ135" s="56">
        <f t="shared" si="180"/>
        <v>0</v>
      </c>
      <c r="DA135" s="56">
        <f t="shared" ref="DA135:EF135" si="181">IF($D$14="Levered",DA133,DA124)</f>
        <v>0</v>
      </c>
      <c r="DB135" s="56">
        <f t="shared" si="181"/>
        <v>0</v>
      </c>
      <c r="DC135" s="56">
        <f t="shared" si="181"/>
        <v>0</v>
      </c>
      <c r="DD135" s="56">
        <f t="shared" si="181"/>
        <v>0</v>
      </c>
      <c r="DE135" s="56">
        <f t="shared" si="181"/>
        <v>0</v>
      </c>
      <c r="DF135" s="56">
        <f t="shared" si="181"/>
        <v>0</v>
      </c>
      <c r="DG135" s="56">
        <f t="shared" si="181"/>
        <v>0</v>
      </c>
      <c r="DH135" s="56">
        <f t="shared" si="181"/>
        <v>0</v>
      </c>
      <c r="DI135" s="56">
        <f t="shared" si="181"/>
        <v>0</v>
      </c>
      <c r="DJ135" s="56">
        <f t="shared" si="181"/>
        <v>0</v>
      </c>
      <c r="DK135" s="56">
        <f t="shared" si="181"/>
        <v>0</v>
      </c>
      <c r="DL135" s="56">
        <f t="shared" si="181"/>
        <v>0</v>
      </c>
      <c r="DM135" s="56">
        <f t="shared" si="181"/>
        <v>0</v>
      </c>
      <c r="DN135" s="56">
        <f t="shared" si="181"/>
        <v>0</v>
      </c>
      <c r="DO135" s="56">
        <f t="shared" si="181"/>
        <v>0</v>
      </c>
      <c r="DP135" s="56">
        <f t="shared" si="181"/>
        <v>0</v>
      </c>
      <c r="DQ135" s="56">
        <f t="shared" si="181"/>
        <v>0</v>
      </c>
      <c r="DR135" s="56">
        <f t="shared" si="181"/>
        <v>0</v>
      </c>
      <c r="DS135" s="56">
        <f t="shared" si="181"/>
        <v>0</v>
      </c>
      <c r="DT135" s="56">
        <f t="shared" si="181"/>
        <v>0</v>
      </c>
      <c r="DU135" s="56">
        <f t="shared" si="181"/>
        <v>0</v>
      </c>
      <c r="DV135" s="56">
        <f t="shared" si="181"/>
        <v>0</v>
      </c>
      <c r="DW135" s="56">
        <f t="shared" si="181"/>
        <v>0</v>
      </c>
      <c r="DX135" s="56">
        <f t="shared" si="181"/>
        <v>0</v>
      </c>
      <c r="DY135" s="56">
        <f t="shared" si="181"/>
        <v>0</v>
      </c>
      <c r="DZ135" s="56">
        <f t="shared" si="181"/>
        <v>0</v>
      </c>
      <c r="EA135" s="56">
        <f t="shared" si="181"/>
        <v>0</v>
      </c>
      <c r="EB135" s="56">
        <f t="shared" si="181"/>
        <v>0</v>
      </c>
      <c r="EC135" s="56">
        <f t="shared" si="181"/>
        <v>0</v>
      </c>
      <c r="ED135" s="56">
        <f t="shared" si="181"/>
        <v>0</v>
      </c>
      <c r="EE135" s="56">
        <f t="shared" si="181"/>
        <v>0</v>
      </c>
      <c r="EF135" s="56">
        <f t="shared" si="181"/>
        <v>0</v>
      </c>
      <c r="EG135" s="56">
        <f t="shared" ref="EG135:FH135" si="182">IF($D$14="Levered",EG133,EG124)</f>
        <v>0</v>
      </c>
      <c r="EH135" s="56">
        <f t="shared" si="182"/>
        <v>0</v>
      </c>
      <c r="EI135" s="56">
        <f t="shared" si="182"/>
        <v>0</v>
      </c>
      <c r="EJ135" s="56">
        <f t="shared" si="182"/>
        <v>0</v>
      </c>
      <c r="EK135" s="56">
        <f t="shared" si="182"/>
        <v>0</v>
      </c>
      <c r="EL135" s="56">
        <f t="shared" si="182"/>
        <v>0</v>
      </c>
      <c r="EM135" s="56">
        <f t="shared" si="182"/>
        <v>0</v>
      </c>
      <c r="EN135" s="56">
        <f t="shared" si="182"/>
        <v>0</v>
      </c>
      <c r="EO135" s="56">
        <f t="shared" si="182"/>
        <v>0</v>
      </c>
      <c r="EP135" s="56">
        <f t="shared" si="182"/>
        <v>0</v>
      </c>
      <c r="EQ135" s="56">
        <f t="shared" si="182"/>
        <v>0</v>
      </c>
      <c r="ER135" s="56">
        <f t="shared" si="182"/>
        <v>0</v>
      </c>
      <c r="ES135" s="56">
        <f t="shared" si="182"/>
        <v>0</v>
      </c>
      <c r="ET135" s="56">
        <f t="shared" si="182"/>
        <v>0</v>
      </c>
      <c r="EU135" s="56">
        <f t="shared" si="182"/>
        <v>0</v>
      </c>
      <c r="EV135" s="56">
        <f t="shared" si="182"/>
        <v>0</v>
      </c>
      <c r="EW135" s="56">
        <f t="shared" si="182"/>
        <v>0</v>
      </c>
      <c r="EX135" s="56">
        <f t="shared" si="182"/>
        <v>0</v>
      </c>
      <c r="EY135" s="56">
        <f t="shared" si="182"/>
        <v>0</v>
      </c>
      <c r="EZ135" s="56">
        <f t="shared" si="182"/>
        <v>0</v>
      </c>
      <c r="FA135" s="56">
        <f t="shared" si="182"/>
        <v>0</v>
      </c>
      <c r="FB135" s="56">
        <f t="shared" si="182"/>
        <v>0</v>
      </c>
      <c r="FC135" s="56">
        <f t="shared" si="182"/>
        <v>0</v>
      </c>
      <c r="FD135" s="56">
        <f t="shared" si="182"/>
        <v>0</v>
      </c>
      <c r="FE135" s="56">
        <f t="shared" si="182"/>
        <v>0</v>
      </c>
      <c r="FF135" s="56">
        <f t="shared" si="182"/>
        <v>0</v>
      </c>
      <c r="FG135" s="56">
        <f t="shared" si="182"/>
        <v>0</v>
      </c>
      <c r="FH135" s="56">
        <f t="shared" si="182"/>
        <v>0</v>
      </c>
    </row>
    <row r="136" spans="1:164" x14ac:dyDescent="0.2">
      <c r="A136" s="10"/>
      <c r="B136" s="10"/>
      <c r="C136" s="10"/>
      <c r="D136" s="10"/>
      <c r="E136" s="10"/>
      <c r="F136" s="10"/>
      <c r="G136" s="10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2"/>
      <c r="BP136" s="12"/>
      <c r="BQ136" s="12"/>
      <c r="BR136" s="12"/>
      <c r="BS136" s="12"/>
      <c r="BT136" s="12"/>
      <c r="BU136" s="12"/>
      <c r="BV136" s="12"/>
      <c r="BW136" s="12"/>
      <c r="BX136" s="12"/>
      <c r="BY136" s="12"/>
      <c r="BZ136" s="12"/>
      <c r="CA136" s="12"/>
      <c r="CB136" s="12"/>
      <c r="CC136" s="12"/>
      <c r="CD136" s="12"/>
      <c r="CE136" s="12"/>
      <c r="CF136" s="12"/>
      <c r="CG136" s="12"/>
      <c r="CH136" s="12"/>
      <c r="CI136" s="12"/>
      <c r="CJ136" s="12"/>
      <c r="CK136" s="12"/>
      <c r="CL136" s="12"/>
      <c r="CM136" s="12"/>
      <c r="CN136" s="12"/>
      <c r="CO136" s="12"/>
      <c r="CP136" s="12"/>
      <c r="CQ136" s="12"/>
      <c r="CR136" s="12"/>
      <c r="CS136" s="12"/>
      <c r="CT136" s="12"/>
      <c r="CU136" s="12"/>
      <c r="CV136" s="12"/>
      <c r="CW136" s="12"/>
      <c r="CX136" s="12"/>
      <c r="CY136" s="12"/>
      <c r="CZ136" s="12"/>
      <c r="DA136" s="12"/>
      <c r="DB136" s="12"/>
      <c r="DC136" s="12"/>
      <c r="DD136" s="12"/>
      <c r="DE136" s="12"/>
      <c r="DF136" s="12"/>
      <c r="DG136" s="12"/>
      <c r="DH136" s="12"/>
      <c r="DI136" s="12"/>
      <c r="DJ136" s="12"/>
      <c r="DK136" s="12"/>
      <c r="DL136" s="12"/>
      <c r="DM136" s="12"/>
      <c r="DN136" s="12"/>
      <c r="DO136" s="12"/>
      <c r="DP136" s="12"/>
      <c r="DQ136" s="12"/>
      <c r="DR136" s="12"/>
      <c r="DS136" s="12"/>
      <c r="DT136" s="12"/>
      <c r="DU136" s="12"/>
      <c r="DV136" s="12"/>
      <c r="DW136" s="12"/>
      <c r="DX136" s="12"/>
      <c r="DY136" s="12"/>
      <c r="DZ136" s="12"/>
      <c r="EA136" s="12"/>
      <c r="EB136" s="12"/>
      <c r="EC136" s="12"/>
      <c r="ED136" s="12"/>
      <c r="EE136" s="12"/>
      <c r="EF136" s="12"/>
      <c r="EG136" s="12"/>
      <c r="EH136" s="12"/>
      <c r="EI136" s="12"/>
      <c r="EJ136" s="12"/>
      <c r="EK136" s="12"/>
      <c r="EL136" s="12"/>
      <c r="EM136" s="12"/>
      <c r="EN136" s="12"/>
      <c r="EO136" s="12"/>
      <c r="EP136" s="12"/>
      <c r="EQ136" s="12"/>
      <c r="ER136" s="12"/>
      <c r="ES136" s="12"/>
      <c r="ET136" s="12"/>
      <c r="EU136" s="12"/>
      <c r="EV136" s="12"/>
      <c r="EW136" s="12"/>
      <c r="EX136" s="12"/>
      <c r="EY136" s="12"/>
      <c r="EZ136" s="12"/>
      <c r="FA136" s="12"/>
      <c r="FB136" s="12"/>
      <c r="FC136" s="12"/>
      <c r="FD136" s="12"/>
      <c r="FE136" s="12"/>
      <c r="FF136" s="12"/>
      <c r="FG136" s="12"/>
      <c r="FH136" s="12"/>
    </row>
    <row r="137" spans="1:164" x14ac:dyDescent="0.2">
      <c r="A137" s="10"/>
      <c r="B137" s="49" t="s">
        <v>920</v>
      </c>
      <c r="C137" s="237" t="str">
        <f>"Launch "&amp;TEXT($E$32,"mmm/yy")&amp;" · construction "&amp;TEXT($E$34,"mmm/yy")&amp;"–"&amp;TEXT(EDATE($E$35,-1),"mmm/yy")&amp;" · keys "&amp;TEXT($E$35,"mmm/yy")</f>
        <v>Lançamento jan/30 · obra jul/30–dez/32 · chaves jan/33</v>
      </c>
      <c r="D137" s="49"/>
      <c r="E137" s="49"/>
      <c r="F137" s="49"/>
      <c r="G137" s="49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50"/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0"/>
      <c r="FF137" s="50"/>
      <c r="FG137" s="50"/>
      <c r="FH137" s="50"/>
    </row>
    <row r="138" spans="1:164" x14ac:dyDescent="0.2">
      <c r="A138" s="10"/>
      <c r="B138" s="10"/>
      <c r="C138" s="10" t="s">
        <v>742</v>
      </c>
      <c r="D138" s="10"/>
      <c r="E138" s="10"/>
      <c r="F138" s="10"/>
      <c r="G138" s="10"/>
      <c r="H138" s="18">
        <f>SUM(I138:FH138)</f>
        <v>0.99999999999999944</v>
      </c>
      <c r="I138" s="51">
        <f t="shared" ref="I138:AN138" si="183">IFERROR(IF(AND(I$6&gt;=$E$32,I$6&lt;EDATE($E$32,$E$39)),$E$38/$E$39,IF(AND(I$6&gt;=$E$43,I$6&lt;$E$35),$E$42/$E$44,IF(AND(I$6&gt;=$E$45,I$6&lt;$E$46),$E$40/$E$41,0))),0)</f>
        <v>0</v>
      </c>
      <c r="J138" s="51">
        <f t="shared" si="183"/>
        <v>0</v>
      </c>
      <c r="K138" s="51">
        <f t="shared" si="183"/>
        <v>0</v>
      </c>
      <c r="L138" s="51">
        <f t="shared" si="183"/>
        <v>0</v>
      </c>
      <c r="M138" s="51">
        <f t="shared" si="183"/>
        <v>0</v>
      </c>
      <c r="N138" s="51">
        <f t="shared" si="183"/>
        <v>0</v>
      </c>
      <c r="O138" s="51">
        <f t="shared" si="183"/>
        <v>0</v>
      </c>
      <c r="P138" s="51">
        <f t="shared" si="183"/>
        <v>0</v>
      </c>
      <c r="Q138" s="51">
        <f t="shared" si="183"/>
        <v>0</v>
      </c>
      <c r="R138" s="51">
        <f t="shared" si="183"/>
        <v>0</v>
      </c>
      <c r="S138" s="51">
        <f t="shared" si="183"/>
        <v>0</v>
      </c>
      <c r="T138" s="51">
        <f t="shared" si="183"/>
        <v>0</v>
      </c>
      <c r="U138" s="51">
        <f t="shared" si="183"/>
        <v>0</v>
      </c>
      <c r="V138" s="51">
        <f t="shared" si="183"/>
        <v>0</v>
      </c>
      <c r="W138" s="51">
        <f t="shared" si="183"/>
        <v>0</v>
      </c>
      <c r="X138" s="51">
        <f t="shared" si="183"/>
        <v>0</v>
      </c>
      <c r="Y138" s="51">
        <f t="shared" si="183"/>
        <v>0</v>
      </c>
      <c r="Z138" s="51">
        <f t="shared" si="183"/>
        <v>0</v>
      </c>
      <c r="AA138" s="51">
        <f t="shared" si="183"/>
        <v>0</v>
      </c>
      <c r="AB138" s="51">
        <f t="shared" si="183"/>
        <v>0</v>
      </c>
      <c r="AC138" s="51">
        <f t="shared" si="183"/>
        <v>0</v>
      </c>
      <c r="AD138" s="51">
        <f t="shared" si="183"/>
        <v>0</v>
      </c>
      <c r="AE138" s="51">
        <f t="shared" si="183"/>
        <v>0</v>
      </c>
      <c r="AF138" s="51">
        <f t="shared" si="183"/>
        <v>0</v>
      </c>
      <c r="AG138" s="51">
        <f t="shared" si="183"/>
        <v>0</v>
      </c>
      <c r="AH138" s="51">
        <f t="shared" si="183"/>
        <v>0</v>
      </c>
      <c r="AI138" s="51">
        <f t="shared" si="183"/>
        <v>0</v>
      </c>
      <c r="AJ138" s="51">
        <f t="shared" si="183"/>
        <v>0</v>
      </c>
      <c r="AK138" s="51">
        <f t="shared" si="183"/>
        <v>0</v>
      </c>
      <c r="AL138" s="51">
        <f t="shared" si="183"/>
        <v>0</v>
      </c>
      <c r="AM138" s="51">
        <f t="shared" si="183"/>
        <v>0</v>
      </c>
      <c r="AN138" s="51">
        <f t="shared" si="183"/>
        <v>0</v>
      </c>
      <c r="AO138" s="51">
        <f t="shared" ref="AO138:BT138" si="184">IFERROR(IF(AND(AO$6&gt;=$E$32,AO$6&lt;EDATE($E$32,$E$39)),$E$38/$E$39,IF(AND(AO$6&gt;=$E$43,AO$6&lt;$E$35),$E$42/$E$44,IF(AND(AO$6&gt;=$E$45,AO$6&lt;$E$46),$E$40/$E$41,0))),0)</f>
        <v>0</v>
      </c>
      <c r="AP138" s="51">
        <f t="shared" si="184"/>
        <v>0</v>
      </c>
      <c r="AQ138" s="51">
        <f t="shared" si="184"/>
        <v>0</v>
      </c>
      <c r="AR138" s="51">
        <f t="shared" si="184"/>
        <v>0</v>
      </c>
      <c r="AS138" s="51">
        <f t="shared" si="184"/>
        <v>6.6666666666666666E-2</v>
      </c>
      <c r="AT138" s="51">
        <f t="shared" si="184"/>
        <v>6.6666666666666666E-2</v>
      </c>
      <c r="AU138" s="51">
        <f t="shared" si="184"/>
        <v>6.6666666666666666E-2</v>
      </c>
      <c r="AV138" s="51">
        <f t="shared" si="184"/>
        <v>6.6666666666666666E-2</v>
      </c>
      <c r="AW138" s="51">
        <f t="shared" si="184"/>
        <v>6.6666666666666666E-2</v>
      </c>
      <c r="AX138" s="51">
        <f t="shared" si="184"/>
        <v>6.6666666666666666E-2</v>
      </c>
      <c r="AY138" s="51">
        <f t="shared" si="184"/>
        <v>1.3333333333333332E-2</v>
      </c>
      <c r="AZ138" s="51">
        <f t="shared" si="184"/>
        <v>1.3333333333333332E-2</v>
      </c>
      <c r="BA138" s="51">
        <f t="shared" si="184"/>
        <v>1.3333333333333332E-2</v>
      </c>
      <c r="BB138" s="51">
        <f t="shared" si="184"/>
        <v>1.3333333333333332E-2</v>
      </c>
      <c r="BC138" s="51">
        <f t="shared" si="184"/>
        <v>1.3333333333333332E-2</v>
      </c>
      <c r="BD138" s="51">
        <f t="shared" si="184"/>
        <v>1.3333333333333332E-2</v>
      </c>
      <c r="BE138" s="51">
        <f t="shared" si="184"/>
        <v>1.3333333333333332E-2</v>
      </c>
      <c r="BF138" s="51">
        <f t="shared" si="184"/>
        <v>1.3333333333333332E-2</v>
      </c>
      <c r="BG138" s="51">
        <f t="shared" si="184"/>
        <v>1.3333333333333332E-2</v>
      </c>
      <c r="BH138" s="51">
        <f t="shared" si="184"/>
        <v>1.3333333333333332E-2</v>
      </c>
      <c r="BI138" s="51">
        <f t="shared" si="184"/>
        <v>1.3333333333333332E-2</v>
      </c>
      <c r="BJ138" s="51">
        <f t="shared" si="184"/>
        <v>1.3333333333333332E-2</v>
      </c>
      <c r="BK138" s="51">
        <f t="shared" si="184"/>
        <v>1.3333333333333332E-2</v>
      </c>
      <c r="BL138" s="51">
        <f t="shared" si="184"/>
        <v>1.3333333333333332E-2</v>
      </c>
      <c r="BM138" s="51">
        <f t="shared" si="184"/>
        <v>1.3333333333333332E-2</v>
      </c>
      <c r="BN138" s="51">
        <f t="shared" si="184"/>
        <v>1.3333333333333332E-2</v>
      </c>
      <c r="BO138" s="51">
        <f t="shared" si="184"/>
        <v>1.3333333333333332E-2</v>
      </c>
      <c r="BP138" s="51">
        <f t="shared" si="184"/>
        <v>1.3333333333333332E-2</v>
      </c>
      <c r="BQ138" s="51">
        <f t="shared" si="184"/>
        <v>1.3333333333333332E-2</v>
      </c>
      <c r="BR138" s="51">
        <f t="shared" si="184"/>
        <v>1.3333333333333332E-2</v>
      </c>
      <c r="BS138" s="51">
        <f t="shared" si="184"/>
        <v>1.3333333333333332E-2</v>
      </c>
      <c r="BT138" s="51">
        <f t="shared" si="184"/>
        <v>1.3333333333333332E-2</v>
      </c>
      <c r="BU138" s="51">
        <f t="shared" ref="BU138:CZ138" si="185">IFERROR(IF(AND(BU$6&gt;=$E$32,BU$6&lt;EDATE($E$32,$E$39)),$E$38/$E$39,IF(AND(BU$6&gt;=$E$43,BU$6&lt;$E$35),$E$42/$E$44,IF(AND(BU$6&gt;=$E$45,BU$6&lt;$E$46),$E$40/$E$41,0))),0)</f>
        <v>1.3333333333333332E-2</v>
      </c>
      <c r="BV138" s="51">
        <f t="shared" si="185"/>
        <v>1.3333333333333332E-2</v>
      </c>
      <c r="BW138" s="51">
        <f t="shared" si="185"/>
        <v>1.3333333333333332E-2</v>
      </c>
      <c r="BX138" s="51">
        <f t="shared" si="185"/>
        <v>1.3333333333333332E-2</v>
      </c>
      <c r="BY138" s="51">
        <f t="shared" si="185"/>
        <v>1.3333333333333332E-2</v>
      </c>
      <c r="BZ138" s="51">
        <f t="shared" si="185"/>
        <v>1.3333333333333332E-2</v>
      </c>
      <c r="CA138" s="51">
        <f t="shared" si="185"/>
        <v>1.3333333333333332E-2</v>
      </c>
      <c r="CB138" s="51">
        <f t="shared" si="185"/>
        <v>1.3333333333333332E-2</v>
      </c>
      <c r="CC138" s="51">
        <f t="shared" si="185"/>
        <v>0</v>
      </c>
      <c r="CD138" s="51">
        <f t="shared" si="185"/>
        <v>0.02</v>
      </c>
      <c r="CE138" s="51">
        <f t="shared" si="185"/>
        <v>0.02</v>
      </c>
      <c r="CF138" s="51">
        <f t="shared" si="185"/>
        <v>0.02</v>
      </c>
      <c r="CG138" s="51">
        <f t="shared" si="185"/>
        <v>0.02</v>
      </c>
      <c r="CH138" s="51">
        <f t="shared" si="185"/>
        <v>0.02</v>
      </c>
      <c r="CI138" s="51">
        <f t="shared" si="185"/>
        <v>0.02</v>
      </c>
      <c r="CJ138" s="51">
        <f t="shared" si="185"/>
        <v>0.02</v>
      </c>
      <c r="CK138" s="51">
        <f t="shared" si="185"/>
        <v>0.02</v>
      </c>
      <c r="CL138" s="51">
        <f t="shared" si="185"/>
        <v>0.02</v>
      </c>
      <c r="CM138" s="51">
        <f t="shared" si="185"/>
        <v>0.02</v>
      </c>
      <c r="CN138" s="51">
        <f t="shared" si="185"/>
        <v>0</v>
      </c>
      <c r="CO138" s="51">
        <f t="shared" si="185"/>
        <v>0</v>
      </c>
      <c r="CP138" s="51">
        <f t="shared" si="185"/>
        <v>0</v>
      </c>
      <c r="CQ138" s="51">
        <f t="shared" si="185"/>
        <v>0</v>
      </c>
      <c r="CR138" s="51">
        <f t="shared" si="185"/>
        <v>0</v>
      </c>
      <c r="CS138" s="51">
        <f t="shared" si="185"/>
        <v>0</v>
      </c>
      <c r="CT138" s="51">
        <f t="shared" si="185"/>
        <v>0</v>
      </c>
      <c r="CU138" s="51">
        <f t="shared" si="185"/>
        <v>0</v>
      </c>
      <c r="CV138" s="51">
        <f t="shared" si="185"/>
        <v>0</v>
      </c>
      <c r="CW138" s="51">
        <f t="shared" si="185"/>
        <v>0</v>
      </c>
      <c r="CX138" s="51">
        <f t="shared" si="185"/>
        <v>0</v>
      </c>
      <c r="CY138" s="51">
        <f t="shared" si="185"/>
        <v>0</v>
      </c>
      <c r="CZ138" s="51">
        <f t="shared" si="185"/>
        <v>0</v>
      </c>
      <c r="DA138" s="51">
        <f t="shared" ref="DA138:EF138" si="186">IFERROR(IF(AND(DA$6&gt;=$E$32,DA$6&lt;EDATE($E$32,$E$39)),$E$38/$E$39,IF(AND(DA$6&gt;=$E$43,DA$6&lt;$E$35),$E$42/$E$44,IF(AND(DA$6&gt;=$E$45,DA$6&lt;$E$46),$E$40/$E$41,0))),0)</f>
        <v>0</v>
      </c>
      <c r="DB138" s="51">
        <f t="shared" si="186"/>
        <v>0</v>
      </c>
      <c r="DC138" s="51">
        <f t="shared" si="186"/>
        <v>0</v>
      </c>
      <c r="DD138" s="51">
        <f t="shared" si="186"/>
        <v>0</v>
      </c>
      <c r="DE138" s="51">
        <f t="shared" si="186"/>
        <v>0</v>
      </c>
      <c r="DF138" s="51">
        <f t="shared" si="186"/>
        <v>0</v>
      </c>
      <c r="DG138" s="51">
        <f t="shared" si="186"/>
        <v>0</v>
      </c>
      <c r="DH138" s="51">
        <f t="shared" si="186"/>
        <v>0</v>
      </c>
      <c r="DI138" s="51">
        <f t="shared" si="186"/>
        <v>0</v>
      </c>
      <c r="DJ138" s="51">
        <f t="shared" si="186"/>
        <v>0</v>
      </c>
      <c r="DK138" s="51">
        <f t="shared" si="186"/>
        <v>0</v>
      </c>
      <c r="DL138" s="51">
        <f t="shared" si="186"/>
        <v>0</v>
      </c>
      <c r="DM138" s="51">
        <f t="shared" si="186"/>
        <v>0</v>
      </c>
      <c r="DN138" s="51">
        <f t="shared" si="186"/>
        <v>0</v>
      </c>
      <c r="DO138" s="51">
        <f t="shared" si="186"/>
        <v>0</v>
      </c>
      <c r="DP138" s="51">
        <f t="shared" si="186"/>
        <v>0</v>
      </c>
      <c r="DQ138" s="51">
        <f t="shared" si="186"/>
        <v>0</v>
      </c>
      <c r="DR138" s="51">
        <f t="shared" si="186"/>
        <v>0</v>
      </c>
      <c r="DS138" s="51">
        <f t="shared" si="186"/>
        <v>0</v>
      </c>
      <c r="DT138" s="51">
        <f t="shared" si="186"/>
        <v>0</v>
      </c>
      <c r="DU138" s="51">
        <f t="shared" si="186"/>
        <v>0</v>
      </c>
      <c r="DV138" s="51">
        <f t="shared" si="186"/>
        <v>0</v>
      </c>
      <c r="DW138" s="51">
        <f t="shared" si="186"/>
        <v>0</v>
      </c>
      <c r="DX138" s="51">
        <f t="shared" si="186"/>
        <v>0</v>
      </c>
      <c r="DY138" s="51">
        <f t="shared" si="186"/>
        <v>0</v>
      </c>
      <c r="DZ138" s="51">
        <f t="shared" si="186"/>
        <v>0</v>
      </c>
      <c r="EA138" s="51">
        <f t="shared" si="186"/>
        <v>0</v>
      </c>
      <c r="EB138" s="51">
        <f t="shared" si="186"/>
        <v>0</v>
      </c>
      <c r="EC138" s="51">
        <f t="shared" si="186"/>
        <v>0</v>
      </c>
      <c r="ED138" s="51">
        <f t="shared" si="186"/>
        <v>0</v>
      </c>
      <c r="EE138" s="51">
        <f t="shared" si="186"/>
        <v>0</v>
      </c>
      <c r="EF138" s="51">
        <f t="shared" si="186"/>
        <v>0</v>
      </c>
      <c r="EG138" s="51">
        <f t="shared" ref="EG138:FH138" si="187">IFERROR(IF(AND(EG$6&gt;=$E$32,EG$6&lt;EDATE($E$32,$E$39)),$E$38/$E$39,IF(AND(EG$6&gt;=$E$43,EG$6&lt;$E$35),$E$42/$E$44,IF(AND(EG$6&gt;=$E$45,EG$6&lt;$E$46),$E$40/$E$41,0))),0)</f>
        <v>0</v>
      </c>
      <c r="EH138" s="51">
        <f t="shared" si="187"/>
        <v>0</v>
      </c>
      <c r="EI138" s="51">
        <f t="shared" si="187"/>
        <v>0</v>
      </c>
      <c r="EJ138" s="51">
        <f t="shared" si="187"/>
        <v>0</v>
      </c>
      <c r="EK138" s="51">
        <f t="shared" si="187"/>
        <v>0</v>
      </c>
      <c r="EL138" s="51">
        <f t="shared" si="187"/>
        <v>0</v>
      </c>
      <c r="EM138" s="51">
        <f t="shared" si="187"/>
        <v>0</v>
      </c>
      <c r="EN138" s="51">
        <f t="shared" si="187"/>
        <v>0</v>
      </c>
      <c r="EO138" s="51">
        <f t="shared" si="187"/>
        <v>0</v>
      </c>
      <c r="EP138" s="51">
        <f t="shared" si="187"/>
        <v>0</v>
      </c>
      <c r="EQ138" s="51">
        <f t="shared" si="187"/>
        <v>0</v>
      </c>
      <c r="ER138" s="51">
        <f t="shared" si="187"/>
        <v>0</v>
      </c>
      <c r="ES138" s="51">
        <f t="shared" si="187"/>
        <v>0</v>
      </c>
      <c r="ET138" s="51">
        <f t="shared" si="187"/>
        <v>0</v>
      </c>
      <c r="EU138" s="51">
        <f t="shared" si="187"/>
        <v>0</v>
      </c>
      <c r="EV138" s="51">
        <f t="shared" si="187"/>
        <v>0</v>
      </c>
      <c r="EW138" s="51">
        <f t="shared" si="187"/>
        <v>0</v>
      </c>
      <c r="EX138" s="51">
        <f t="shared" si="187"/>
        <v>0</v>
      </c>
      <c r="EY138" s="51">
        <f t="shared" si="187"/>
        <v>0</v>
      </c>
      <c r="EZ138" s="51">
        <f t="shared" si="187"/>
        <v>0</v>
      </c>
      <c r="FA138" s="51">
        <f t="shared" si="187"/>
        <v>0</v>
      </c>
      <c r="FB138" s="51">
        <f t="shared" si="187"/>
        <v>0</v>
      </c>
      <c r="FC138" s="51">
        <f t="shared" si="187"/>
        <v>0</v>
      </c>
      <c r="FD138" s="51">
        <f t="shared" si="187"/>
        <v>0</v>
      </c>
      <c r="FE138" s="51">
        <f t="shared" si="187"/>
        <v>0</v>
      </c>
      <c r="FF138" s="51">
        <f t="shared" si="187"/>
        <v>0</v>
      </c>
      <c r="FG138" s="51">
        <f t="shared" si="187"/>
        <v>0</v>
      </c>
      <c r="FH138" s="51">
        <f t="shared" si="187"/>
        <v>0</v>
      </c>
    </row>
    <row r="139" spans="1:164" x14ac:dyDescent="0.2">
      <c r="A139" s="10"/>
      <c r="B139" s="10"/>
      <c r="C139" s="10" t="s">
        <v>909</v>
      </c>
      <c r="D139" s="10"/>
      <c r="E139" s="10"/>
      <c r="F139" s="10"/>
      <c r="G139" s="10"/>
      <c r="H139" s="12">
        <f>SUM(I139:FH139)</f>
        <v>465888.00000000052</v>
      </c>
      <c r="I139" s="12">
        <f t="shared" ref="I139:AN139" si="188">I138*$E$23*(1+$D$11)^(MAX(0,DATEDIF($D$10,I$6,"m"))/12)</f>
        <v>0</v>
      </c>
      <c r="J139" s="12">
        <f t="shared" si="188"/>
        <v>0</v>
      </c>
      <c r="K139" s="12">
        <f t="shared" si="188"/>
        <v>0</v>
      </c>
      <c r="L139" s="12">
        <f t="shared" si="188"/>
        <v>0</v>
      </c>
      <c r="M139" s="12">
        <f t="shared" si="188"/>
        <v>0</v>
      </c>
      <c r="N139" s="12">
        <f t="shared" si="188"/>
        <v>0</v>
      </c>
      <c r="O139" s="12">
        <f t="shared" si="188"/>
        <v>0</v>
      </c>
      <c r="P139" s="12">
        <f t="shared" si="188"/>
        <v>0</v>
      </c>
      <c r="Q139" s="12">
        <f t="shared" si="188"/>
        <v>0</v>
      </c>
      <c r="R139" s="12">
        <f t="shared" si="188"/>
        <v>0</v>
      </c>
      <c r="S139" s="12">
        <f t="shared" si="188"/>
        <v>0</v>
      </c>
      <c r="T139" s="12">
        <f t="shared" si="188"/>
        <v>0</v>
      </c>
      <c r="U139" s="12">
        <f t="shared" si="188"/>
        <v>0</v>
      </c>
      <c r="V139" s="12">
        <f t="shared" si="188"/>
        <v>0</v>
      </c>
      <c r="W139" s="12">
        <f t="shared" si="188"/>
        <v>0</v>
      </c>
      <c r="X139" s="12">
        <f t="shared" si="188"/>
        <v>0</v>
      </c>
      <c r="Y139" s="12">
        <f t="shared" si="188"/>
        <v>0</v>
      </c>
      <c r="Z139" s="12">
        <f t="shared" si="188"/>
        <v>0</v>
      </c>
      <c r="AA139" s="12">
        <f t="shared" si="188"/>
        <v>0</v>
      </c>
      <c r="AB139" s="12">
        <f t="shared" si="188"/>
        <v>0</v>
      </c>
      <c r="AC139" s="12">
        <f t="shared" si="188"/>
        <v>0</v>
      </c>
      <c r="AD139" s="12">
        <f t="shared" si="188"/>
        <v>0</v>
      </c>
      <c r="AE139" s="12">
        <f t="shared" si="188"/>
        <v>0</v>
      </c>
      <c r="AF139" s="12">
        <f t="shared" si="188"/>
        <v>0</v>
      </c>
      <c r="AG139" s="12">
        <f t="shared" si="188"/>
        <v>0</v>
      </c>
      <c r="AH139" s="12">
        <f t="shared" si="188"/>
        <v>0</v>
      </c>
      <c r="AI139" s="12">
        <f t="shared" si="188"/>
        <v>0</v>
      </c>
      <c r="AJ139" s="12">
        <f t="shared" si="188"/>
        <v>0</v>
      </c>
      <c r="AK139" s="12">
        <f t="shared" si="188"/>
        <v>0</v>
      </c>
      <c r="AL139" s="12">
        <f t="shared" si="188"/>
        <v>0</v>
      </c>
      <c r="AM139" s="12">
        <f t="shared" si="188"/>
        <v>0</v>
      </c>
      <c r="AN139" s="12">
        <f t="shared" si="188"/>
        <v>0</v>
      </c>
      <c r="AO139" s="12">
        <f t="shared" ref="AO139:BT139" si="189">AO138*$E$23*(1+$D$11)^(MAX(0,DATEDIF($D$10,AO$6,"m"))/12)</f>
        <v>0</v>
      </c>
      <c r="AP139" s="12">
        <f t="shared" si="189"/>
        <v>0</v>
      </c>
      <c r="AQ139" s="12">
        <f t="shared" si="189"/>
        <v>0</v>
      </c>
      <c r="AR139" s="12">
        <f t="shared" si="189"/>
        <v>0</v>
      </c>
      <c r="AS139" s="12">
        <f t="shared" si="189"/>
        <v>31059.199999999997</v>
      </c>
      <c r="AT139" s="12">
        <f t="shared" si="189"/>
        <v>31059.199999999997</v>
      </c>
      <c r="AU139" s="12">
        <f t="shared" si="189"/>
        <v>31059.199999999997</v>
      </c>
      <c r="AV139" s="12">
        <f t="shared" si="189"/>
        <v>31059.199999999997</v>
      </c>
      <c r="AW139" s="12">
        <f t="shared" si="189"/>
        <v>31059.199999999997</v>
      </c>
      <c r="AX139" s="12">
        <f t="shared" si="189"/>
        <v>31059.199999999997</v>
      </c>
      <c r="AY139" s="12">
        <f t="shared" si="189"/>
        <v>6211.8399999999992</v>
      </c>
      <c r="AZ139" s="12">
        <f t="shared" si="189"/>
        <v>6211.8399999999992</v>
      </c>
      <c r="BA139" s="12">
        <f t="shared" si="189"/>
        <v>6211.8399999999992</v>
      </c>
      <c r="BB139" s="12">
        <f t="shared" si="189"/>
        <v>6211.8399999999992</v>
      </c>
      <c r="BC139" s="12">
        <f t="shared" si="189"/>
        <v>6211.8399999999992</v>
      </c>
      <c r="BD139" s="12">
        <f t="shared" si="189"/>
        <v>6211.8399999999992</v>
      </c>
      <c r="BE139" s="12">
        <f t="shared" si="189"/>
        <v>6211.8399999999992</v>
      </c>
      <c r="BF139" s="12">
        <f t="shared" si="189"/>
        <v>6211.8399999999992</v>
      </c>
      <c r="BG139" s="12">
        <f t="shared" si="189"/>
        <v>6211.8399999999992</v>
      </c>
      <c r="BH139" s="12">
        <f t="shared" si="189"/>
        <v>6211.8399999999992</v>
      </c>
      <c r="BI139" s="12">
        <f t="shared" si="189"/>
        <v>6211.8399999999992</v>
      </c>
      <c r="BJ139" s="12">
        <f t="shared" si="189"/>
        <v>6211.8399999999992</v>
      </c>
      <c r="BK139" s="12">
        <f t="shared" si="189"/>
        <v>6211.8399999999992</v>
      </c>
      <c r="BL139" s="12">
        <f t="shared" si="189"/>
        <v>6211.8399999999992</v>
      </c>
      <c r="BM139" s="12">
        <f t="shared" si="189"/>
        <v>6211.8399999999992</v>
      </c>
      <c r="BN139" s="12">
        <f t="shared" si="189"/>
        <v>6211.8399999999992</v>
      </c>
      <c r="BO139" s="12">
        <f t="shared" si="189"/>
        <v>6211.8399999999992</v>
      </c>
      <c r="BP139" s="12">
        <f t="shared" si="189"/>
        <v>6211.8399999999992</v>
      </c>
      <c r="BQ139" s="12">
        <f t="shared" si="189"/>
        <v>6211.8399999999992</v>
      </c>
      <c r="BR139" s="12">
        <f t="shared" si="189"/>
        <v>6211.8399999999992</v>
      </c>
      <c r="BS139" s="12">
        <f t="shared" si="189"/>
        <v>6211.8399999999992</v>
      </c>
      <c r="BT139" s="12">
        <f t="shared" si="189"/>
        <v>6211.8399999999992</v>
      </c>
      <c r="BU139" s="12">
        <f t="shared" ref="BU139:CZ139" si="190">BU138*$E$23*(1+$D$11)^(MAX(0,DATEDIF($D$10,BU$6,"m"))/12)</f>
        <v>6211.8399999999992</v>
      </c>
      <c r="BV139" s="12">
        <f t="shared" si="190"/>
        <v>6211.8399999999992</v>
      </c>
      <c r="BW139" s="12">
        <f t="shared" si="190"/>
        <v>6211.8399999999992</v>
      </c>
      <c r="BX139" s="12">
        <f t="shared" si="190"/>
        <v>6211.8399999999992</v>
      </c>
      <c r="BY139" s="12">
        <f t="shared" si="190"/>
        <v>6211.8399999999992</v>
      </c>
      <c r="BZ139" s="12">
        <f t="shared" si="190"/>
        <v>6211.8399999999992</v>
      </c>
      <c r="CA139" s="12">
        <f t="shared" si="190"/>
        <v>6211.8399999999992</v>
      </c>
      <c r="CB139" s="12">
        <f t="shared" si="190"/>
        <v>6211.8399999999992</v>
      </c>
      <c r="CC139" s="12">
        <f t="shared" si="190"/>
        <v>0</v>
      </c>
      <c r="CD139" s="12">
        <f t="shared" si="190"/>
        <v>9317.7599999999984</v>
      </c>
      <c r="CE139" s="12">
        <f t="shared" si="190"/>
        <v>9317.7599999999984</v>
      </c>
      <c r="CF139" s="12">
        <f t="shared" si="190"/>
        <v>9317.7599999999984</v>
      </c>
      <c r="CG139" s="12">
        <f t="shared" si="190"/>
        <v>9317.7599999999984</v>
      </c>
      <c r="CH139" s="12">
        <f t="shared" si="190"/>
        <v>9317.7599999999984</v>
      </c>
      <c r="CI139" s="12">
        <f t="shared" si="190"/>
        <v>9317.7599999999984</v>
      </c>
      <c r="CJ139" s="12">
        <f t="shared" si="190"/>
        <v>9317.7599999999984</v>
      </c>
      <c r="CK139" s="12">
        <f t="shared" si="190"/>
        <v>9317.7599999999984</v>
      </c>
      <c r="CL139" s="12">
        <f t="shared" si="190"/>
        <v>9317.7599999999984</v>
      </c>
      <c r="CM139" s="12">
        <f t="shared" si="190"/>
        <v>9317.7599999999984</v>
      </c>
      <c r="CN139" s="12">
        <f t="shared" si="190"/>
        <v>0</v>
      </c>
      <c r="CO139" s="12">
        <f t="shared" si="190"/>
        <v>0</v>
      </c>
      <c r="CP139" s="12">
        <f t="shared" si="190"/>
        <v>0</v>
      </c>
      <c r="CQ139" s="12">
        <f t="shared" si="190"/>
        <v>0</v>
      </c>
      <c r="CR139" s="12">
        <f t="shared" si="190"/>
        <v>0</v>
      </c>
      <c r="CS139" s="12">
        <f t="shared" si="190"/>
        <v>0</v>
      </c>
      <c r="CT139" s="12">
        <f t="shared" si="190"/>
        <v>0</v>
      </c>
      <c r="CU139" s="12">
        <f t="shared" si="190"/>
        <v>0</v>
      </c>
      <c r="CV139" s="12">
        <f t="shared" si="190"/>
        <v>0</v>
      </c>
      <c r="CW139" s="12">
        <f t="shared" si="190"/>
        <v>0</v>
      </c>
      <c r="CX139" s="12">
        <f t="shared" si="190"/>
        <v>0</v>
      </c>
      <c r="CY139" s="12">
        <f t="shared" si="190"/>
        <v>0</v>
      </c>
      <c r="CZ139" s="12">
        <f t="shared" si="190"/>
        <v>0</v>
      </c>
      <c r="DA139" s="12">
        <f t="shared" ref="DA139:EF139" si="191">DA138*$E$23*(1+$D$11)^(MAX(0,DATEDIF($D$10,DA$6,"m"))/12)</f>
        <v>0</v>
      </c>
      <c r="DB139" s="12">
        <f t="shared" si="191"/>
        <v>0</v>
      </c>
      <c r="DC139" s="12">
        <f t="shared" si="191"/>
        <v>0</v>
      </c>
      <c r="DD139" s="12">
        <f t="shared" si="191"/>
        <v>0</v>
      </c>
      <c r="DE139" s="12">
        <f t="shared" si="191"/>
        <v>0</v>
      </c>
      <c r="DF139" s="12">
        <f t="shared" si="191"/>
        <v>0</v>
      </c>
      <c r="DG139" s="12">
        <f t="shared" si="191"/>
        <v>0</v>
      </c>
      <c r="DH139" s="12">
        <f t="shared" si="191"/>
        <v>0</v>
      </c>
      <c r="DI139" s="12">
        <f t="shared" si="191"/>
        <v>0</v>
      </c>
      <c r="DJ139" s="12">
        <f t="shared" si="191"/>
        <v>0</v>
      </c>
      <c r="DK139" s="12">
        <f t="shared" si="191"/>
        <v>0</v>
      </c>
      <c r="DL139" s="12">
        <f t="shared" si="191"/>
        <v>0</v>
      </c>
      <c r="DM139" s="12">
        <f t="shared" si="191"/>
        <v>0</v>
      </c>
      <c r="DN139" s="12">
        <f t="shared" si="191"/>
        <v>0</v>
      </c>
      <c r="DO139" s="12">
        <f t="shared" si="191"/>
        <v>0</v>
      </c>
      <c r="DP139" s="12">
        <f t="shared" si="191"/>
        <v>0</v>
      </c>
      <c r="DQ139" s="12">
        <f t="shared" si="191"/>
        <v>0</v>
      </c>
      <c r="DR139" s="12">
        <f t="shared" si="191"/>
        <v>0</v>
      </c>
      <c r="DS139" s="12">
        <f t="shared" si="191"/>
        <v>0</v>
      </c>
      <c r="DT139" s="12">
        <f t="shared" si="191"/>
        <v>0</v>
      </c>
      <c r="DU139" s="12">
        <f t="shared" si="191"/>
        <v>0</v>
      </c>
      <c r="DV139" s="12">
        <f t="shared" si="191"/>
        <v>0</v>
      </c>
      <c r="DW139" s="12">
        <f t="shared" si="191"/>
        <v>0</v>
      </c>
      <c r="DX139" s="12">
        <f t="shared" si="191"/>
        <v>0</v>
      </c>
      <c r="DY139" s="12">
        <f t="shared" si="191"/>
        <v>0</v>
      </c>
      <c r="DZ139" s="12">
        <f t="shared" si="191"/>
        <v>0</v>
      </c>
      <c r="EA139" s="12">
        <f t="shared" si="191"/>
        <v>0</v>
      </c>
      <c r="EB139" s="12">
        <f t="shared" si="191"/>
        <v>0</v>
      </c>
      <c r="EC139" s="12">
        <f t="shared" si="191"/>
        <v>0</v>
      </c>
      <c r="ED139" s="12">
        <f t="shared" si="191"/>
        <v>0</v>
      </c>
      <c r="EE139" s="12">
        <f t="shared" si="191"/>
        <v>0</v>
      </c>
      <c r="EF139" s="12">
        <f t="shared" si="191"/>
        <v>0</v>
      </c>
      <c r="EG139" s="12">
        <f t="shared" ref="EG139:FH139" si="192">EG138*$E$23*(1+$D$11)^(MAX(0,DATEDIF($D$10,EG$6,"m"))/12)</f>
        <v>0</v>
      </c>
      <c r="EH139" s="12">
        <f t="shared" si="192"/>
        <v>0</v>
      </c>
      <c r="EI139" s="12">
        <f t="shared" si="192"/>
        <v>0</v>
      </c>
      <c r="EJ139" s="12">
        <f t="shared" si="192"/>
        <v>0</v>
      </c>
      <c r="EK139" s="12">
        <f t="shared" si="192"/>
        <v>0</v>
      </c>
      <c r="EL139" s="12">
        <f t="shared" si="192"/>
        <v>0</v>
      </c>
      <c r="EM139" s="12">
        <f t="shared" si="192"/>
        <v>0</v>
      </c>
      <c r="EN139" s="12">
        <f t="shared" si="192"/>
        <v>0</v>
      </c>
      <c r="EO139" s="12">
        <f t="shared" si="192"/>
        <v>0</v>
      </c>
      <c r="EP139" s="12">
        <f t="shared" si="192"/>
        <v>0</v>
      </c>
      <c r="EQ139" s="12">
        <f t="shared" si="192"/>
        <v>0</v>
      </c>
      <c r="ER139" s="12">
        <f t="shared" si="192"/>
        <v>0</v>
      </c>
      <c r="ES139" s="12">
        <f t="shared" si="192"/>
        <v>0</v>
      </c>
      <c r="ET139" s="12">
        <f t="shared" si="192"/>
        <v>0</v>
      </c>
      <c r="EU139" s="12">
        <f t="shared" si="192"/>
        <v>0</v>
      </c>
      <c r="EV139" s="12">
        <f t="shared" si="192"/>
        <v>0</v>
      </c>
      <c r="EW139" s="12">
        <f t="shared" si="192"/>
        <v>0</v>
      </c>
      <c r="EX139" s="12">
        <f t="shared" si="192"/>
        <v>0</v>
      </c>
      <c r="EY139" s="12">
        <f t="shared" si="192"/>
        <v>0</v>
      </c>
      <c r="EZ139" s="12">
        <f t="shared" si="192"/>
        <v>0</v>
      </c>
      <c r="FA139" s="12">
        <f t="shared" si="192"/>
        <v>0</v>
      </c>
      <c r="FB139" s="12">
        <f t="shared" si="192"/>
        <v>0</v>
      </c>
      <c r="FC139" s="12">
        <f t="shared" si="192"/>
        <v>0</v>
      </c>
      <c r="FD139" s="12">
        <f t="shared" si="192"/>
        <v>0</v>
      </c>
      <c r="FE139" s="12">
        <f t="shared" si="192"/>
        <v>0</v>
      </c>
      <c r="FF139" s="12">
        <f t="shared" si="192"/>
        <v>0</v>
      </c>
      <c r="FG139" s="12">
        <f t="shared" si="192"/>
        <v>0</v>
      </c>
      <c r="FH139" s="12">
        <f t="shared" si="192"/>
        <v>0</v>
      </c>
    </row>
    <row r="140" spans="1:164" x14ac:dyDescent="0.2">
      <c r="A140" s="10"/>
      <c r="B140" s="10"/>
      <c r="C140" s="201" t="s">
        <v>748</v>
      </c>
      <c r="D140" s="194"/>
      <c r="E140" s="194"/>
      <c r="F140" s="194"/>
      <c r="G140" s="194"/>
      <c r="H140" s="216"/>
      <c r="I140" s="216">
        <f t="shared" ref="I140:AN140" si="193">IF(I$6&lt;$E$35,I139*$E$50/DATEDIF(I$6,$E$35,"m"),0)</f>
        <v>0</v>
      </c>
      <c r="J140" s="216">
        <f t="shared" si="193"/>
        <v>0</v>
      </c>
      <c r="K140" s="216">
        <f t="shared" si="193"/>
        <v>0</v>
      </c>
      <c r="L140" s="216">
        <f t="shared" si="193"/>
        <v>0</v>
      </c>
      <c r="M140" s="216">
        <f t="shared" si="193"/>
        <v>0</v>
      </c>
      <c r="N140" s="216">
        <f t="shared" si="193"/>
        <v>0</v>
      </c>
      <c r="O140" s="216">
        <f t="shared" si="193"/>
        <v>0</v>
      </c>
      <c r="P140" s="216">
        <f t="shared" si="193"/>
        <v>0</v>
      </c>
      <c r="Q140" s="216">
        <f t="shared" si="193"/>
        <v>0</v>
      </c>
      <c r="R140" s="216">
        <f t="shared" si="193"/>
        <v>0</v>
      </c>
      <c r="S140" s="216">
        <f t="shared" si="193"/>
        <v>0</v>
      </c>
      <c r="T140" s="216">
        <f t="shared" si="193"/>
        <v>0</v>
      </c>
      <c r="U140" s="216">
        <f t="shared" si="193"/>
        <v>0</v>
      </c>
      <c r="V140" s="216">
        <f t="shared" si="193"/>
        <v>0</v>
      </c>
      <c r="W140" s="216">
        <f t="shared" si="193"/>
        <v>0</v>
      </c>
      <c r="X140" s="216">
        <f t="shared" si="193"/>
        <v>0</v>
      </c>
      <c r="Y140" s="216">
        <f t="shared" si="193"/>
        <v>0</v>
      </c>
      <c r="Z140" s="216">
        <f t="shared" si="193"/>
        <v>0</v>
      </c>
      <c r="AA140" s="216">
        <f t="shared" si="193"/>
        <v>0</v>
      </c>
      <c r="AB140" s="216">
        <f t="shared" si="193"/>
        <v>0</v>
      </c>
      <c r="AC140" s="216">
        <f t="shared" si="193"/>
        <v>0</v>
      </c>
      <c r="AD140" s="216">
        <f t="shared" si="193"/>
        <v>0</v>
      </c>
      <c r="AE140" s="216">
        <f t="shared" si="193"/>
        <v>0</v>
      </c>
      <c r="AF140" s="216">
        <f t="shared" si="193"/>
        <v>0</v>
      </c>
      <c r="AG140" s="216">
        <f t="shared" si="193"/>
        <v>0</v>
      </c>
      <c r="AH140" s="216">
        <f t="shared" si="193"/>
        <v>0</v>
      </c>
      <c r="AI140" s="216">
        <f t="shared" si="193"/>
        <v>0</v>
      </c>
      <c r="AJ140" s="216">
        <f t="shared" si="193"/>
        <v>0</v>
      </c>
      <c r="AK140" s="216">
        <f t="shared" si="193"/>
        <v>0</v>
      </c>
      <c r="AL140" s="216">
        <f t="shared" si="193"/>
        <v>0</v>
      </c>
      <c r="AM140" s="216">
        <f t="shared" si="193"/>
        <v>0</v>
      </c>
      <c r="AN140" s="216">
        <f t="shared" si="193"/>
        <v>0</v>
      </c>
      <c r="AO140" s="216">
        <f t="shared" ref="AO140:BT140" si="194">IF(AO$6&lt;$E$35,AO139*$E$50/DATEDIF(AO$6,$E$35,"m"),0)</f>
        <v>0</v>
      </c>
      <c r="AP140" s="216">
        <f t="shared" si="194"/>
        <v>0</v>
      </c>
      <c r="AQ140" s="216">
        <f t="shared" si="194"/>
        <v>0</v>
      </c>
      <c r="AR140" s="216">
        <f t="shared" si="194"/>
        <v>0</v>
      </c>
      <c r="AS140" s="216">
        <f t="shared" si="194"/>
        <v>129.4133333333333</v>
      </c>
      <c r="AT140" s="216">
        <f t="shared" si="194"/>
        <v>133.11085714285713</v>
      </c>
      <c r="AU140" s="216">
        <f t="shared" si="194"/>
        <v>137.02588235294115</v>
      </c>
      <c r="AV140" s="216">
        <f t="shared" si="194"/>
        <v>141.1781818181818</v>
      </c>
      <c r="AW140" s="216">
        <f t="shared" si="194"/>
        <v>145.58999999999997</v>
      </c>
      <c r="AX140" s="216">
        <f t="shared" si="194"/>
        <v>150.28645161290319</v>
      </c>
      <c r="AY140" s="216">
        <f t="shared" si="194"/>
        <v>31.059199999999993</v>
      </c>
      <c r="AZ140" s="216">
        <f t="shared" si="194"/>
        <v>32.130206896551719</v>
      </c>
      <c r="BA140" s="216">
        <f t="shared" si="194"/>
        <v>33.277714285714282</v>
      </c>
      <c r="BB140" s="216">
        <f t="shared" si="194"/>
        <v>34.510222222222218</v>
      </c>
      <c r="BC140" s="216">
        <f t="shared" si="194"/>
        <v>35.837538461538458</v>
      </c>
      <c r="BD140" s="216">
        <f t="shared" si="194"/>
        <v>37.271039999999992</v>
      </c>
      <c r="BE140" s="216">
        <f t="shared" si="194"/>
        <v>38.823999999999991</v>
      </c>
      <c r="BF140" s="216">
        <f t="shared" si="194"/>
        <v>40.511999999999993</v>
      </c>
      <c r="BG140" s="216">
        <f t="shared" si="194"/>
        <v>42.353454545454539</v>
      </c>
      <c r="BH140" s="216">
        <f t="shared" si="194"/>
        <v>44.370285714285707</v>
      </c>
      <c r="BI140" s="216">
        <f t="shared" si="194"/>
        <v>46.588799999999992</v>
      </c>
      <c r="BJ140" s="216">
        <f t="shared" si="194"/>
        <v>49.040842105263152</v>
      </c>
      <c r="BK140" s="216">
        <f t="shared" si="194"/>
        <v>51.765333333333324</v>
      </c>
      <c r="BL140" s="216">
        <f t="shared" si="194"/>
        <v>54.810352941176461</v>
      </c>
      <c r="BM140" s="216">
        <f t="shared" si="194"/>
        <v>58.23599999999999</v>
      </c>
      <c r="BN140" s="216">
        <f t="shared" si="194"/>
        <v>62.118399999999987</v>
      </c>
      <c r="BO140" s="216">
        <f t="shared" si="194"/>
        <v>66.555428571428564</v>
      </c>
      <c r="BP140" s="216">
        <f t="shared" si="194"/>
        <v>71.675076923076915</v>
      </c>
      <c r="BQ140" s="216">
        <f t="shared" si="194"/>
        <v>77.647999999999982</v>
      </c>
      <c r="BR140" s="216">
        <f t="shared" si="194"/>
        <v>84.706909090909079</v>
      </c>
      <c r="BS140" s="216">
        <f t="shared" si="194"/>
        <v>93.177599999999984</v>
      </c>
      <c r="BT140" s="216">
        <f t="shared" si="194"/>
        <v>103.53066666666665</v>
      </c>
      <c r="BU140" s="216">
        <f t="shared" ref="BU140:CZ140" si="195">IF(BU$6&lt;$E$35,BU139*$E$50/DATEDIF(BU$6,$E$35,"m"),0)</f>
        <v>116.47199999999998</v>
      </c>
      <c r="BV140" s="216">
        <f t="shared" si="195"/>
        <v>133.11085714285713</v>
      </c>
      <c r="BW140" s="216">
        <f t="shared" si="195"/>
        <v>155.29599999999996</v>
      </c>
      <c r="BX140" s="216">
        <f t="shared" si="195"/>
        <v>186.35519999999997</v>
      </c>
      <c r="BY140" s="216">
        <f t="shared" si="195"/>
        <v>232.94399999999996</v>
      </c>
      <c r="BZ140" s="216">
        <f t="shared" si="195"/>
        <v>310.59199999999993</v>
      </c>
      <c r="CA140" s="216">
        <f t="shared" si="195"/>
        <v>465.88799999999992</v>
      </c>
      <c r="CB140" s="216">
        <f t="shared" si="195"/>
        <v>931.77599999999984</v>
      </c>
      <c r="CC140" s="216">
        <f t="shared" si="195"/>
        <v>0</v>
      </c>
      <c r="CD140" s="216">
        <f t="shared" si="195"/>
        <v>0</v>
      </c>
      <c r="CE140" s="216">
        <f t="shared" si="195"/>
        <v>0</v>
      </c>
      <c r="CF140" s="216">
        <f t="shared" si="195"/>
        <v>0</v>
      </c>
      <c r="CG140" s="216">
        <f t="shared" si="195"/>
        <v>0</v>
      </c>
      <c r="CH140" s="216">
        <f t="shared" si="195"/>
        <v>0</v>
      </c>
      <c r="CI140" s="216">
        <f t="shared" si="195"/>
        <v>0</v>
      </c>
      <c r="CJ140" s="216">
        <f t="shared" si="195"/>
        <v>0</v>
      </c>
      <c r="CK140" s="216">
        <f t="shared" si="195"/>
        <v>0</v>
      </c>
      <c r="CL140" s="216">
        <f t="shared" si="195"/>
        <v>0</v>
      </c>
      <c r="CM140" s="216">
        <f t="shared" si="195"/>
        <v>0</v>
      </c>
      <c r="CN140" s="216">
        <f t="shared" si="195"/>
        <v>0</v>
      </c>
      <c r="CO140" s="216">
        <f t="shared" si="195"/>
        <v>0</v>
      </c>
      <c r="CP140" s="216">
        <f t="shared" si="195"/>
        <v>0</v>
      </c>
      <c r="CQ140" s="216">
        <f t="shared" si="195"/>
        <v>0</v>
      </c>
      <c r="CR140" s="216">
        <f t="shared" si="195"/>
        <v>0</v>
      </c>
      <c r="CS140" s="216">
        <f t="shared" si="195"/>
        <v>0</v>
      </c>
      <c r="CT140" s="216">
        <f t="shared" si="195"/>
        <v>0</v>
      </c>
      <c r="CU140" s="216">
        <f t="shared" si="195"/>
        <v>0</v>
      </c>
      <c r="CV140" s="216">
        <f t="shared" si="195"/>
        <v>0</v>
      </c>
      <c r="CW140" s="216">
        <f t="shared" si="195"/>
        <v>0</v>
      </c>
      <c r="CX140" s="216">
        <f t="shared" si="195"/>
        <v>0</v>
      </c>
      <c r="CY140" s="216">
        <f t="shared" si="195"/>
        <v>0</v>
      </c>
      <c r="CZ140" s="216">
        <f t="shared" si="195"/>
        <v>0</v>
      </c>
      <c r="DA140" s="216">
        <f t="shared" ref="DA140:EF140" si="196">IF(DA$6&lt;$E$35,DA139*$E$50/DATEDIF(DA$6,$E$35,"m"),0)</f>
        <v>0</v>
      </c>
      <c r="DB140" s="216">
        <f t="shared" si="196"/>
        <v>0</v>
      </c>
      <c r="DC140" s="216">
        <f t="shared" si="196"/>
        <v>0</v>
      </c>
      <c r="DD140" s="216">
        <f t="shared" si="196"/>
        <v>0</v>
      </c>
      <c r="DE140" s="216">
        <f t="shared" si="196"/>
        <v>0</v>
      </c>
      <c r="DF140" s="216">
        <f t="shared" si="196"/>
        <v>0</v>
      </c>
      <c r="DG140" s="216">
        <f t="shared" si="196"/>
        <v>0</v>
      </c>
      <c r="DH140" s="216">
        <f t="shared" si="196"/>
        <v>0</v>
      </c>
      <c r="DI140" s="216">
        <f t="shared" si="196"/>
        <v>0</v>
      </c>
      <c r="DJ140" s="216">
        <f t="shared" si="196"/>
        <v>0</v>
      </c>
      <c r="DK140" s="216">
        <f t="shared" si="196"/>
        <v>0</v>
      </c>
      <c r="DL140" s="216">
        <f t="shared" si="196"/>
        <v>0</v>
      </c>
      <c r="DM140" s="216">
        <f t="shared" si="196"/>
        <v>0</v>
      </c>
      <c r="DN140" s="216">
        <f t="shared" si="196"/>
        <v>0</v>
      </c>
      <c r="DO140" s="216">
        <f t="shared" si="196"/>
        <v>0</v>
      </c>
      <c r="DP140" s="216">
        <f t="shared" si="196"/>
        <v>0</v>
      </c>
      <c r="DQ140" s="216">
        <f t="shared" si="196"/>
        <v>0</v>
      </c>
      <c r="DR140" s="216">
        <f t="shared" si="196"/>
        <v>0</v>
      </c>
      <c r="DS140" s="216">
        <f t="shared" si="196"/>
        <v>0</v>
      </c>
      <c r="DT140" s="216">
        <f t="shared" si="196"/>
        <v>0</v>
      </c>
      <c r="DU140" s="216">
        <f t="shared" si="196"/>
        <v>0</v>
      </c>
      <c r="DV140" s="216">
        <f t="shared" si="196"/>
        <v>0</v>
      </c>
      <c r="DW140" s="216">
        <f t="shared" si="196"/>
        <v>0</v>
      </c>
      <c r="DX140" s="216">
        <f t="shared" si="196"/>
        <v>0</v>
      </c>
      <c r="DY140" s="216">
        <f t="shared" si="196"/>
        <v>0</v>
      </c>
      <c r="DZ140" s="216">
        <f t="shared" si="196"/>
        <v>0</v>
      </c>
      <c r="EA140" s="216">
        <f t="shared" si="196"/>
        <v>0</v>
      </c>
      <c r="EB140" s="216">
        <f t="shared" si="196"/>
        <v>0</v>
      </c>
      <c r="EC140" s="216">
        <f t="shared" si="196"/>
        <v>0</v>
      </c>
      <c r="ED140" s="216">
        <f t="shared" si="196"/>
        <v>0</v>
      </c>
      <c r="EE140" s="216">
        <f t="shared" si="196"/>
        <v>0</v>
      </c>
      <c r="EF140" s="216">
        <f t="shared" si="196"/>
        <v>0</v>
      </c>
      <c r="EG140" s="216">
        <f t="shared" ref="EG140:FH140" si="197">IF(EG$6&lt;$E$35,EG139*$E$50/DATEDIF(EG$6,$E$35,"m"),0)</f>
        <v>0</v>
      </c>
      <c r="EH140" s="216">
        <f t="shared" si="197"/>
        <v>0</v>
      </c>
      <c r="EI140" s="216">
        <f t="shared" si="197"/>
        <v>0</v>
      </c>
      <c r="EJ140" s="216">
        <f t="shared" si="197"/>
        <v>0</v>
      </c>
      <c r="EK140" s="216">
        <f t="shared" si="197"/>
        <v>0</v>
      </c>
      <c r="EL140" s="216">
        <f t="shared" si="197"/>
        <v>0</v>
      </c>
      <c r="EM140" s="216">
        <f t="shared" si="197"/>
        <v>0</v>
      </c>
      <c r="EN140" s="216">
        <f t="shared" si="197"/>
        <v>0</v>
      </c>
      <c r="EO140" s="216">
        <f t="shared" si="197"/>
        <v>0</v>
      </c>
      <c r="EP140" s="216">
        <f t="shared" si="197"/>
        <v>0</v>
      </c>
      <c r="EQ140" s="216">
        <f t="shared" si="197"/>
        <v>0</v>
      </c>
      <c r="ER140" s="216">
        <f t="shared" si="197"/>
        <v>0</v>
      </c>
      <c r="ES140" s="216">
        <f t="shared" si="197"/>
        <v>0</v>
      </c>
      <c r="ET140" s="216">
        <f t="shared" si="197"/>
        <v>0</v>
      </c>
      <c r="EU140" s="216">
        <f t="shared" si="197"/>
        <v>0</v>
      </c>
      <c r="EV140" s="216">
        <f t="shared" si="197"/>
        <v>0</v>
      </c>
      <c r="EW140" s="216">
        <f t="shared" si="197"/>
        <v>0</v>
      </c>
      <c r="EX140" s="216">
        <f t="shared" si="197"/>
        <v>0</v>
      </c>
      <c r="EY140" s="216">
        <f t="shared" si="197"/>
        <v>0</v>
      </c>
      <c r="EZ140" s="216">
        <f t="shared" si="197"/>
        <v>0</v>
      </c>
      <c r="FA140" s="216">
        <f t="shared" si="197"/>
        <v>0</v>
      </c>
      <c r="FB140" s="216">
        <f t="shared" si="197"/>
        <v>0</v>
      </c>
      <c r="FC140" s="216">
        <f t="shared" si="197"/>
        <v>0</v>
      </c>
      <c r="FD140" s="216">
        <f t="shared" si="197"/>
        <v>0</v>
      </c>
      <c r="FE140" s="216">
        <f t="shared" si="197"/>
        <v>0</v>
      </c>
      <c r="FF140" s="216">
        <f t="shared" si="197"/>
        <v>0</v>
      </c>
      <c r="FG140" s="216">
        <f t="shared" si="197"/>
        <v>0</v>
      </c>
      <c r="FH140" s="216">
        <f t="shared" si="197"/>
        <v>0</v>
      </c>
    </row>
    <row r="141" spans="1:164" x14ac:dyDescent="0.2">
      <c r="A141" s="10"/>
      <c r="B141" s="10"/>
      <c r="C141" s="10" t="s">
        <v>749</v>
      </c>
      <c r="D141" s="10"/>
      <c r="E141" s="10"/>
      <c r="F141" s="10"/>
      <c r="G141" s="10"/>
      <c r="H141" s="12">
        <f t="shared" ref="H141:H149" si="198">SUM(I141:FH141)</f>
        <v>88518.719999999928</v>
      </c>
      <c r="I141" s="12">
        <f t="shared" ref="I141:AN141" si="199">I139*$E$49+IF(I$6&gt;=$E$35,I139*($E$50+$E$51),0)</f>
        <v>0</v>
      </c>
      <c r="J141" s="12">
        <f t="shared" si="199"/>
        <v>0</v>
      </c>
      <c r="K141" s="12">
        <f t="shared" si="199"/>
        <v>0</v>
      </c>
      <c r="L141" s="12">
        <f t="shared" si="199"/>
        <v>0</v>
      </c>
      <c r="M141" s="12">
        <f t="shared" si="199"/>
        <v>0</v>
      </c>
      <c r="N141" s="12">
        <f t="shared" si="199"/>
        <v>0</v>
      </c>
      <c r="O141" s="12">
        <f t="shared" si="199"/>
        <v>0</v>
      </c>
      <c r="P141" s="12">
        <f t="shared" si="199"/>
        <v>0</v>
      </c>
      <c r="Q141" s="12">
        <f t="shared" si="199"/>
        <v>0</v>
      </c>
      <c r="R141" s="12">
        <f t="shared" si="199"/>
        <v>0</v>
      </c>
      <c r="S141" s="12">
        <f t="shared" si="199"/>
        <v>0</v>
      </c>
      <c r="T141" s="12">
        <f t="shared" si="199"/>
        <v>0</v>
      </c>
      <c r="U141" s="12">
        <f t="shared" si="199"/>
        <v>0</v>
      </c>
      <c r="V141" s="12">
        <f t="shared" si="199"/>
        <v>0</v>
      </c>
      <c r="W141" s="12">
        <f t="shared" si="199"/>
        <v>0</v>
      </c>
      <c r="X141" s="12">
        <f t="shared" si="199"/>
        <v>0</v>
      </c>
      <c r="Y141" s="12">
        <f t="shared" si="199"/>
        <v>0</v>
      </c>
      <c r="Z141" s="12">
        <f t="shared" si="199"/>
        <v>0</v>
      </c>
      <c r="AA141" s="12">
        <f t="shared" si="199"/>
        <v>0</v>
      </c>
      <c r="AB141" s="12">
        <f t="shared" si="199"/>
        <v>0</v>
      </c>
      <c r="AC141" s="12">
        <f t="shared" si="199"/>
        <v>0</v>
      </c>
      <c r="AD141" s="12">
        <f t="shared" si="199"/>
        <v>0</v>
      </c>
      <c r="AE141" s="12">
        <f t="shared" si="199"/>
        <v>0</v>
      </c>
      <c r="AF141" s="12">
        <f t="shared" si="199"/>
        <v>0</v>
      </c>
      <c r="AG141" s="12">
        <f t="shared" si="199"/>
        <v>0</v>
      </c>
      <c r="AH141" s="12">
        <f t="shared" si="199"/>
        <v>0</v>
      </c>
      <c r="AI141" s="12">
        <f t="shared" si="199"/>
        <v>0</v>
      </c>
      <c r="AJ141" s="12">
        <f t="shared" si="199"/>
        <v>0</v>
      </c>
      <c r="AK141" s="12">
        <f t="shared" si="199"/>
        <v>0</v>
      </c>
      <c r="AL141" s="12">
        <f t="shared" si="199"/>
        <v>0</v>
      </c>
      <c r="AM141" s="12">
        <f t="shared" si="199"/>
        <v>0</v>
      </c>
      <c r="AN141" s="12">
        <f t="shared" si="199"/>
        <v>0</v>
      </c>
      <c r="AO141" s="12">
        <f t="shared" ref="AO141:BT141" si="200">AO139*$E$49+IF(AO$6&gt;=$E$35,AO139*($E$50+$E$51),0)</f>
        <v>0</v>
      </c>
      <c r="AP141" s="12">
        <f t="shared" si="200"/>
        <v>0</v>
      </c>
      <c r="AQ141" s="12">
        <f t="shared" si="200"/>
        <v>0</v>
      </c>
      <c r="AR141" s="12">
        <f t="shared" si="200"/>
        <v>0</v>
      </c>
      <c r="AS141" s="12">
        <f t="shared" si="200"/>
        <v>4658.8799999999992</v>
      </c>
      <c r="AT141" s="12">
        <f t="shared" si="200"/>
        <v>4658.8799999999992</v>
      </c>
      <c r="AU141" s="12">
        <f t="shared" si="200"/>
        <v>4658.8799999999992</v>
      </c>
      <c r="AV141" s="12">
        <f t="shared" si="200"/>
        <v>4658.8799999999992</v>
      </c>
      <c r="AW141" s="12">
        <f t="shared" si="200"/>
        <v>4658.8799999999992</v>
      </c>
      <c r="AX141" s="12">
        <f t="shared" si="200"/>
        <v>4658.8799999999992</v>
      </c>
      <c r="AY141" s="12">
        <f t="shared" si="200"/>
        <v>931.77599999999984</v>
      </c>
      <c r="AZ141" s="12">
        <f t="shared" si="200"/>
        <v>931.77599999999984</v>
      </c>
      <c r="BA141" s="12">
        <f t="shared" si="200"/>
        <v>931.77599999999984</v>
      </c>
      <c r="BB141" s="12">
        <f t="shared" si="200"/>
        <v>931.77599999999984</v>
      </c>
      <c r="BC141" s="12">
        <f t="shared" si="200"/>
        <v>931.77599999999984</v>
      </c>
      <c r="BD141" s="12">
        <f t="shared" si="200"/>
        <v>931.77599999999984</v>
      </c>
      <c r="BE141" s="12">
        <f t="shared" si="200"/>
        <v>931.77599999999984</v>
      </c>
      <c r="BF141" s="12">
        <f t="shared" si="200"/>
        <v>931.77599999999984</v>
      </c>
      <c r="BG141" s="12">
        <f t="shared" si="200"/>
        <v>931.77599999999984</v>
      </c>
      <c r="BH141" s="12">
        <f t="shared" si="200"/>
        <v>931.77599999999984</v>
      </c>
      <c r="BI141" s="12">
        <f t="shared" si="200"/>
        <v>931.77599999999984</v>
      </c>
      <c r="BJ141" s="12">
        <f t="shared" si="200"/>
        <v>931.77599999999984</v>
      </c>
      <c r="BK141" s="12">
        <f t="shared" si="200"/>
        <v>931.77599999999984</v>
      </c>
      <c r="BL141" s="12">
        <f t="shared" si="200"/>
        <v>931.77599999999984</v>
      </c>
      <c r="BM141" s="12">
        <f t="shared" si="200"/>
        <v>931.77599999999984</v>
      </c>
      <c r="BN141" s="12">
        <f t="shared" si="200"/>
        <v>931.77599999999984</v>
      </c>
      <c r="BO141" s="12">
        <f t="shared" si="200"/>
        <v>931.77599999999984</v>
      </c>
      <c r="BP141" s="12">
        <f t="shared" si="200"/>
        <v>931.77599999999984</v>
      </c>
      <c r="BQ141" s="12">
        <f t="shared" si="200"/>
        <v>931.77599999999984</v>
      </c>
      <c r="BR141" s="12">
        <f t="shared" si="200"/>
        <v>931.77599999999984</v>
      </c>
      <c r="BS141" s="12">
        <f t="shared" si="200"/>
        <v>931.77599999999984</v>
      </c>
      <c r="BT141" s="12">
        <f t="shared" si="200"/>
        <v>931.77599999999984</v>
      </c>
      <c r="BU141" s="12">
        <f t="shared" ref="BU141:CZ141" si="201">BU139*$E$49+IF(BU$6&gt;=$E$35,BU139*($E$50+$E$51),0)</f>
        <v>931.77599999999984</v>
      </c>
      <c r="BV141" s="12">
        <f t="shared" si="201"/>
        <v>931.77599999999984</v>
      </c>
      <c r="BW141" s="12">
        <f t="shared" si="201"/>
        <v>931.77599999999984</v>
      </c>
      <c r="BX141" s="12">
        <f t="shared" si="201"/>
        <v>931.77599999999984</v>
      </c>
      <c r="BY141" s="12">
        <f t="shared" si="201"/>
        <v>931.77599999999984</v>
      </c>
      <c r="BZ141" s="12">
        <f t="shared" si="201"/>
        <v>931.77599999999984</v>
      </c>
      <c r="CA141" s="12">
        <f t="shared" si="201"/>
        <v>931.77599999999984</v>
      </c>
      <c r="CB141" s="12">
        <f t="shared" si="201"/>
        <v>931.77599999999984</v>
      </c>
      <c r="CC141" s="12">
        <f t="shared" si="201"/>
        <v>0</v>
      </c>
      <c r="CD141" s="12">
        <f t="shared" si="201"/>
        <v>3261.2159999999994</v>
      </c>
      <c r="CE141" s="12">
        <f t="shared" si="201"/>
        <v>3261.2159999999994</v>
      </c>
      <c r="CF141" s="12">
        <f t="shared" si="201"/>
        <v>3261.2159999999994</v>
      </c>
      <c r="CG141" s="12">
        <f t="shared" si="201"/>
        <v>3261.2159999999994</v>
      </c>
      <c r="CH141" s="12">
        <f t="shared" si="201"/>
        <v>3261.2159999999994</v>
      </c>
      <c r="CI141" s="12">
        <f t="shared" si="201"/>
        <v>3261.2159999999994</v>
      </c>
      <c r="CJ141" s="12">
        <f t="shared" si="201"/>
        <v>3261.2159999999994</v>
      </c>
      <c r="CK141" s="12">
        <f t="shared" si="201"/>
        <v>3261.2159999999994</v>
      </c>
      <c r="CL141" s="12">
        <f t="shared" si="201"/>
        <v>3261.2159999999994</v>
      </c>
      <c r="CM141" s="12">
        <f t="shared" si="201"/>
        <v>3261.2159999999994</v>
      </c>
      <c r="CN141" s="12">
        <f t="shared" si="201"/>
        <v>0</v>
      </c>
      <c r="CO141" s="12">
        <f t="shared" si="201"/>
        <v>0</v>
      </c>
      <c r="CP141" s="12">
        <f t="shared" si="201"/>
        <v>0</v>
      </c>
      <c r="CQ141" s="12">
        <f t="shared" si="201"/>
        <v>0</v>
      </c>
      <c r="CR141" s="12">
        <f t="shared" si="201"/>
        <v>0</v>
      </c>
      <c r="CS141" s="12">
        <f t="shared" si="201"/>
        <v>0</v>
      </c>
      <c r="CT141" s="12">
        <f t="shared" si="201"/>
        <v>0</v>
      </c>
      <c r="CU141" s="12">
        <f t="shared" si="201"/>
        <v>0</v>
      </c>
      <c r="CV141" s="12">
        <f t="shared" si="201"/>
        <v>0</v>
      </c>
      <c r="CW141" s="12">
        <f t="shared" si="201"/>
        <v>0</v>
      </c>
      <c r="CX141" s="12">
        <f t="shared" si="201"/>
        <v>0</v>
      </c>
      <c r="CY141" s="12">
        <f t="shared" si="201"/>
        <v>0</v>
      </c>
      <c r="CZ141" s="12">
        <f t="shared" si="201"/>
        <v>0</v>
      </c>
      <c r="DA141" s="12">
        <f t="shared" ref="DA141:EF141" si="202">DA139*$E$49+IF(DA$6&gt;=$E$35,DA139*($E$50+$E$51),0)</f>
        <v>0</v>
      </c>
      <c r="DB141" s="12">
        <f t="shared" si="202"/>
        <v>0</v>
      </c>
      <c r="DC141" s="12">
        <f t="shared" si="202"/>
        <v>0</v>
      </c>
      <c r="DD141" s="12">
        <f t="shared" si="202"/>
        <v>0</v>
      </c>
      <c r="DE141" s="12">
        <f t="shared" si="202"/>
        <v>0</v>
      </c>
      <c r="DF141" s="12">
        <f t="shared" si="202"/>
        <v>0</v>
      </c>
      <c r="DG141" s="12">
        <f t="shared" si="202"/>
        <v>0</v>
      </c>
      <c r="DH141" s="12">
        <f t="shared" si="202"/>
        <v>0</v>
      </c>
      <c r="DI141" s="12">
        <f t="shared" si="202"/>
        <v>0</v>
      </c>
      <c r="DJ141" s="12">
        <f t="shared" si="202"/>
        <v>0</v>
      </c>
      <c r="DK141" s="12">
        <f t="shared" si="202"/>
        <v>0</v>
      </c>
      <c r="DL141" s="12">
        <f t="shared" si="202"/>
        <v>0</v>
      </c>
      <c r="DM141" s="12">
        <f t="shared" si="202"/>
        <v>0</v>
      </c>
      <c r="DN141" s="12">
        <f t="shared" si="202"/>
        <v>0</v>
      </c>
      <c r="DO141" s="12">
        <f t="shared" si="202"/>
        <v>0</v>
      </c>
      <c r="DP141" s="12">
        <f t="shared" si="202"/>
        <v>0</v>
      </c>
      <c r="DQ141" s="12">
        <f t="shared" si="202"/>
        <v>0</v>
      </c>
      <c r="DR141" s="12">
        <f t="shared" si="202"/>
        <v>0</v>
      </c>
      <c r="DS141" s="12">
        <f t="shared" si="202"/>
        <v>0</v>
      </c>
      <c r="DT141" s="12">
        <f t="shared" si="202"/>
        <v>0</v>
      </c>
      <c r="DU141" s="12">
        <f t="shared" si="202"/>
        <v>0</v>
      </c>
      <c r="DV141" s="12">
        <f t="shared" si="202"/>
        <v>0</v>
      </c>
      <c r="DW141" s="12">
        <f t="shared" si="202"/>
        <v>0</v>
      </c>
      <c r="DX141" s="12">
        <f t="shared" si="202"/>
        <v>0</v>
      </c>
      <c r="DY141" s="12">
        <f t="shared" si="202"/>
        <v>0</v>
      </c>
      <c r="DZ141" s="12">
        <f t="shared" si="202"/>
        <v>0</v>
      </c>
      <c r="EA141" s="12">
        <f t="shared" si="202"/>
        <v>0</v>
      </c>
      <c r="EB141" s="12">
        <f t="shared" si="202"/>
        <v>0</v>
      </c>
      <c r="EC141" s="12">
        <f t="shared" si="202"/>
        <v>0</v>
      </c>
      <c r="ED141" s="12">
        <f t="shared" si="202"/>
        <v>0</v>
      </c>
      <c r="EE141" s="12">
        <f t="shared" si="202"/>
        <v>0</v>
      </c>
      <c r="EF141" s="12">
        <f t="shared" si="202"/>
        <v>0</v>
      </c>
      <c r="EG141" s="12">
        <f t="shared" ref="EG141:FH141" si="203">EG139*$E$49+IF(EG$6&gt;=$E$35,EG139*($E$50+$E$51),0)</f>
        <v>0</v>
      </c>
      <c r="EH141" s="12">
        <f t="shared" si="203"/>
        <v>0</v>
      </c>
      <c r="EI141" s="12">
        <f t="shared" si="203"/>
        <v>0</v>
      </c>
      <c r="EJ141" s="12">
        <f t="shared" si="203"/>
        <v>0</v>
      </c>
      <c r="EK141" s="12">
        <f t="shared" si="203"/>
        <v>0</v>
      </c>
      <c r="EL141" s="12">
        <f t="shared" si="203"/>
        <v>0</v>
      </c>
      <c r="EM141" s="12">
        <f t="shared" si="203"/>
        <v>0</v>
      </c>
      <c r="EN141" s="12">
        <f t="shared" si="203"/>
        <v>0</v>
      </c>
      <c r="EO141" s="12">
        <f t="shared" si="203"/>
        <v>0</v>
      </c>
      <c r="EP141" s="12">
        <f t="shared" si="203"/>
        <v>0</v>
      </c>
      <c r="EQ141" s="12">
        <f t="shared" si="203"/>
        <v>0</v>
      </c>
      <c r="ER141" s="12">
        <f t="shared" si="203"/>
        <v>0</v>
      </c>
      <c r="ES141" s="12">
        <f t="shared" si="203"/>
        <v>0</v>
      </c>
      <c r="ET141" s="12">
        <f t="shared" si="203"/>
        <v>0</v>
      </c>
      <c r="EU141" s="12">
        <f t="shared" si="203"/>
        <v>0</v>
      </c>
      <c r="EV141" s="12">
        <f t="shared" si="203"/>
        <v>0</v>
      </c>
      <c r="EW141" s="12">
        <f t="shared" si="203"/>
        <v>0</v>
      </c>
      <c r="EX141" s="12">
        <f t="shared" si="203"/>
        <v>0</v>
      </c>
      <c r="EY141" s="12">
        <f t="shared" si="203"/>
        <v>0</v>
      </c>
      <c r="EZ141" s="12">
        <f t="shared" si="203"/>
        <v>0</v>
      </c>
      <c r="FA141" s="12">
        <f t="shared" si="203"/>
        <v>0</v>
      </c>
      <c r="FB141" s="12">
        <f t="shared" si="203"/>
        <v>0</v>
      </c>
      <c r="FC141" s="12">
        <f t="shared" si="203"/>
        <v>0</v>
      </c>
      <c r="FD141" s="12">
        <f t="shared" si="203"/>
        <v>0</v>
      </c>
      <c r="FE141" s="12">
        <f t="shared" si="203"/>
        <v>0</v>
      </c>
      <c r="FF141" s="12">
        <f t="shared" si="203"/>
        <v>0</v>
      </c>
      <c r="FG141" s="12">
        <f t="shared" si="203"/>
        <v>0</v>
      </c>
      <c r="FH141" s="12">
        <f t="shared" si="203"/>
        <v>0</v>
      </c>
    </row>
    <row r="142" spans="1:164" x14ac:dyDescent="0.2">
      <c r="A142" s="10"/>
      <c r="B142" s="10"/>
      <c r="C142" s="10" t="s">
        <v>750</v>
      </c>
      <c r="D142" s="10"/>
      <c r="E142" s="10"/>
      <c r="F142" s="10"/>
      <c r="G142" s="10"/>
      <c r="H142" s="12">
        <f t="shared" si="198"/>
        <v>55906.559999999983</v>
      </c>
      <c r="I142" s="12">
        <f>IF(I$6&lt;$E$35,SUM($I140:I140),0)</f>
        <v>0</v>
      </c>
      <c r="J142" s="12">
        <f>IF(J$6&lt;$E$35,SUM($I140:J140),0)</f>
        <v>0</v>
      </c>
      <c r="K142" s="12">
        <f>IF(K$6&lt;$E$35,SUM($I140:K140),0)</f>
        <v>0</v>
      </c>
      <c r="L142" s="12">
        <f>IF(L$6&lt;$E$35,SUM($I140:L140),0)</f>
        <v>0</v>
      </c>
      <c r="M142" s="12">
        <f>IF(M$6&lt;$E$35,SUM($I140:M140),0)</f>
        <v>0</v>
      </c>
      <c r="N142" s="12">
        <f>IF(N$6&lt;$E$35,SUM($I140:N140),0)</f>
        <v>0</v>
      </c>
      <c r="O142" s="12">
        <f>IF(O$6&lt;$E$35,SUM($I140:O140),0)</f>
        <v>0</v>
      </c>
      <c r="P142" s="12">
        <f>IF(P$6&lt;$E$35,SUM($I140:P140),0)</f>
        <v>0</v>
      </c>
      <c r="Q142" s="12">
        <f>IF(Q$6&lt;$E$35,SUM($I140:Q140),0)</f>
        <v>0</v>
      </c>
      <c r="R142" s="12">
        <f>IF(R$6&lt;$E$35,SUM($I140:R140),0)</f>
        <v>0</v>
      </c>
      <c r="S142" s="12">
        <f>IF(S$6&lt;$E$35,SUM($I140:S140),0)</f>
        <v>0</v>
      </c>
      <c r="T142" s="12">
        <f>IF(T$6&lt;$E$35,SUM($I140:T140),0)</f>
        <v>0</v>
      </c>
      <c r="U142" s="12">
        <f>IF(U$6&lt;$E$35,SUM($I140:U140),0)</f>
        <v>0</v>
      </c>
      <c r="V142" s="12">
        <f>IF(V$6&lt;$E$35,SUM($I140:V140),0)</f>
        <v>0</v>
      </c>
      <c r="W142" s="12">
        <f>IF(W$6&lt;$E$35,SUM($I140:W140),0)</f>
        <v>0</v>
      </c>
      <c r="X142" s="12">
        <f>IF(X$6&lt;$E$35,SUM($I140:X140),0)</f>
        <v>0</v>
      </c>
      <c r="Y142" s="12">
        <f>IF(Y$6&lt;$E$35,SUM($I140:Y140),0)</f>
        <v>0</v>
      </c>
      <c r="Z142" s="12">
        <f>IF(Z$6&lt;$E$35,SUM($I140:Z140),0)</f>
        <v>0</v>
      </c>
      <c r="AA142" s="12">
        <f>IF(AA$6&lt;$E$35,SUM($I140:AA140),0)</f>
        <v>0</v>
      </c>
      <c r="AB142" s="12">
        <f>IF(AB$6&lt;$E$35,SUM($I140:AB140),0)</f>
        <v>0</v>
      </c>
      <c r="AC142" s="12">
        <f>IF(AC$6&lt;$E$35,SUM($I140:AC140),0)</f>
        <v>0</v>
      </c>
      <c r="AD142" s="12">
        <f>IF(AD$6&lt;$E$35,SUM($I140:AD140),0)</f>
        <v>0</v>
      </c>
      <c r="AE142" s="12">
        <f>IF(AE$6&lt;$E$35,SUM($I140:AE140),0)</f>
        <v>0</v>
      </c>
      <c r="AF142" s="12">
        <f>IF(AF$6&lt;$E$35,SUM($I140:AF140),0)</f>
        <v>0</v>
      </c>
      <c r="AG142" s="12">
        <f>IF(AG$6&lt;$E$35,SUM($I140:AG140),0)</f>
        <v>0</v>
      </c>
      <c r="AH142" s="12">
        <f>IF(AH$6&lt;$E$35,SUM($I140:AH140),0)</f>
        <v>0</v>
      </c>
      <c r="AI142" s="12">
        <f>IF(AI$6&lt;$E$35,SUM($I140:AI140),0)</f>
        <v>0</v>
      </c>
      <c r="AJ142" s="12">
        <f>IF(AJ$6&lt;$E$35,SUM($I140:AJ140),0)</f>
        <v>0</v>
      </c>
      <c r="AK142" s="12">
        <f>IF(AK$6&lt;$E$35,SUM($I140:AK140),0)</f>
        <v>0</v>
      </c>
      <c r="AL142" s="12">
        <f>IF(AL$6&lt;$E$35,SUM($I140:AL140),0)</f>
        <v>0</v>
      </c>
      <c r="AM142" s="12">
        <f>IF(AM$6&lt;$E$35,SUM($I140:AM140),0)</f>
        <v>0</v>
      </c>
      <c r="AN142" s="12">
        <f>IF(AN$6&lt;$E$35,SUM($I140:AN140),0)</f>
        <v>0</v>
      </c>
      <c r="AO142" s="12">
        <f>IF(AO$6&lt;$E$35,SUM($I140:AO140),0)</f>
        <v>0</v>
      </c>
      <c r="AP142" s="12">
        <f>IF(AP$6&lt;$E$35,SUM($I140:AP140),0)</f>
        <v>0</v>
      </c>
      <c r="AQ142" s="12">
        <f>IF(AQ$6&lt;$E$35,SUM($I140:AQ140),0)</f>
        <v>0</v>
      </c>
      <c r="AR142" s="12">
        <f>IF(AR$6&lt;$E$35,SUM($I140:AR140),0)</f>
        <v>0</v>
      </c>
      <c r="AS142" s="12">
        <f>IF(AS$6&lt;$E$35,SUM($I140:AS140),0)</f>
        <v>129.4133333333333</v>
      </c>
      <c r="AT142" s="12">
        <f>IF(AT$6&lt;$E$35,SUM($I140:AT140),0)</f>
        <v>262.52419047619043</v>
      </c>
      <c r="AU142" s="12">
        <f>IF(AU$6&lt;$E$35,SUM($I140:AU140),0)</f>
        <v>399.55007282913158</v>
      </c>
      <c r="AV142" s="12">
        <f>IF(AV$6&lt;$E$35,SUM($I140:AV140),0)</f>
        <v>540.72825464731341</v>
      </c>
      <c r="AW142" s="12">
        <f>IF(AW$6&lt;$E$35,SUM($I140:AW140),0)</f>
        <v>686.31825464731332</v>
      </c>
      <c r="AX142" s="12">
        <f>IF(AX$6&lt;$E$35,SUM($I140:AX140),0)</f>
        <v>836.60470626021652</v>
      </c>
      <c r="AY142" s="12">
        <f>IF(AY$6&lt;$E$35,SUM($I140:AY140),0)</f>
        <v>867.66390626021655</v>
      </c>
      <c r="AZ142" s="12">
        <f>IF(AZ$6&lt;$E$35,SUM($I140:AZ140),0)</f>
        <v>899.79411315676828</v>
      </c>
      <c r="BA142" s="12">
        <f>IF(BA$6&lt;$E$35,SUM($I140:BA140),0)</f>
        <v>933.07182744248257</v>
      </c>
      <c r="BB142" s="12">
        <f>IF(BB$6&lt;$E$35,SUM($I140:BB140),0)</f>
        <v>967.58204966470475</v>
      </c>
      <c r="BC142" s="12">
        <f>IF(BC$6&lt;$E$35,SUM($I140:BC140),0)</f>
        <v>1003.4195881262432</v>
      </c>
      <c r="BD142" s="12">
        <f>IF(BD$6&lt;$E$35,SUM($I140:BD140),0)</f>
        <v>1040.6906281262432</v>
      </c>
      <c r="BE142" s="12">
        <f>IF(BE$6&lt;$E$35,SUM($I140:BE140),0)</f>
        <v>1079.5146281262432</v>
      </c>
      <c r="BF142" s="12">
        <f>IF(BF$6&lt;$E$35,SUM($I140:BF140),0)</f>
        <v>1120.0266281262432</v>
      </c>
      <c r="BG142" s="12">
        <f>IF(BG$6&lt;$E$35,SUM($I140:BG140),0)</f>
        <v>1162.3800826716977</v>
      </c>
      <c r="BH142" s="12">
        <f>IF(BH$6&lt;$E$35,SUM($I140:BH140),0)</f>
        <v>1206.7503683859834</v>
      </c>
      <c r="BI142" s="12">
        <f>IF(BI$6&lt;$E$35,SUM($I140:BI140),0)</f>
        <v>1253.3391683859834</v>
      </c>
      <c r="BJ142" s="12">
        <f>IF(BJ$6&lt;$E$35,SUM($I140:BJ140),0)</f>
        <v>1302.3800104912466</v>
      </c>
      <c r="BK142" s="12">
        <f>IF(BK$6&lt;$E$35,SUM($I140:BK140),0)</f>
        <v>1354.1453438245799</v>
      </c>
      <c r="BL142" s="12">
        <f>IF(BL$6&lt;$E$35,SUM($I140:BL140),0)</f>
        <v>1408.9556967657563</v>
      </c>
      <c r="BM142" s="12">
        <f>IF(BM$6&lt;$E$35,SUM($I140:BM140),0)</f>
        <v>1467.1916967657562</v>
      </c>
      <c r="BN142" s="12">
        <f>IF(BN$6&lt;$E$35,SUM($I140:BN140),0)</f>
        <v>1529.3100967657563</v>
      </c>
      <c r="BO142" s="12">
        <f>IF(BO$6&lt;$E$35,SUM($I140:BO140),0)</f>
        <v>1595.8655253371849</v>
      </c>
      <c r="BP142" s="12">
        <f>IF(BP$6&lt;$E$35,SUM($I140:BP140),0)</f>
        <v>1667.5406022602617</v>
      </c>
      <c r="BQ142" s="12">
        <f>IF(BQ$6&lt;$E$35,SUM($I140:BQ140),0)</f>
        <v>1745.1886022602616</v>
      </c>
      <c r="BR142" s="12">
        <f>IF(BR$6&lt;$E$35,SUM($I140:BR140),0)</f>
        <v>1829.8955113511706</v>
      </c>
      <c r="BS142" s="12">
        <f>IF(BS$6&lt;$E$35,SUM($I140:BS140),0)</f>
        <v>1923.0731113511706</v>
      </c>
      <c r="BT142" s="12">
        <f>IF(BT$6&lt;$E$35,SUM($I140:BT140),0)</f>
        <v>2026.6037780178372</v>
      </c>
      <c r="BU142" s="12">
        <f>IF(BU$6&lt;$E$35,SUM($I140:BU140),0)</f>
        <v>2143.0757780178374</v>
      </c>
      <c r="BV142" s="12">
        <f>IF(BV$6&lt;$E$35,SUM($I140:BV140),0)</f>
        <v>2276.1866351606945</v>
      </c>
      <c r="BW142" s="12">
        <f>IF(BW$6&lt;$E$35,SUM($I140:BW140),0)</f>
        <v>2431.4826351606944</v>
      </c>
      <c r="BX142" s="12">
        <f>IF(BX$6&lt;$E$35,SUM($I140:BX140),0)</f>
        <v>2617.8378351606943</v>
      </c>
      <c r="BY142" s="12">
        <f>IF(BY$6&lt;$E$35,SUM($I140:BY140),0)</f>
        <v>2850.7818351606943</v>
      </c>
      <c r="BZ142" s="12">
        <f>IF(BZ$6&lt;$E$35,SUM($I140:BZ140),0)</f>
        <v>3161.3738351606944</v>
      </c>
      <c r="CA142" s="12">
        <f>IF(CA$6&lt;$E$35,SUM($I140:CA140),0)</f>
        <v>3627.2618351606943</v>
      </c>
      <c r="CB142" s="12">
        <f>IF(CB$6&lt;$E$35,SUM($I140:CB140),0)</f>
        <v>4559.0378351606942</v>
      </c>
      <c r="CC142" s="12">
        <f>IF(CC$6&lt;$E$35,SUM($I140:CC140),0)</f>
        <v>0</v>
      </c>
      <c r="CD142" s="12">
        <f>IF(CD$6&lt;$E$35,SUM($I140:CD140),0)</f>
        <v>0</v>
      </c>
      <c r="CE142" s="12">
        <f>IF(CE$6&lt;$E$35,SUM($I140:CE140),0)</f>
        <v>0</v>
      </c>
      <c r="CF142" s="12">
        <f>IF(CF$6&lt;$E$35,SUM($I140:CF140),0)</f>
        <v>0</v>
      </c>
      <c r="CG142" s="12">
        <f>IF(CG$6&lt;$E$35,SUM($I140:CG140),0)</f>
        <v>0</v>
      </c>
      <c r="CH142" s="12">
        <f>IF(CH$6&lt;$E$35,SUM($I140:CH140),0)</f>
        <v>0</v>
      </c>
      <c r="CI142" s="12">
        <f>IF(CI$6&lt;$E$35,SUM($I140:CI140),0)</f>
        <v>0</v>
      </c>
      <c r="CJ142" s="12">
        <f>IF(CJ$6&lt;$E$35,SUM($I140:CJ140),0)</f>
        <v>0</v>
      </c>
      <c r="CK142" s="12">
        <f>IF(CK$6&lt;$E$35,SUM($I140:CK140),0)</f>
        <v>0</v>
      </c>
      <c r="CL142" s="12">
        <f>IF(CL$6&lt;$E$35,SUM($I140:CL140),0)</f>
        <v>0</v>
      </c>
      <c r="CM142" s="12">
        <f>IF(CM$6&lt;$E$35,SUM($I140:CM140),0)</f>
        <v>0</v>
      </c>
      <c r="CN142" s="12">
        <f>IF(CN$6&lt;$E$35,SUM($I140:CN140),0)</f>
        <v>0</v>
      </c>
      <c r="CO142" s="12">
        <f>IF(CO$6&lt;$E$35,SUM($I140:CO140),0)</f>
        <v>0</v>
      </c>
      <c r="CP142" s="12">
        <f>IF(CP$6&lt;$E$35,SUM($I140:CP140),0)</f>
        <v>0</v>
      </c>
      <c r="CQ142" s="12">
        <f>IF(CQ$6&lt;$E$35,SUM($I140:CQ140),0)</f>
        <v>0</v>
      </c>
      <c r="CR142" s="12">
        <f>IF(CR$6&lt;$E$35,SUM($I140:CR140),0)</f>
        <v>0</v>
      </c>
      <c r="CS142" s="12">
        <f>IF(CS$6&lt;$E$35,SUM($I140:CS140),0)</f>
        <v>0</v>
      </c>
      <c r="CT142" s="12">
        <f>IF(CT$6&lt;$E$35,SUM($I140:CT140),0)</f>
        <v>0</v>
      </c>
      <c r="CU142" s="12">
        <f>IF(CU$6&lt;$E$35,SUM($I140:CU140),0)</f>
        <v>0</v>
      </c>
      <c r="CV142" s="12">
        <f>IF(CV$6&lt;$E$35,SUM($I140:CV140),0)</f>
        <v>0</v>
      </c>
      <c r="CW142" s="12">
        <f>IF(CW$6&lt;$E$35,SUM($I140:CW140),0)</f>
        <v>0</v>
      </c>
      <c r="CX142" s="12">
        <f>IF(CX$6&lt;$E$35,SUM($I140:CX140),0)</f>
        <v>0</v>
      </c>
      <c r="CY142" s="12">
        <f>IF(CY$6&lt;$E$35,SUM($I140:CY140),0)</f>
        <v>0</v>
      </c>
      <c r="CZ142" s="12">
        <f>IF(CZ$6&lt;$E$35,SUM($I140:CZ140),0)</f>
        <v>0</v>
      </c>
      <c r="DA142" s="12">
        <f>IF(DA$6&lt;$E$35,SUM($I140:DA140),0)</f>
        <v>0</v>
      </c>
      <c r="DB142" s="12">
        <f>IF(DB$6&lt;$E$35,SUM($I140:DB140),0)</f>
        <v>0</v>
      </c>
      <c r="DC142" s="12">
        <f>IF(DC$6&lt;$E$35,SUM($I140:DC140),0)</f>
        <v>0</v>
      </c>
      <c r="DD142" s="12">
        <f>IF(DD$6&lt;$E$35,SUM($I140:DD140),0)</f>
        <v>0</v>
      </c>
      <c r="DE142" s="12">
        <f>IF(DE$6&lt;$E$35,SUM($I140:DE140),0)</f>
        <v>0</v>
      </c>
      <c r="DF142" s="12">
        <f>IF(DF$6&lt;$E$35,SUM($I140:DF140),0)</f>
        <v>0</v>
      </c>
      <c r="DG142" s="12">
        <f>IF(DG$6&lt;$E$35,SUM($I140:DG140),0)</f>
        <v>0</v>
      </c>
      <c r="DH142" s="12">
        <f>IF(DH$6&lt;$E$35,SUM($I140:DH140),0)</f>
        <v>0</v>
      </c>
      <c r="DI142" s="12">
        <f>IF(DI$6&lt;$E$35,SUM($I140:DI140),0)</f>
        <v>0</v>
      </c>
      <c r="DJ142" s="12">
        <f>IF(DJ$6&lt;$E$35,SUM($I140:DJ140),0)</f>
        <v>0</v>
      </c>
      <c r="DK142" s="12">
        <f>IF(DK$6&lt;$E$35,SUM($I140:DK140),0)</f>
        <v>0</v>
      </c>
      <c r="DL142" s="12">
        <f>IF(DL$6&lt;$E$35,SUM($I140:DL140),0)</f>
        <v>0</v>
      </c>
      <c r="DM142" s="12">
        <f>IF(DM$6&lt;$E$35,SUM($I140:DM140),0)</f>
        <v>0</v>
      </c>
      <c r="DN142" s="12">
        <f>IF(DN$6&lt;$E$35,SUM($I140:DN140),0)</f>
        <v>0</v>
      </c>
      <c r="DO142" s="12">
        <f>IF(DO$6&lt;$E$35,SUM($I140:DO140),0)</f>
        <v>0</v>
      </c>
      <c r="DP142" s="12">
        <f>IF(DP$6&lt;$E$35,SUM($I140:DP140),0)</f>
        <v>0</v>
      </c>
      <c r="DQ142" s="12">
        <f>IF(DQ$6&lt;$E$35,SUM($I140:DQ140),0)</f>
        <v>0</v>
      </c>
      <c r="DR142" s="12">
        <f>IF(DR$6&lt;$E$35,SUM($I140:DR140),0)</f>
        <v>0</v>
      </c>
      <c r="DS142" s="12">
        <f>IF(DS$6&lt;$E$35,SUM($I140:DS140),0)</f>
        <v>0</v>
      </c>
      <c r="DT142" s="12">
        <f>IF(DT$6&lt;$E$35,SUM($I140:DT140),0)</f>
        <v>0</v>
      </c>
      <c r="DU142" s="12">
        <f>IF(DU$6&lt;$E$35,SUM($I140:DU140),0)</f>
        <v>0</v>
      </c>
      <c r="DV142" s="12">
        <f>IF(DV$6&lt;$E$35,SUM($I140:DV140),0)</f>
        <v>0</v>
      </c>
      <c r="DW142" s="12">
        <f>IF(DW$6&lt;$E$35,SUM($I140:DW140),0)</f>
        <v>0</v>
      </c>
      <c r="DX142" s="12">
        <f>IF(DX$6&lt;$E$35,SUM($I140:DX140),0)</f>
        <v>0</v>
      </c>
      <c r="DY142" s="12">
        <f>IF(DY$6&lt;$E$35,SUM($I140:DY140),0)</f>
        <v>0</v>
      </c>
      <c r="DZ142" s="12">
        <f>IF(DZ$6&lt;$E$35,SUM($I140:DZ140),0)</f>
        <v>0</v>
      </c>
      <c r="EA142" s="12">
        <f>IF(EA$6&lt;$E$35,SUM($I140:EA140),0)</f>
        <v>0</v>
      </c>
      <c r="EB142" s="12">
        <f>IF(EB$6&lt;$E$35,SUM($I140:EB140),0)</f>
        <v>0</v>
      </c>
      <c r="EC142" s="12">
        <f>IF(EC$6&lt;$E$35,SUM($I140:EC140),0)</f>
        <v>0</v>
      </c>
      <c r="ED142" s="12">
        <f>IF(ED$6&lt;$E$35,SUM($I140:ED140),0)</f>
        <v>0</v>
      </c>
      <c r="EE142" s="12">
        <f>IF(EE$6&lt;$E$35,SUM($I140:EE140),0)</f>
        <v>0</v>
      </c>
      <c r="EF142" s="12">
        <f>IF(EF$6&lt;$E$35,SUM($I140:EF140),0)</f>
        <v>0</v>
      </c>
      <c r="EG142" s="12">
        <f>IF(EG$6&lt;$E$35,SUM($I140:EG140),0)</f>
        <v>0</v>
      </c>
      <c r="EH142" s="12">
        <f>IF(EH$6&lt;$E$35,SUM($I140:EH140),0)</f>
        <v>0</v>
      </c>
      <c r="EI142" s="12">
        <f>IF(EI$6&lt;$E$35,SUM($I140:EI140),0)</f>
        <v>0</v>
      </c>
      <c r="EJ142" s="12">
        <f>IF(EJ$6&lt;$E$35,SUM($I140:EJ140),0)</f>
        <v>0</v>
      </c>
      <c r="EK142" s="12">
        <f>IF(EK$6&lt;$E$35,SUM($I140:EK140),0)</f>
        <v>0</v>
      </c>
      <c r="EL142" s="12">
        <f>IF(EL$6&lt;$E$35,SUM($I140:EL140),0)</f>
        <v>0</v>
      </c>
      <c r="EM142" s="12">
        <f>IF(EM$6&lt;$E$35,SUM($I140:EM140),0)</f>
        <v>0</v>
      </c>
      <c r="EN142" s="12">
        <f>IF(EN$6&lt;$E$35,SUM($I140:EN140),0)</f>
        <v>0</v>
      </c>
      <c r="EO142" s="12">
        <f>IF(EO$6&lt;$E$35,SUM($I140:EO140),0)</f>
        <v>0</v>
      </c>
      <c r="EP142" s="12">
        <f>IF(EP$6&lt;$E$35,SUM($I140:EP140),0)</f>
        <v>0</v>
      </c>
      <c r="EQ142" s="12">
        <f>IF(EQ$6&lt;$E$35,SUM($I140:EQ140),0)</f>
        <v>0</v>
      </c>
      <c r="ER142" s="12">
        <f>IF(ER$6&lt;$E$35,SUM($I140:ER140),0)</f>
        <v>0</v>
      </c>
      <c r="ES142" s="12">
        <f>IF(ES$6&lt;$E$35,SUM($I140:ES140),0)</f>
        <v>0</v>
      </c>
      <c r="ET142" s="12">
        <f>IF(ET$6&lt;$E$35,SUM($I140:ET140),0)</f>
        <v>0</v>
      </c>
      <c r="EU142" s="12">
        <f>IF(EU$6&lt;$E$35,SUM($I140:EU140),0)</f>
        <v>0</v>
      </c>
      <c r="EV142" s="12">
        <f>IF(EV$6&lt;$E$35,SUM($I140:EV140),0)</f>
        <v>0</v>
      </c>
      <c r="EW142" s="12">
        <f>IF(EW$6&lt;$E$35,SUM($I140:EW140),0)</f>
        <v>0</v>
      </c>
      <c r="EX142" s="12">
        <f>IF(EX$6&lt;$E$35,SUM($I140:EX140),0)</f>
        <v>0</v>
      </c>
      <c r="EY142" s="12">
        <f>IF(EY$6&lt;$E$35,SUM($I140:EY140),0)</f>
        <v>0</v>
      </c>
      <c r="EZ142" s="12">
        <f>IF(EZ$6&lt;$E$35,SUM($I140:EZ140),0)</f>
        <v>0</v>
      </c>
      <c r="FA142" s="12">
        <f>IF(FA$6&lt;$E$35,SUM($I140:FA140),0)</f>
        <v>0</v>
      </c>
      <c r="FB142" s="12">
        <f>IF(FB$6&lt;$E$35,SUM($I140:FB140),0)</f>
        <v>0</v>
      </c>
      <c r="FC142" s="12">
        <f>IF(FC$6&lt;$E$35,SUM($I140:FC140),0)</f>
        <v>0</v>
      </c>
      <c r="FD142" s="12">
        <f>IF(FD$6&lt;$E$35,SUM($I140:FD140),0)</f>
        <v>0</v>
      </c>
      <c r="FE142" s="12">
        <f>IF(FE$6&lt;$E$35,SUM($I140:FE140),0)</f>
        <v>0</v>
      </c>
      <c r="FF142" s="12">
        <f>IF(FF$6&lt;$E$35,SUM($I140:FF140),0)</f>
        <v>0</v>
      </c>
      <c r="FG142" s="12">
        <f>IF(FG$6&lt;$E$35,SUM($I140:FG140),0)</f>
        <v>0</v>
      </c>
      <c r="FH142" s="12">
        <f>IF(FH$6&lt;$E$35,SUM($I140:FH140),0)</f>
        <v>0</v>
      </c>
    </row>
    <row r="143" spans="1:164" x14ac:dyDescent="0.2">
      <c r="A143" s="10"/>
      <c r="B143" s="10"/>
      <c r="C143" s="10" t="s">
        <v>709</v>
      </c>
      <c r="D143" s="10"/>
      <c r="E143" s="10"/>
      <c r="F143" s="10"/>
      <c r="G143" s="10"/>
      <c r="H143" s="12">
        <f t="shared" si="198"/>
        <v>18635.520000000022</v>
      </c>
      <c r="I143" s="12">
        <f t="shared" ref="I143:AN143" si="204">IF(I$6=$E$35,SUMIF($I$6:$FH$6,"&lt;"&amp;$E$35,$I$139:$FH$139)*$E$51,0)</f>
        <v>0</v>
      </c>
      <c r="J143" s="12">
        <f t="shared" si="204"/>
        <v>0</v>
      </c>
      <c r="K143" s="12">
        <f t="shared" si="204"/>
        <v>0</v>
      </c>
      <c r="L143" s="12">
        <f t="shared" si="204"/>
        <v>0</v>
      </c>
      <c r="M143" s="12">
        <f t="shared" si="204"/>
        <v>0</v>
      </c>
      <c r="N143" s="12">
        <f t="shared" si="204"/>
        <v>0</v>
      </c>
      <c r="O143" s="12">
        <f t="shared" si="204"/>
        <v>0</v>
      </c>
      <c r="P143" s="12">
        <f t="shared" si="204"/>
        <v>0</v>
      </c>
      <c r="Q143" s="12">
        <f t="shared" si="204"/>
        <v>0</v>
      </c>
      <c r="R143" s="12">
        <f t="shared" si="204"/>
        <v>0</v>
      </c>
      <c r="S143" s="12">
        <f t="shared" si="204"/>
        <v>0</v>
      </c>
      <c r="T143" s="12">
        <f t="shared" si="204"/>
        <v>0</v>
      </c>
      <c r="U143" s="12">
        <f t="shared" si="204"/>
        <v>0</v>
      </c>
      <c r="V143" s="12">
        <f t="shared" si="204"/>
        <v>0</v>
      </c>
      <c r="W143" s="12">
        <f t="shared" si="204"/>
        <v>0</v>
      </c>
      <c r="X143" s="12">
        <f t="shared" si="204"/>
        <v>0</v>
      </c>
      <c r="Y143" s="12">
        <f t="shared" si="204"/>
        <v>0</v>
      </c>
      <c r="Z143" s="12">
        <f t="shared" si="204"/>
        <v>0</v>
      </c>
      <c r="AA143" s="12">
        <f t="shared" si="204"/>
        <v>0</v>
      </c>
      <c r="AB143" s="12">
        <f t="shared" si="204"/>
        <v>0</v>
      </c>
      <c r="AC143" s="12">
        <f t="shared" si="204"/>
        <v>0</v>
      </c>
      <c r="AD143" s="12">
        <f t="shared" si="204"/>
        <v>0</v>
      </c>
      <c r="AE143" s="12">
        <f t="shared" si="204"/>
        <v>0</v>
      </c>
      <c r="AF143" s="12">
        <f t="shared" si="204"/>
        <v>0</v>
      </c>
      <c r="AG143" s="12">
        <f t="shared" si="204"/>
        <v>0</v>
      </c>
      <c r="AH143" s="12">
        <f t="shared" si="204"/>
        <v>0</v>
      </c>
      <c r="AI143" s="12">
        <f t="shared" si="204"/>
        <v>0</v>
      </c>
      <c r="AJ143" s="12">
        <f t="shared" si="204"/>
        <v>0</v>
      </c>
      <c r="AK143" s="12">
        <f t="shared" si="204"/>
        <v>0</v>
      </c>
      <c r="AL143" s="12">
        <f t="shared" si="204"/>
        <v>0</v>
      </c>
      <c r="AM143" s="12">
        <f t="shared" si="204"/>
        <v>0</v>
      </c>
      <c r="AN143" s="12">
        <f t="shared" si="204"/>
        <v>0</v>
      </c>
      <c r="AO143" s="12">
        <f t="shared" ref="AO143:BT143" si="205">IF(AO$6=$E$35,SUMIF($I$6:$FH$6,"&lt;"&amp;$E$35,$I$139:$FH$139)*$E$51,0)</f>
        <v>0</v>
      </c>
      <c r="AP143" s="12">
        <f t="shared" si="205"/>
        <v>0</v>
      </c>
      <c r="AQ143" s="12">
        <f t="shared" si="205"/>
        <v>0</v>
      </c>
      <c r="AR143" s="12">
        <f t="shared" si="205"/>
        <v>0</v>
      </c>
      <c r="AS143" s="12">
        <f t="shared" si="205"/>
        <v>0</v>
      </c>
      <c r="AT143" s="12">
        <f t="shared" si="205"/>
        <v>0</v>
      </c>
      <c r="AU143" s="12">
        <f t="shared" si="205"/>
        <v>0</v>
      </c>
      <c r="AV143" s="12">
        <f t="shared" si="205"/>
        <v>0</v>
      </c>
      <c r="AW143" s="12">
        <f t="shared" si="205"/>
        <v>0</v>
      </c>
      <c r="AX143" s="12">
        <f t="shared" si="205"/>
        <v>0</v>
      </c>
      <c r="AY143" s="12">
        <f t="shared" si="205"/>
        <v>0</v>
      </c>
      <c r="AZ143" s="12">
        <f t="shared" si="205"/>
        <v>0</v>
      </c>
      <c r="BA143" s="12">
        <f t="shared" si="205"/>
        <v>0</v>
      </c>
      <c r="BB143" s="12">
        <f t="shared" si="205"/>
        <v>0</v>
      </c>
      <c r="BC143" s="12">
        <f t="shared" si="205"/>
        <v>0</v>
      </c>
      <c r="BD143" s="12">
        <f t="shared" si="205"/>
        <v>0</v>
      </c>
      <c r="BE143" s="12">
        <f t="shared" si="205"/>
        <v>0</v>
      </c>
      <c r="BF143" s="12">
        <f t="shared" si="205"/>
        <v>0</v>
      </c>
      <c r="BG143" s="12">
        <f t="shared" si="205"/>
        <v>0</v>
      </c>
      <c r="BH143" s="12">
        <f t="shared" si="205"/>
        <v>0</v>
      </c>
      <c r="BI143" s="12">
        <f t="shared" si="205"/>
        <v>0</v>
      </c>
      <c r="BJ143" s="12">
        <f t="shared" si="205"/>
        <v>0</v>
      </c>
      <c r="BK143" s="12">
        <f t="shared" si="205"/>
        <v>0</v>
      </c>
      <c r="BL143" s="12">
        <f t="shared" si="205"/>
        <v>0</v>
      </c>
      <c r="BM143" s="12">
        <f t="shared" si="205"/>
        <v>0</v>
      </c>
      <c r="BN143" s="12">
        <f t="shared" si="205"/>
        <v>0</v>
      </c>
      <c r="BO143" s="12">
        <f t="shared" si="205"/>
        <v>0</v>
      </c>
      <c r="BP143" s="12">
        <f t="shared" si="205"/>
        <v>0</v>
      </c>
      <c r="BQ143" s="12">
        <f t="shared" si="205"/>
        <v>0</v>
      </c>
      <c r="BR143" s="12">
        <f t="shared" si="205"/>
        <v>0</v>
      </c>
      <c r="BS143" s="12">
        <f t="shared" si="205"/>
        <v>0</v>
      </c>
      <c r="BT143" s="12">
        <f t="shared" si="205"/>
        <v>0</v>
      </c>
      <c r="BU143" s="12">
        <f t="shared" ref="BU143:CZ143" si="206">IF(BU$6=$E$35,SUMIF($I$6:$FH$6,"&lt;"&amp;$E$35,$I$139:$FH$139)*$E$51,0)</f>
        <v>0</v>
      </c>
      <c r="BV143" s="12">
        <f t="shared" si="206"/>
        <v>0</v>
      </c>
      <c r="BW143" s="12">
        <f t="shared" si="206"/>
        <v>0</v>
      </c>
      <c r="BX143" s="12">
        <f t="shared" si="206"/>
        <v>0</v>
      </c>
      <c r="BY143" s="12">
        <f t="shared" si="206"/>
        <v>0</v>
      </c>
      <c r="BZ143" s="12">
        <f t="shared" si="206"/>
        <v>0</v>
      </c>
      <c r="CA143" s="12">
        <f t="shared" si="206"/>
        <v>0</v>
      </c>
      <c r="CB143" s="12">
        <f t="shared" si="206"/>
        <v>0</v>
      </c>
      <c r="CC143" s="12">
        <f t="shared" si="206"/>
        <v>18635.520000000022</v>
      </c>
      <c r="CD143" s="12">
        <f t="shared" si="206"/>
        <v>0</v>
      </c>
      <c r="CE143" s="12">
        <f t="shared" si="206"/>
        <v>0</v>
      </c>
      <c r="CF143" s="12">
        <f t="shared" si="206"/>
        <v>0</v>
      </c>
      <c r="CG143" s="12">
        <f t="shared" si="206"/>
        <v>0</v>
      </c>
      <c r="CH143" s="12">
        <f t="shared" si="206"/>
        <v>0</v>
      </c>
      <c r="CI143" s="12">
        <f t="shared" si="206"/>
        <v>0</v>
      </c>
      <c r="CJ143" s="12">
        <f t="shared" si="206"/>
        <v>0</v>
      </c>
      <c r="CK143" s="12">
        <f t="shared" si="206"/>
        <v>0</v>
      </c>
      <c r="CL143" s="12">
        <f t="shared" si="206"/>
        <v>0</v>
      </c>
      <c r="CM143" s="12">
        <f t="shared" si="206"/>
        <v>0</v>
      </c>
      <c r="CN143" s="12">
        <f t="shared" si="206"/>
        <v>0</v>
      </c>
      <c r="CO143" s="12">
        <f t="shared" si="206"/>
        <v>0</v>
      </c>
      <c r="CP143" s="12">
        <f t="shared" si="206"/>
        <v>0</v>
      </c>
      <c r="CQ143" s="12">
        <f t="shared" si="206"/>
        <v>0</v>
      </c>
      <c r="CR143" s="12">
        <f t="shared" si="206"/>
        <v>0</v>
      </c>
      <c r="CS143" s="12">
        <f t="shared" si="206"/>
        <v>0</v>
      </c>
      <c r="CT143" s="12">
        <f t="shared" si="206"/>
        <v>0</v>
      </c>
      <c r="CU143" s="12">
        <f t="shared" si="206"/>
        <v>0</v>
      </c>
      <c r="CV143" s="12">
        <f t="shared" si="206"/>
        <v>0</v>
      </c>
      <c r="CW143" s="12">
        <f t="shared" si="206"/>
        <v>0</v>
      </c>
      <c r="CX143" s="12">
        <f t="shared" si="206"/>
        <v>0</v>
      </c>
      <c r="CY143" s="12">
        <f t="shared" si="206"/>
        <v>0</v>
      </c>
      <c r="CZ143" s="12">
        <f t="shared" si="206"/>
        <v>0</v>
      </c>
      <c r="DA143" s="12">
        <f t="shared" ref="DA143:EF143" si="207">IF(DA$6=$E$35,SUMIF($I$6:$FH$6,"&lt;"&amp;$E$35,$I$139:$FH$139)*$E$51,0)</f>
        <v>0</v>
      </c>
      <c r="DB143" s="12">
        <f t="shared" si="207"/>
        <v>0</v>
      </c>
      <c r="DC143" s="12">
        <f t="shared" si="207"/>
        <v>0</v>
      </c>
      <c r="DD143" s="12">
        <f t="shared" si="207"/>
        <v>0</v>
      </c>
      <c r="DE143" s="12">
        <f t="shared" si="207"/>
        <v>0</v>
      </c>
      <c r="DF143" s="12">
        <f t="shared" si="207"/>
        <v>0</v>
      </c>
      <c r="DG143" s="12">
        <f t="shared" si="207"/>
        <v>0</v>
      </c>
      <c r="DH143" s="12">
        <f t="shared" si="207"/>
        <v>0</v>
      </c>
      <c r="DI143" s="12">
        <f t="shared" si="207"/>
        <v>0</v>
      </c>
      <c r="DJ143" s="12">
        <f t="shared" si="207"/>
        <v>0</v>
      </c>
      <c r="DK143" s="12">
        <f t="shared" si="207"/>
        <v>0</v>
      </c>
      <c r="DL143" s="12">
        <f t="shared" si="207"/>
        <v>0</v>
      </c>
      <c r="DM143" s="12">
        <f t="shared" si="207"/>
        <v>0</v>
      </c>
      <c r="DN143" s="12">
        <f t="shared" si="207"/>
        <v>0</v>
      </c>
      <c r="DO143" s="12">
        <f t="shared" si="207"/>
        <v>0</v>
      </c>
      <c r="DP143" s="12">
        <f t="shared" si="207"/>
        <v>0</v>
      </c>
      <c r="DQ143" s="12">
        <f t="shared" si="207"/>
        <v>0</v>
      </c>
      <c r="DR143" s="12">
        <f t="shared" si="207"/>
        <v>0</v>
      </c>
      <c r="DS143" s="12">
        <f t="shared" si="207"/>
        <v>0</v>
      </c>
      <c r="DT143" s="12">
        <f t="shared" si="207"/>
        <v>0</v>
      </c>
      <c r="DU143" s="12">
        <f t="shared" si="207"/>
        <v>0</v>
      </c>
      <c r="DV143" s="12">
        <f t="shared" si="207"/>
        <v>0</v>
      </c>
      <c r="DW143" s="12">
        <f t="shared" si="207"/>
        <v>0</v>
      </c>
      <c r="DX143" s="12">
        <f t="shared" si="207"/>
        <v>0</v>
      </c>
      <c r="DY143" s="12">
        <f t="shared" si="207"/>
        <v>0</v>
      </c>
      <c r="DZ143" s="12">
        <f t="shared" si="207"/>
        <v>0</v>
      </c>
      <c r="EA143" s="12">
        <f t="shared" si="207"/>
        <v>0</v>
      </c>
      <c r="EB143" s="12">
        <f t="shared" si="207"/>
        <v>0</v>
      </c>
      <c r="EC143" s="12">
        <f t="shared" si="207"/>
        <v>0</v>
      </c>
      <c r="ED143" s="12">
        <f t="shared" si="207"/>
        <v>0</v>
      </c>
      <c r="EE143" s="12">
        <f t="shared" si="207"/>
        <v>0</v>
      </c>
      <c r="EF143" s="12">
        <f t="shared" si="207"/>
        <v>0</v>
      </c>
      <c r="EG143" s="12">
        <f t="shared" ref="EG143:FH143" si="208">IF(EG$6=$E$35,SUMIF($I$6:$FH$6,"&lt;"&amp;$E$35,$I$139:$FH$139)*$E$51,0)</f>
        <v>0</v>
      </c>
      <c r="EH143" s="12">
        <f t="shared" si="208"/>
        <v>0</v>
      </c>
      <c r="EI143" s="12">
        <f t="shared" si="208"/>
        <v>0</v>
      </c>
      <c r="EJ143" s="12">
        <f t="shared" si="208"/>
        <v>0</v>
      </c>
      <c r="EK143" s="12">
        <f t="shared" si="208"/>
        <v>0</v>
      </c>
      <c r="EL143" s="12">
        <f t="shared" si="208"/>
        <v>0</v>
      </c>
      <c r="EM143" s="12">
        <f t="shared" si="208"/>
        <v>0</v>
      </c>
      <c r="EN143" s="12">
        <f t="shared" si="208"/>
        <v>0</v>
      </c>
      <c r="EO143" s="12">
        <f t="shared" si="208"/>
        <v>0</v>
      </c>
      <c r="EP143" s="12">
        <f t="shared" si="208"/>
        <v>0</v>
      </c>
      <c r="EQ143" s="12">
        <f t="shared" si="208"/>
        <v>0</v>
      </c>
      <c r="ER143" s="12">
        <f t="shared" si="208"/>
        <v>0</v>
      </c>
      <c r="ES143" s="12">
        <f t="shared" si="208"/>
        <v>0</v>
      </c>
      <c r="ET143" s="12">
        <f t="shared" si="208"/>
        <v>0</v>
      </c>
      <c r="EU143" s="12">
        <f t="shared" si="208"/>
        <v>0</v>
      </c>
      <c r="EV143" s="12">
        <f t="shared" si="208"/>
        <v>0</v>
      </c>
      <c r="EW143" s="12">
        <f t="shared" si="208"/>
        <v>0</v>
      </c>
      <c r="EX143" s="12">
        <f t="shared" si="208"/>
        <v>0</v>
      </c>
      <c r="EY143" s="12">
        <f t="shared" si="208"/>
        <v>0</v>
      </c>
      <c r="EZ143" s="12">
        <f t="shared" si="208"/>
        <v>0</v>
      </c>
      <c r="FA143" s="12">
        <f t="shared" si="208"/>
        <v>0</v>
      </c>
      <c r="FB143" s="12">
        <f t="shared" si="208"/>
        <v>0</v>
      </c>
      <c r="FC143" s="12">
        <f t="shared" si="208"/>
        <v>0</v>
      </c>
      <c r="FD143" s="12">
        <f t="shared" si="208"/>
        <v>0</v>
      </c>
      <c r="FE143" s="12">
        <f t="shared" si="208"/>
        <v>0</v>
      </c>
      <c r="FF143" s="12">
        <f t="shared" si="208"/>
        <v>0</v>
      </c>
      <c r="FG143" s="12">
        <f t="shared" si="208"/>
        <v>0</v>
      </c>
      <c r="FH143" s="12">
        <f t="shared" si="208"/>
        <v>0</v>
      </c>
    </row>
    <row r="144" spans="1:164" x14ac:dyDescent="0.2">
      <c r="A144" s="10"/>
      <c r="B144" s="10"/>
      <c r="C144" s="10" t="s">
        <v>751</v>
      </c>
      <c r="D144" s="10"/>
      <c r="E144" s="10"/>
      <c r="F144" s="10"/>
      <c r="G144" s="10"/>
      <c r="H144" s="12">
        <f t="shared" si="198"/>
        <v>302827.20000000036</v>
      </c>
      <c r="I144" s="12">
        <f t="shared" ref="I144:AN144" si="209">IF(I$6=$E$46,SUMIF($I$6:$FH$6,"&lt;"&amp;$E$46,$I$139:$FH$139)*$E$52,0)</f>
        <v>0</v>
      </c>
      <c r="J144" s="12">
        <f t="shared" si="209"/>
        <v>0</v>
      </c>
      <c r="K144" s="12">
        <f t="shared" si="209"/>
        <v>0</v>
      </c>
      <c r="L144" s="12">
        <f t="shared" si="209"/>
        <v>0</v>
      </c>
      <c r="M144" s="12">
        <f t="shared" si="209"/>
        <v>0</v>
      </c>
      <c r="N144" s="12">
        <f t="shared" si="209"/>
        <v>0</v>
      </c>
      <c r="O144" s="12">
        <f t="shared" si="209"/>
        <v>0</v>
      </c>
      <c r="P144" s="12">
        <f t="shared" si="209"/>
        <v>0</v>
      </c>
      <c r="Q144" s="12">
        <f t="shared" si="209"/>
        <v>0</v>
      </c>
      <c r="R144" s="12">
        <f t="shared" si="209"/>
        <v>0</v>
      </c>
      <c r="S144" s="12">
        <f t="shared" si="209"/>
        <v>0</v>
      </c>
      <c r="T144" s="12">
        <f t="shared" si="209"/>
        <v>0</v>
      </c>
      <c r="U144" s="12">
        <f t="shared" si="209"/>
        <v>0</v>
      </c>
      <c r="V144" s="12">
        <f t="shared" si="209"/>
        <v>0</v>
      </c>
      <c r="W144" s="12">
        <f t="shared" si="209"/>
        <v>0</v>
      </c>
      <c r="X144" s="12">
        <f t="shared" si="209"/>
        <v>0</v>
      </c>
      <c r="Y144" s="12">
        <f t="shared" si="209"/>
        <v>0</v>
      </c>
      <c r="Z144" s="12">
        <f t="shared" si="209"/>
        <v>0</v>
      </c>
      <c r="AA144" s="12">
        <f t="shared" si="209"/>
        <v>0</v>
      </c>
      <c r="AB144" s="12">
        <f t="shared" si="209"/>
        <v>0</v>
      </c>
      <c r="AC144" s="12">
        <f t="shared" si="209"/>
        <v>0</v>
      </c>
      <c r="AD144" s="12">
        <f t="shared" si="209"/>
        <v>0</v>
      </c>
      <c r="AE144" s="12">
        <f t="shared" si="209"/>
        <v>0</v>
      </c>
      <c r="AF144" s="12">
        <f t="shared" si="209"/>
        <v>0</v>
      </c>
      <c r="AG144" s="12">
        <f t="shared" si="209"/>
        <v>0</v>
      </c>
      <c r="AH144" s="12">
        <f t="shared" si="209"/>
        <v>0</v>
      </c>
      <c r="AI144" s="12">
        <f t="shared" si="209"/>
        <v>0</v>
      </c>
      <c r="AJ144" s="12">
        <f t="shared" si="209"/>
        <v>0</v>
      </c>
      <c r="AK144" s="12">
        <f t="shared" si="209"/>
        <v>0</v>
      </c>
      <c r="AL144" s="12">
        <f t="shared" si="209"/>
        <v>0</v>
      </c>
      <c r="AM144" s="12">
        <f t="shared" si="209"/>
        <v>0</v>
      </c>
      <c r="AN144" s="12">
        <f t="shared" si="209"/>
        <v>0</v>
      </c>
      <c r="AO144" s="12">
        <f t="shared" ref="AO144:BT144" si="210">IF(AO$6=$E$46,SUMIF($I$6:$FH$6,"&lt;"&amp;$E$46,$I$139:$FH$139)*$E$52,0)</f>
        <v>0</v>
      </c>
      <c r="AP144" s="12">
        <f t="shared" si="210"/>
        <v>0</v>
      </c>
      <c r="AQ144" s="12">
        <f t="shared" si="210"/>
        <v>0</v>
      </c>
      <c r="AR144" s="12">
        <f t="shared" si="210"/>
        <v>0</v>
      </c>
      <c r="AS144" s="12">
        <f t="shared" si="210"/>
        <v>0</v>
      </c>
      <c r="AT144" s="12">
        <f t="shared" si="210"/>
        <v>0</v>
      </c>
      <c r="AU144" s="12">
        <f t="shared" si="210"/>
        <v>0</v>
      </c>
      <c r="AV144" s="12">
        <f t="shared" si="210"/>
        <v>0</v>
      </c>
      <c r="AW144" s="12">
        <f t="shared" si="210"/>
        <v>0</v>
      </c>
      <c r="AX144" s="12">
        <f t="shared" si="210"/>
        <v>0</v>
      </c>
      <c r="AY144" s="12">
        <f t="shared" si="210"/>
        <v>0</v>
      </c>
      <c r="AZ144" s="12">
        <f t="shared" si="210"/>
        <v>0</v>
      </c>
      <c r="BA144" s="12">
        <f t="shared" si="210"/>
        <v>0</v>
      </c>
      <c r="BB144" s="12">
        <f t="shared" si="210"/>
        <v>0</v>
      </c>
      <c r="BC144" s="12">
        <f t="shared" si="210"/>
        <v>0</v>
      </c>
      <c r="BD144" s="12">
        <f t="shared" si="210"/>
        <v>0</v>
      </c>
      <c r="BE144" s="12">
        <f t="shared" si="210"/>
        <v>0</v>
      </c>
      <c r="BF144" s="12">
        <f t="shared" si="210"/>
        <v>0</v>
      </c>
      <c r="BG144" s="12">
        <f t="shared" si="210"/>
        <v>0</v>
      </c>
      <c r="BH144" s="12">
        <f t="shared" si="210"/>
        <v>0</v>
      </c>
      <c r="BI144" s="12">
        <f t="shared" si="210"/>
        <v>0</v>
      </c>
      <c r="BJ144" s="12">
        <f t="shared" si="210"/>
        <v>0</v>
      </c>
      <c r="BK144" s="12">
        <f t="shared" si="210"/>
        <v>0</v>
      </c>
      <c r="BL144" s="12">
        <f t="shared" si="210"/>
        <v>0</v>
      </c>
      <c r="BM144" s="12">
        <f t="shared" si="210"/>
        <v>0</v>
      </c>
      <c r="BN144" s="12">
        <f t="shared" si="210"/>
        <v>0</v>
      </c>
      <c r="BO144" s="12">
        <f t="shared" si="210"/>
        <v>0</v>
      </c>
      <c r="BP144" s="12">
        <f t="shared" si="210"/>
        <v>0</v>
      </c>
      <c r="BQ144" s="12">
        <f t="shared" si="210"/>
        <v>0</v>
      </c>
      <c r="BR144" s="12">
        <f t="shared" si="210"/>
        <v>0</v>
      </c>
      <c r="BS144" s="12">
        <f t="shared" si="210"/>
        <v>0</v>
      </c>
      <c r="BT144" s="12">
        <f t="shared" si="210"/>
        <v>0</v>
      </c>
      <c r="BU144" s="12">
        <f t="shared" ref="BU144:CZ144" si="211">IF(BU$6=$E$46,SUMIF($I$6:$FH$6,"&lt;"&amp;$E$46,$I$139:$FH$139)*$E$52,0)</f>
        <v>0</v>
      </c>
      <c r="BV144" s="12">
        <f t="shared" si="211"/>
        <v>0</v>
      </c>
      <c r="BW144" s="12">
        <f t="shared" si="211"/>
        <v>0</v>
      </c>
      <c r="BX144" s="12">
        <f t="shared" si="211"/>
        <v>0</v>
      </c>
      <c r="BY144" s="12">
        <f t="shared" si="211"/>
        <v>0</v>
      </c>
      <c r="BZ144" s="12">
        <f t="shared" si="211"/>
        <v>0</v>
      </c>
      <c r="CA144" s="12">
        <f t="shared" si="211"/>
        <v>0</v>
      </c>
      <c r="CB144" s="12">
        <f t="shared" si="211"/>
        <v>0</v>
      </c>
      <c r="CC144" s="12">
        <f t="shared" si="211"/>
        <v>0</v>
      </c>
      <c r="CD144" s="12">
        <f t="shared" si="211"/>
        <v>0</v>
      </c>
      <c r="CE144" s="12">
        <f t="shared" si="211"/>
        <v>0</v>
      </c>
      <c r="CF144" s="12">
        <f t="shared" si="211"/>
        <v>0</v>
      </c>
      <c r="CG144" s="12">
        <f t="shared" si="211"/>
        <v>0</v>
      </c>
      <c r="CH144" s="12">
        <f t="shared" si="211"/>
        <v>0</v>
      </c>
      <c r="CI144" s="12">
        <f t="shared" si="211"/>
        <v>0</v>
      </c>
      <c r="CJ144" s="12">
        <f t="shared" si="211"/>
        <v>0</v>
      </c>
      <c r="CK144" s="12">
        <f t="shared" si="211"/>
        <v>0</v>
      </c>
      <c r="CL144" s="12">
        <f t="shared" si="211"/>
        <v>0</v>
      </c>
      <c r="CM144" s="12">
        <f t="shared" si="211"/>
        <v>0</v>
      </c>
      <c r="CN144" s="12">
        <f t="shared" si="211"/>
        <v>302827.20000000036</v>
      </c>
      <c r="CO144" s="12">
        <f t="shared" si="211"/>
        <v>0</v>
      </c>
      <c r="CP144" s="12">
        <f t="shared" si="211"/>
        <v>0</v>
      </c>
      <c r="CQ144" s="12">
        <f t="shared" si="211"/>
        <v>0</v>
      </c>
      <c r="CR144" s="12">
        <f t="shared" si="211"/>
        <v>0</v>
      </c>
      <c r="CS144" s="12">
        <f t="shared" si="211"/>
        <v>0</v>
      </c>
      <c r="CT144" s="12">
        <f t="shared" si="211"/>
        <v>0</v>
      </c>
      <c r="CU144" s="12">
        <f t="shared" si="211"/>
        <v>0</v>
      </c>
      <c r="CV144" s="12">
        <f t="shared" si="211"/>
        <v>0</v>
      </c>
      <c r="CW144" s="12">
        <f t="shared" si="211"/>
        <v>0</v>
      </c>
      <c r="CX144" s="12">
        <f t="shared" si="211"/>
        <v>0</v>
      </c>
      <c r="CY144" s="12">
        <f t="shared" si="211"/>
        <v>0</v>
      </c>
      <c r="CZ144" s="12">
        <f t="shared" si="211"/>
        <v>0</v>
      </c>
      <c r="DA144" s="12">
        <f t="shared" ref="DA144:EF144" si="212">IF(DA$6=$E$46,SUMIF($I$6:$FH$6,"&lt;"&amp;$E$46,$I$139:$FH$139)*$E$52,0)</f>
        <v>0</v>
      </c>
      <c r="DB144" s="12">
        <f t="shared" si="212"/>
        <v>0</v>
      </c>
      <c r="DC144" s="12">
        <f t="shared" si="212"/>
        <v>0</v>
      </c>
      <c r="DD144" s="12">
        <f t="shared" si="212"/>
        <v>0</v>
      </c>
      <c r="DE144" s="12">
        <f t="shared" si="212"/>
        <v>0</v>
      </c>
      <c r="DF144" s="12">
        <f t="shared" si="212"/>
        <v>0</v>
      </c>
      <c r="DG144" s="12">
        <f t="shared" si="212"/>
        <v>0</v>
      </c>
      <c r="DH144" s="12">
        <f t="shared" si="212"/>
        <v>0</v>
      </c>
      <c r="DI144" s="12">
        <f t="shared" si="212"/>
        <v>0</v>
      </c>
      <c r="DJ144" s="12">
        <f t="shared" si="212"/>
        <v>0</v>
      </c>
      <c r="DK144" s="12">
        <f t="shared" si="212"/>
        <v>0</v>
      </c>
      <c r="DL144" s="12">
        <f t="shared" si="212"/>
        <v>0</v>
      </c>
      <c r="DM144" s="12">
        <f t="shared" si="212"/>
        <v>0</v>
      </c>
      <c r="DN144" s="12">
        <f t="shared" si="212"/>
        <v>0</v>
      </c>
      <c r="DO144" s="12">
        <f t="shared" si="212"/>
        <v>0</v>
      </c>
      <c r="DP144" s="12">
        <f t="shared" si="212"/>
        <v>0</v>
      </c>
      <c r="DQ144" s="12">
        <f t="shared" si="212"/>
        <v>0</v>
      </c>
      <c r="DR144" s="12">
        <f t="shared" si="212"/>
        <v>0</v>
      </c>
      <c r="DS144" s="12">
        <f t="shared" si="212"/>
        <v>0</v>
      </c>
      <c r="DT144" s="12">
        <f t="shared" si="212"/>
        <v>0</v>
      </c>
      <c r="DU144" s="12">
        <f t="shared" si="212"/>
        <v>0</v>
      </c>
      <c r="DV144" s="12">
        <f t="shared" si="212"/>
        <v>0</v>
      </c>
      <c r="DW144" s="12">
        <f t="shared" si="212"/>
        <v>0</v>
      </c>
      <c r="DX144" s="12">
        <f t="shared" si="212"/>
        <v>0</v>
      </c>
      <c r="DY144" s="12">
        <f t="shared" si="212"/>
        <v>0</v>
      </c>
      <c r="DZ144" s="12">
        <f t="shared" si="212"/>
        <v>0</v>
      </c>
      <c r="EA144" s="12">
        <f t="shared" si="212"/>
        <v>0</v>
      </c>
      <c r="EB144" s="12">
        <f t="shared" si="212"/>
        <v>0</v>
      </c>
      <c r="EC144" s="12">
        <f t="shared" si="212"/>
        <v>0</v>
      </c>
      <c r="ED144" s="12">
        <f t="shared" si="212"/>
        <v>0</v>
      </c>
      <c r="EE144" s="12">
        <f t="shared" si="212"/>
        <v>0</v>
      </c>
      <c r="EF144" s="12">
        <f t="shared" si="212"/>
        <v>0</v>
      </c>
      <c r="EG144" s="12">
        <f t="shared" ref="EG144:FH144" si="213">IF(EG$6=$E$46,SUMIF($I$6:$FH$6,"&lt;"&amp;$E$46,$I$139:$FH$139)*$E$52,0)</f>
        <v>0</v>
      </c>
      <c r="EH144" s="12">
        <f t="shared" si="213"/>
        <v>0</v>
      </c>
      <c r="EI144" s="12">
        <f t="shared" si="213"/>
        <v>0</v>
      </c>
      <c r="EJ144" s="12">
        <f t="shared" si="213"/>
        <v>0</v>
      </c>
      <c r="EK144" s="12">
        <f t="shared" si="213"/>
        <v>0</v>
      </c>
      <c r="EL144" s="12">
        <f t="shared" si="213"/>
        <v>0</v>
      </c>
      <c r="EM144" s="12">
        <f t="shared" si="213"/>
        <v>0</v>
      </c>
      <c r="EN144" s="12">
        <f t="shared" si="213"/>
        <v>0</v>
      </c>
      <c r="EO144" s="12">
        <f t="shared" si="213"/>
        <v>0</v>
      </c>
      <c r="EP144" s="12">
        <f t="shared" si="213"/>
        <v>0</v>
      </c>
      <c r="EQ144" s="12">
        <f t="shared" si="213"/>
        <v>0</v>
      </c>
      <c r="ER144" s="12">
        <f t="shared" si="213"/>
        <v>0</v>
      </c>
      <c r="ES144" s="12">
        <f t="shared" si="213"/>
        <v>0</v>
      </c>
      <c r="ET144" s="12">
        <f t="shared" si="213"/>
        <v>0</v>
      </c>
      <c r="EU144" s="12">
        <f t="shared" si="213"/>
        <v>0</v>
      </c>
      <c r="EV144" s="12">
        <f t="shared" si="213"/>
        <v>0</v>
      </c>
      <c r="EW144" s="12">
        <f t="shared" si="213"/>
        <v>0</v>
      </c>
      <c r="EX144" s="12">
        <f t="shared" si="213"/>
        <v>0</v>
      </c>
      <c r="EY144" s="12">
        <f t="shared" si="213"/>
        <v>0</v>
      </c>
      <c r="EZ144" s="12">
        <f t="shared" si="213"/>
        <v>0</v>
      </c>
      <c r="FA144" s="12">
        <f t="shared" si="213"/>
        <v>0</v>
      </c>
      <c r="FB144" s="12">
        <f t="shared" si="213"/>
        <v>0</v>
      </c>
      <c r="FC144" s="12">
        <f t="shared" si="213"/>
        <v>0</v>
      </c>
      <c r="FD144" s="12">
        <f t="shared" si="213"/>
        <v>0</v>
      </c>
      <c r="FE144" s="12">
        <f t="shared" si="213"/>
        <v>0</v>
      </c>
      <c r="FF144" s="12">
        <f t="shared" si="213"/>
        <v>0</v>
      </c>
      <c r="FG144" s="12">
        <f t="shared" si="213"/>
        <v>0</v>
      </c>
      <c r="FH144" s="12">
        <f t="shared" si="213"/>
        <v>0</v>
      </c>
    </row>
    <row r="145" spans="1:164" x14ac:dyDescent="0.2">
      <c r="A145" s="10"/>
      <c r="B145" s="10"/>
      <c r="C145" s="238" t="s">
        <v>747</v>
      </c>
      <c r="D145" s="238"/>
      <c r="E145" s="238"/>
      <c r="F145" s="238"/>
      <c r="G145" s="238"/>
      <c r="H145" s="239">
        <f t="shared" si="198"/>
        <v>465888.00000000023</v>
      </c>
      <c r="I145" s="239">
        <f t="shared" ref="I145:AN145" si="214">SUM(I141:I144)</f>
        <v>0</v>
      </c>
      <c r="J145" s="239">
        <f t="shared" si="214"/>
        <v>0</v>
      </c>
      <c r="K145" s="239">
        <f t="shared" si="214"/>
        <v>0</v>
      </c>
      <c r="L145" s="239">
        <f t="shared" si="214"/>
        <v>0</v>
      </c>
      <c r="M145" s="239">
        <f t="shared" si="214"/>
        <v>0</v>
      </c>
      <c r="N145" s="239">
        <f t="shared" si="214"/>
        <v>0</v>
      </c>
      <c r="O145" s="239">
        <f t="shared" si="214"/>
        <v>0</v>
      </c>
      <c r="P145" s="239">
        <f t="shared" si="214"/>
        <v>0</v>
      </c>
      <c r="Q145" s="239">
        <f t="shared" si="214"/>
        <v>0</v>
      </c>
      <c r="R145" s="239">
        <f t="shared" si="214"/>
        <v>0</v>
      </c>
      <c r="S145" s="239">
        <f t="shared" si="214"/>
        <v>0</v>
      </c>
      <c r="T145" s="239">
        <f t="shared" si="214"/>
        <v>0</v>
      </c>
      <c r="U145" s="239">
        <f t="shared" si="214"/>
        <v>0</v>
      </c>
      <c r="V145" s="239">
        <f t="shared" si="214"/>
        <v>0</v>
      </c>
      <c r="W145" s="239">
        <f t="shared" si="214"/>
        <v>0</v>
      </c>
      <c r="X145" s="239">
        <f t="shared" si="214"/>
        <v>0</v>
      </c>
      <c r="Y145" s="239">
        <f t="shared" si="214"/>
        <v>0</v>
      </c>
      <c r="Z145" s="239">
        <f t="shared" si="214"/>
        <v>0</v>
      </c>
      <c r="AA145" s="239">
        <f t="shared" si="214"/>
        <v>0</v>
      </c>
      <c r="AB145" s="239">
        <f t="shared" si="214"/>
        <v>0</v>
      </c>
      <c r="AC145" s="239">
        <f t="shared" si="214"/>
        <v>0</v>
      </c>
      <c r="AD145" s="239">
        <f t="shared" si="214"/>
        <v>0</v>
      </c>
      <c r="AE145" s="239">
        <f t="shared" si="214"/>
        <v>0</v>
      </c>
      <c r="AF145" s="239">
        <f t="shared" si="214"/>
        <v>0</v>
      </c>
      <c r="AG145" s="239">
        <f t="shared" si="214"/>
        <v>0</v>
      </c>
      <c r="AH145" s="239">
        <f t="shared" si="214"/>
        <v>0</v>
      </c>
      <c r="AI145" s="239">
        <f t="shared" si="214"/>
        <v>0</v>
      </c>
      <c r="AJ145" s="239">
        <f t="shared" si="214"/>
        <v>0</v>
      </c>
      <c r="AK145" s="239">
        <f t="shared" si="214"/>
        <v>0</v>
      </c>
      <c r="AL145" s="239">
        <f t="shared" si="214"/>
        <v>0</v>
      </c>
      <c r="AM145" s="239">
        <f t="shared" si="214"/>
        <v>0</v>
      </c>
      <c r="AN145" s="239">
        <f t="shared" si="214"/>
        <v>0</v>
      </c>
      <c r="AO145" s="239">
        <f t="shared" ref="AO145:BT145" si="215">SUM(AO141:AO144)</f>
        <v>0</v>
      </c>
      <c r="AP145" s="239">
        <f t="shared" si="215"/>
        <v>0</v>
      </c>
      <c r="AQ145" s="239">
        <f t="shared" si="215"/>
        <v>0</v>
      </c>
      <c r="AR145" s="239">
        <f t="shared" si="215"/>
        <v>0</v>
      </c>
      <c r="AS145" s="239">
        <f t="shared" si="215"/>
        <v>4788.2933333333322</v>
      </c>
      <c r="AT145" s="239">
        <f t="shared" si="215"/>
        <v>4921.4041904761898</v>
      </c>
      <c r="AU145" s="239">
        <f t="shared" si="215"/>
        <v>5058.4300728291309</v>
      </c>
      <c r="AV145" s="239">
        <f t="shared" si="215"/>
        <v>5199.6082546473126</v>
      </c>
      <c r="AW145" s="239">
        <f t="shared" si="215"/>
        <v>5345.1982546473128</v>
      </c>
      <c r="AX145" s="239">
        <f t="shared" si="215"/>
        <v>5495.4847062602157</v>
      </c>
      <c r="AY145" s="239">
        <f t="shared" si="215"/>
        <v>1799.4399062602165</v>
      </c>
      <c r="AZ145" s="239">
        <f t="shared" si="215"/>
        <v>1831.570113156768</v>
      </c>
      <c r="BA145" s="239">
        <f t="shared" si="215"/>
        <v>1864.8478274424824</v>
      </c>
      <c r="BB145" s="239">
        <f t="shared" si="215"/>
        <v>1899.3580496647046</v>
      </c>
      <c r="BC145" s="239">
        <f t="shared" si="215"/>
        <v>1935.1955881262429</v>
      </c>
      <c r="BD145" s="239">
        <f t="shared" si="215"/>
        <v>1972.466628126243</v>
      </c>
      <c r="BE145" s="239">
        <f t="shared" si="215"/>
        <v>2011.2906281262431</v>
      </c>
      <c r="BF145" s="239">
        <f t="shared" si="215"/>
        <v>2051.8026281262428</v>
      </c>
      <c r="BG145" s="239">
        <f t="shared" si="215"/>
        <v>2094.1560826716977</v>
      </c>
      <c r="BH145" s="239">
        <f t="shared" si="215"/>
        <v>2138.526368385983</v>
      </c>
      <c r="BI145" s="239">
        <f t="shared" si="215"/>
        <v>2185.1151683859835</v>
      </c>
      <c r="BJ145" s="239">
        <f t="shared" si="215"/>
        <v>2234.1560104912464</v>
      </c>
      <c r="BK145" s="239">
        <f t="shared" si="215"/>
        <v>2285.9213438245797</v>
      </c>
      <c r="BL145" s="239">
        <f t="shared" si="215"/>
        <v>2340.7316967657562</v>
      </c>
      <c r="BM145" s="239">
        <f t="shared" si="215"/>
        <v>2398.967696765756</v>
      </c>
      <c r="BN145" s="239">
        <f t="shared" si="215"/>
        <v>2461.0860967657563</v>
      </c>
      <c r="BO145" s="239">
        <f t="shared" si="215"/>
        <v>2527.6415253371847</v>
      </c>
      <c r="BP145" s="239">
        <f t="shared" si="215"/>
        <v>2599.3166022602618</v>
      </c>
      <c r="BQ145" s="239">
        <f t="shared" si="215"/>
        <v>2676.9646022602615</v>
      </c>
      <c r="BR145" s="239">
        <f t="shared" si="215"/>
        <v>2761.6715113511705</v>
      </c>
      <c r="BS145" s="239">
        <f t="shared" si="215"/>
        <v>2854.8491113511704</v>
      </c>
      <c r="BT145" s="239">
        <f t="shared" si="215"/>
        <v>2958.379778017837</v>
      </c>
      <c r="BU145" s="239">
        <f t="shared" ref="BU145:CZ145" si="216">SUM(BU141:BU144)</f>
        <v>3074.8517780178372</v>
      </c>
      <c r="BV145" s="239">
        <f t="shared" si="216"/>
        <v>3207.9626351606944</v>
      </c>
      <c r="BW145" s="239">
        <f t="shared" si="216"/>
        <v>3363.2586351606942</v>
      </c>
      <c r="BX145" s="239">
        <f t="shared" si="216"/>
        <v>3549.6138351606942</v>
      </c>
      <c r="BY145" s="239">
        <f t="shared" si="216"/>
        <v>3782.5578351606941</v>
      </c>
      <c r="BZ145" s="239">
        <f t="shared" si="216"/>
        <v>4093.1498351606942</v>
      </c>
      <c r="CA145" s="239">
        <f t="shared" si="216"/>
        <v>4559.0378351606942</v>
      </c>
      <c r="CB145" s="239">
        <f t="shared" si="216"/>
        <v>5490.813835160694</v>
      </c>
      <c r="CC145" s="239">
        <f t="shared" si="216"/>
        <v>18635.520000000022</v>
      </c>
      <c r="CD145" s="239">
        <f t="shared" si="216"/>
        <v>3261.2159999999994</v>
      </c>
      <c r="CE145" s="239">
        <f t="shared" si="216"/>
        <v>3261.2159999999994</v>
      </c>
      <c r="CF145" s="239">
        <f t="shared" si="216"/>
        <v>3261.2159999999994</v>
      </c>
      <c r="CG145" s="239">
        <f t="shared" si="216"/>
        <v>3261.2159999999994</v>
      </c>
      <c r="CH145" s="239">
        <f t="shared" si="216"/>
        <v>3261.2159999999994</v>
      </c>
      <c r="CI145" s="239">
        <f t="shared" si="216"/>
        <v>3261.2159999999994</v>
      </c>
      <c r="CJ145" s="239">
        <f t="shared" si="216"/>
        <v>3261.2159999999994</v>
      </c>
      <c r="CK145" s="239">
        <f t="shared" si="216"/>
        <v>3261.2159999999994</v>
      </c>
      <c r="CL145" s="239">
        <f t="shared" si="216"/>
        <v>3261.2159999999994</v>
      </c>
      <c r="CM145" s="239">
        <f t="shared" si="216"/>
        <v>3261.2159999999994</v>
      </c>
      <c r="CN145" s="239">
        <f t="shared" si="216"/>
        <v>302827.20000000036</v>
      </c>
      <c r="CO145" s="239">
        <f t="shared" si="216"/>
        <v>0</v>
      </c>
      <c r="CP145" s="239">
        <f t="shared" si="216"/>
        <v>0</v>
      </c>
      <c r="CQ145" s="239">
        <f t="shared" si="216"/>
        <v>0</v>
      </c>
      <c r="CR145" s="239">
        <f t="shared" si="216"/>
        <v>0</v>
      </c>
      <c r="CS145" s="239">
        <f t="shared" si="216"/>
        <v>0</v>
      </c>
      <c r="CT145" s="239">
        <f t="shared" si="216"/>
        <v>0</v>
      </c>
      <c r="CU145" s="239">
        <f t="shared" si="216"/>
        <v>0</v>
      </c>
      <c r="CV145" s="239">
        <f t="shared" si="216"/>
        <v>0</v>
      </c>
      <c r="CW145" s="239">
        <f t="shared" si="216"/>
        <v>0</v>
      </c>
      <c r="CX145" s="239">
        <f t="shared" si="216"/>
        <v>0</v>
      </c>
      <c r="CY145" s="239">
        <f t="shared" si="216"/>
        <v>0</v>
      </c>
      <c r="CZ145" s="239">
        <f t="shared" si="216"/>
        <v>0</v>
      </c>
      <c r="DA145" s="239">
        <f t="shared" ref="DA145:EF145" si="217">SUM(DA141:DA144)</f>
        <v>0</v>
      </c>
      <c r="DB145" s="239">
        <f t="shared" si="217"/>
        <v>0</v>
      </c>
      <c r="DC145" s="239">
        <f t="shared" si="217"/>
        <v>0</v>
      </c>
      <c r="DD145" s="239">
        <f t="shared" si="217"/>
        <v>0</v>
      </c>
      <c r="DE145" s="239">
        <f t="shared" si="217"/>
        <v>0</v>
      </c>
      <c r="DF145" s="239">
        <f t="shared" si="217"/>
        <v>0</v>
      </c>
      <c r="DG145" s="239">
        <f t="shared" si="217"/>
        <v>0</v>
      </c>
      <c r="DH145" s="239">
        <f t="shared" si="217"/>
        <v>0</v>
      </c>
      <c r="DI145" s="239">
        <f t="shared" si="217"/>
        <v>0</v>
      </c>
      <c r="DJ145" s="239">
        <f t="shared" si="217"/>
        <v>0</v>
      </c>
      <c r="DK145" s="239">
        <f t="shared" si="217"/>
        <v>0</v>
      </c>
      <c r="DL145" s="239">
        <f t="shared" si="217"/>
        <v>0</v>
      </c>
      <c r="DM145" s="239">
        <f t="shared" si="217"/>
        <v>0</v>
      </c>
      <c r="DN145" s="239">
        <f t="shared" si="217"/>
        <v>0</v>
      </c>
      <c r="DO145" s="239">
        <f t="shared" si="217"/>
        <v>0</v>
      </c>
      <c r="DP145" s="239">
        <f t="shared" si="217"/>
        <v>0</v>
      </c>
      <c r="DQ145" s="239">
        <f t="shared" si="217"/>
        <v>0</v>
      </c>
      <c r="DR145" s="239">
        <f t="shared" si="217"/>
        <v>0</v>
      </c>
      <c r="DS145" s="239">
        <f t="shared" si="217"/>
        <v>0</v>
      </c>
      <c r="DT145" s="239">
        <f t="shared" si="217"/>
        <v>0</v>
      </c>
      <c r="DU145" s="239">
        <f t="shared" si="217"/>
        <v>0</v>
      </c>
      <c r="DV145" s="239">
        <f t="shared" si="217"/>
        <v>0</v>
      </c>
      <c r="DW145" s="239">
        <f t="shared" si="217"/>
        <v>0</v>
      </c>
      <c r="DX145" s="239">
        <f t="shared" si="217"/>
        <v>0</v>
      </c>
      <c r="DY145" s="239">
        <f t="shared" si="217"/>
        <v>0</v>
      </c>
      <c r="DZ145" s="239">
        <f t="shared" si="217"/>
        <v>0</v>
      </c>
      <c r="EA145" s="239">
        <f t="shared" si="217"/>
        <v>0</v>
      </c>
      <c r="EB145" s="239">
        <f t="shared" si="217"/>
        <v>0</v>
      </c>
      <c r="EC145" s="239">
        <f t="shared" si="217"/>
        <v>0</v>
      </c>
      <c r="ED145" s="239">
        <f t="shared" si="217"/>
        <v>0</v>
      </c>
      <c r="EE145" s="239">
        <f t="shared" si="217"/>
        <v>0</v>
      </c>
      <c r="EF145" s="239">
        <f t="shared" si="217"/>
        <v>0</v>
      </c>
      <c r="EG145" s="239">
        <f t="shared" ref="EG145:FH145" si="218">SUM(EG141:EG144)</f>
        <v>0</v>
      </c>
      <c r="EH145" s="239">
        <f t="shared" si="218"/>
        <v>0</v>
      </c>
      <c r="EI145" s="239">
        <f t="shared" si="218"/>
        <v>0</v>
      </c>
      <c r="EJ145" s="239">
        <f t="shared" si="218"/>
        <v>0</v>
      </c>
      <c r="EK145" s="239">
        <f t="shared" si="218"/>
        <v>0</v>
      </c>
      <c r="EL145" s="239">
        <f t="shared" si="218"/>
        <v>0</v>
      </c>
      <c r="EM145" s="239">
        <f t="shared" si="218"/>
        <v>0</v>
      </c>
      <c r="EN145" s="239">
        <f t="shared" si="218"/>
        <v>0</v>
      </c>
      <c r="EO145" s="239">
        <f t="shared" si="218"/>
        <v>0</v>
      </c>
      <c r="EP145" s="239">
        <f t="shared" si="218"/>
        <v>0</v>
      </c>
      <c r="EQ145" s="239">
        <f t="shared" si="218"/>
        <v>0</v>
      </c>
      <c r="ER145" s="239">
        <f t="shared" si="218"/>
        <v>0</v>
      </c>
      <c r="ES145" s="239">
        <f t="shared" si="218"/>
        <v>0</v>
      </c>
      <c r="ET145" s="239">
        <f t="shared" si="218"/>
        <v>0</v>
      </c>
      <c r="EU145" s="239">
        <f t="shared" si="218"/>
        <v>0</v>
      </c>
      <c r="EV145" s="239">
        <f t="shared" si="218"/>
        <v>0</v>
      </c>
      <c r="EW145" s="239">
        <f t="shared" si="218"/>
        <v>0</v>
      </c>
      <c r="EX145" s="239">
        <f t="shared" si="218"/>
        <v>0</v>
      </c>
      <c r="EY145" s="239">
        <f t="shared" si="218"/>
        <v>0</v>
      </c>
      <c r="EZ145" s="239">
        <f t="shared" si="218"/>
        <v>0</v>
      </c>
      <c r="FA145" s="239">
        <f t="shared" si="218"/>
        <v>0</v>
      </c>
      <c r="FB145" s="239">
        <f t="shared" si="218"/>
        <v>0</v>
      </c>
      <c r="FC145" s="239">
        <f t="shared" si="218"/>
        <v>0</v>
      </c>
      <c r="FD145" s="239">
        <f t="shared" si="218"/>
        <v>0</v>
      </c>
      <c r="FE145" s="239">
        <f t="shared" si="218"/>
        <v>0</v>
      </c>
      <c r="FF145" s="239">
        <f t="shared" si="218"/>
        <v>0</v>
      </c>
      <c r="FG145" s="239">
        <f t="shared" si="218"/>
        <v>0</v>
      </c>
      <c r="FH145" s="239">
        <f t="shared" si="218"/>
        <v>0</v>
      </c>
    </row>
    <row r="146" spans="1:164" x14ac:dyDescent="0.2">
      <c r="A146" s="10"/>
      <c r="B146" s="10"/>
      <c r="C146" s="10" t="s">
        <v>753</v>
      </c>
      <c r="D146" s="10"/>
      <c r="E146" s="10"/>
      <c r="F146" s="10"/>
      <c r="G146" s="10"/>
      <c r="H146" s="12">
        <f t="shared" si="198"/>
        <v>-23294.400000000005</v>
      </c>
      <c r="I146" s="12">
        <f t="shared" ref="I146:AN146" si="219">-I139*$E$61</f>
        <v>0</v>
      </c>
      <c r="J146" s="12">
        <f t="shared" si="219"/>
        <v>0</v>
      </c>
      <c r="K146" s="12">
        <f t="shared" si="219"/>
        <v>0</v>
      </c>
      <c r="L146" s="12">
        <f t="shared" si="219"/>
        <v>0</v>
      </c>
      <c r="M146" s="12">
        <f t="shared" si="219"/>
        <v>0</v>
      </c>
      <c r="N146" s="12">
        <f t="shared" si="219"/>
        <v>0</v>
      </c>
      <c r="O146" s="12">
        <f t="shared" si="219"/>
        <v>0</v>
      </c>
      <c r="P146" s="12">
        <f t="shared" si="219"/>
        <v>0</v>
      </c>
      <c r="Q146" s="12">
        <f t="shared" si="219"/>
        <v>0</v>
      </c>
      <c r="R146" s="12">
        <f t="shared" si="219"/>
        <v>0</v>
      </c>
      <c r="S146" s="12">
        <f t="shared" si="219"/>
        <v>0</v>
      </c>
      <c r="T146" s="12">
        <f t="shared" si="219"/>
        <v>0</v>
      </c>
      <c r="U146" s="12">
        <f t="shared" si="219"/>
        <v>0</v>
      </c>
      <c r="V146" s="12">
        <f t="shared" si="219"/>
        <v>0</v>
      </c>
      <c r="W146" s="12">
        <f t="shared" si="219"/>
        <v>0</v>
      </c>
      <c r="X146" s="12">
        <f t="shared" si="219"/>
        <v>0</v>
      </c>
      <c r="Y146" s="12">
        <f t="shared" si="219"/>
        <v>0</v>
      </c>
      <c r="Z146" s="12">
        <f t="shared" si="219"/>
        <v>0</v>
      </c>
      <c r="AA146" s="12">
        <f t="shared" si="219"/>
        <v>0</v>
      </c>
      <c r="AB146" s="12">
        <f t="shared" si="219"/>
        <v>0</v>
      </c>
      <c r="AC146" s="12">
        <f t="shared" si="219"/>
        <v>0</v>
      </c>
      <c r="AD146" s="12">
        <f t="shared" si="219"/>
        <v>0</v>
      </c>
      <c r="AE146" s="12">
        <f t="shared" si="219"/>
        <v>0</v>
      </c>
      <c r="AF146" s="12">
        <f t="shared" si="219"/>
        <v>0</v>
      </c>
      <c r="AG146" s="12">
        <f t="shared" si="219"/>
        <v>0</v>
      </c>
      <c r="AH146" s="12">
        <f t="shared" si="219"/>
        <v>0</v>
      </c>
      <c r="AI146" s="12">
        <f t="shared" si="219"/>
        <v>0</v>
      </c>
      <c r="AJ146" s="12">
        <f t="shared" si="219"/>
        <v>0</v>
      </c>
      <c r="AK146" s="12">
        <f t="shared" si="219"/>
        <v>0</v>
      </c>
      <c r="AL146" s="12">
        <f t="shared" si="219"/>
        <v>0</v>
      </c>
      <c r="AM146" s="12">
        <f t="shared" si="219"/>
        <v>0</v>
      </c>
      <c r="AN146" s="12">
        <f t="shared" si="219"/>
        <v>0</v>
      </c>
      <c r="AO146" s="12">
        <f t="shared" ref="AO146:BT146" si="220">-AO139*$E$61</f>
        <v>0</v>
      </c>
      <c r="AP146" s="12">
        <f t="shared" si="220"/>
        <v>0</v>
      </c>
      <c r="AQ146" s="12">
        <f t="shared" si="220"/>
        <v>0</v>
      </c>
      <c r="AR146" s="12">
        <f t="shared" si="220"/>
        <v>0</v>
      </c>
      <c r="AS146" s="12">
        <f t="shared" si="220"/>
        <v>-1552.96</v>
      </c>
      <c r="AT146" s="12">
        <f t="shared" si="220"/>
        <v>-1552.96</v>
      </c>
      <c r="AU146" s="12">
        <f t="shared" si="220"/>
        <v>-1552.96</v>
      </c>
      <c r="AV146" s="12">
        <f t="shared" si="220"/>
        <v>-1552.96</v>
      </c>
      <c r="AW146" s="12">
        <f t="shared" si="220"/>
        <v>-1552.96</v>
      </c>
      <c r="AX146" s="12">
        <f t="shared" si="220"/>
        <v>-1552.96</v>
      </c>
      <c r="AY146" s="12">
        <f t="shared" si="220"/>
        <v>-310.59199999999998</v>
      </c>
      <c r="AZ146" s="12">
        <f t="shared" si="220"/>
        <v>-310.59199999999998</v>
      </c>
      <c r="BA146" s="12">
        <f t="shared" si="220"/>
        <v>-310.59199999999998</v>
      </c>
      <c r="BB146" s="12">
        <f t="shared" si="220"/>
        <v>-310.59199999999998</v>
      </c>
      <c r="BC146" s="12">
        <f t="shared" si="220"/>
        <v>-310.59199999999998</v>
      </c>
      <c r="BD146" s="12">
        <f t="shared" si="220"/>
        <v>-310.59199999999998</v>
      </c>
      <c r="BE146" s="12">
        <f t="shared" si="220"/>
        <v>-310.59199999999998</v>
      </c>
      <c r="BF146" s="12">
        <f t="shared" si="220"/>
        <v>-310.59199999999998</v>
      </c>
      <c r="BG146" s="12">
        <f t="shared" si="220"/>
        <v>-310.59199999999998</v>
      </c>
      <c r="BH146" s="12">
        <f t="shared" si="220"/>
        <v>-310.59199999999998</v>
      </c>
      <c r="BI146" s="12">
        <f t="shared" si="220"/>
        <v>-310.59199999999998</v>
      </c>
      <c r="BJ146" s="12">
        <f t="shared" si="220"/>
        <v>-310.59199999999998</v>
      </c>
      <c r="BK146" s="12">
        <f t="shared" si="220"/>
        <v>-310.59199999999998</v>
      </c>
      <c r="BL146" s="12">
        <f t="shared" si="220"/>
        <v>-310.59199999999998</v>
      </c>
      <c r="BM146" s="12">
        <f t="shared" si="220"/>
        <v>-310.59199999999998</v>
      </c>
      <c r="BN146" s="12">
        <f t="shared" si="220"/>
        <v>-310.59199999999998</v>
      </c>
      <c r="BO146" s="12">
        <f t="shared" si="220"/>
        <v>-310.59199999999998</v>
      </c>
      <c r="BP146" s="12">
        <f t="shared" si="220"/>
        <v>-310.59199999999998</v>
      </c>
      <c r="BQ146" s="12">
        <f t="shared" si="220"/>
        <v>-310.59199999999998</v>
      </c>
      <c r="BR146" s="12">
        <f t="shared" si="220"/>
        <v>-310.59199999999998</v>
      </c>
      <c r="BS146" s="12">
        <f t="shared" si="220"/>
        <v>-310.59199999999998</v>
      </c>
      <c r="BT146" s="12">
        <f t="shared" si="220"/>
        <v>-310.59199999999998</v>
      </c>
      <c r="BU146" s="12">
        <f t="shared" ref="BU146:CZ146" si="221">-BU139*$E$61</f>
        <v>-310.59199999999998</v>
      </c>
      <c r="BV146" s="12">
        <f t="shared" si="221"/>
        <v>-310.59199999999998</v>
      </c>
      <c r="BW146" s="12">
        <f t="shared" si="221"/>
        <v>-310.59199999999998</v>
      </c>
      <c r="BX146" s="12">
        <f t="shared" si="221"/>
        <v>-310.59199999999998</v>
      </c>
      <c r="BY146" s="12">
        <f t="shared" si="221"/>
        <v>-310.59199999999998</v>
      </c>
      <c r="BZ146" s="12">
        <f t="shared" si="221"/>
        <v>-310.59199999999998</v>
      </c>
      <c r="CA146" s="12">
        <f t="shared" si="221"/>
        <v>-310.59199999999998</v>
      </c>
      <c r="CB146" s="12">
        <f t="shared" si="221"/>
        <v>-310.59199999999998</v>
      </c>
      <c r="CC146" s="12">
        <f t="shared" si="221"/>
        <v>0</v>
      </c>
      <c r="CD146" s="12">
        <f t="shared" si="221"/>
        <v>-465.88799999999992</v>
      </c>
      <c r="CE146" s="12">
        <f t="shared" si="221"/>
        <v>-465.88799999999992</v>
      </c>
      <c r="CF146" s="12">
        <f t="shared" si="221"/>
        <v>-465.88799999999992</v>
      </c>
      <c r="CG146" s="12">
        <f t="shared" si="221"/>
        <v>-465.88799999999992</v>
      </c>
      <c r="CH146" s="12">
        <f t="shared" si="221"/>
        <v>-465.88799999999992</v>
      </c>
      <c r="CI146" s="12">
        <f t="shared" si="221"/>
        <v>-465.88799999999992</v>
      </c>
      <c r="CJ146" s="12">
        <f t="shared" si="221"/>
        <v>-465.88799999999992</v>
      </c>
      <c r="CK146" s="12">
        <f t="shared" si="221"/>
        <v>-465.88799999999992</v>
      </c>
      <c r="CL146" s="12">
        <f t="shared" si="221"/>
        <v>-465.88799999999992</v>
      </c>
      <c r="CM146" s="12">
        <f t="shared" si="221"/>
        <v>-465.88799999999992</v>
      </c>
      <c r="CN146" s="12">
        <f t="shared" si="221"/>
        <v>0</v>
      </c>
      <c r="CO146" s="12">
        <f t="shared" si="221"/>
        <v>0</v>
      </c>
      <c r="CP146" s="12">
        <f t="shared" si="221"/>
        <v>0</v>
      </c>
      <c r="CQ146" s="12">
        <f t="shared" si="221"/>
        <v>0</v>
      </c>
      <c r="CR146" s="12">
        <f t="shared" si="221"/>
        <v>0</v>
      </c>
      <c r="CS146" s="12">
        <f t="shared" si="221"/>
        <v>0</v>
      </c>
      <c r="CT146" s="12">
        <f t="shared" si="221"/>
        <v>0</v>
      </c>
      <c r="CU146" s="12">
        <f t="shared" si="221"/>
        <v>0</v>
      </c>
      <c r="CV146" s="12">
        <f t="shared" si="221"/>
        <v>0</v>
      </c>
      <c r="CW146" s="12">
        <f t="shared" si="221"/>
        <v>0</v>
      </c>
      <c r="CX146" s="12">
        <f t="shared" si="221"/>
        <v>0</v>
      </c>
      <c r="CY146" s="12">
        <f t="shared" si="221"/>
        <v>0</v>
      </c>
      <c r="CZ146" s="12">
        <f t="shared" si="221"/>
        <v>0</v>
      </c>
      <c r="DA146" s="12">
        <f t="shared" ref="DA146:EF146" si="222">-DA139*$E$61</f>
        <v>0</v>
      </c>
      <c r="DB146" s="12">
        <f t="shared" si="222"/>
        <v>0</v>
      </c>
      <c r="DC146" s="12">
        <f t="shared" si="222"/>
        <v>0</v>
      </c>
      <c r="DD146" s="12">
        <f t="shared" si="222"/>
        <v>0</v>
      </c>
      <c r="DE146" s="12">
        <f t="shared" si="222"/>
        <v>0</v>
      </c>
      <c r="DF146" s="12">
        <f t="shared" si="222"/>
        <v>0</v>
      </c>
      <c r="DG146" s="12">
        <f t="shared" si="222"/>
        <v>0</v>
      </c>
      <c r="DH146" s="12">
        <f t="shared" si="222"/>
        <v>0</v>
      </c>
      <c r="DI146" s="12">
        <f t="shared" si="222"/>
        <v>0</v>
      </c>
      <c r="DJ146" s="12">
        <f t="shared" si="222"/>
        <v>0</v>
      </c>
      <c r="DK146" s="12">
        <f t="shared" si="222"/>
        <v>0</v>
      </c>
      <c r="DL146" s="12">
        <f t="shared" si="222"/>
        <v>0</v>
      </c>
      <c r="DM146" s="12">
        <f t="shared" si="222"/>
        <v>0</v>
      </c>
      <c r="DN146" s="12">
        <f t="shared" si="222"/>
        <v>0</v>
      </c>
      <c r="DO146" s="12">
        <f t="shared" si="222"/>
        <v>0</v>
      </c>
      <c r="DP146" s="12">
        <f t="shared" si="222"/>
        <v>0</v>
      </c>
      <c r="DQ146" s="12">
        <f t="shared" si="222"/>
        <v>0</v>
      </c>
      <c r="DR146" s="12">
        <f t="shared" si="222"/>
        <v>0</v>
      </c>
      <c r="DS146" s="12">
        <f t="shared" si="222"/>
        <v>0</v>
      </c>
      <c r="DT146" s="12">
        <f t="shared" si="222"/>
        <v>0</v>
      </c>
      <c r="DU146" s="12">
        <f t="shared" si="222"/>
        <v>0</v>
      </c>
      <c r="DV146" s="12">
        <f t="shared" si="222"/>
        <v>0</v>
      </c>
      <c r="DW146" s="12">
        <f t="shared" si="222"/>
        <v>0</v>
      </c>
      <c r="DX146" s="12">
        <f t="shared" si="222"/>
        <v>0</v>
      </c>
      <c r="DY146" s="12">
        <f t="shared" si="222"/>
        <v>0</v>
      </c>
      <c r="DZ146" s="12">
        <f t="shared" si="222"/>
        <v>0</v>
      </c>
      <c r="EA146" s="12">
        <f t="shared" si="222"/>
        <v>0</v>
      </c>
      <c r="EB146" s="12">
        <f t="shared" si="222"/>
        <v>0</v>
      </c>
      <c r="EC146" s="12">
        <f t="shared" si="222"/>
        <v>0</v>
      </c>
      <c r="ED146" s="12">
        <f t="shared" si="222"/>
        <v>0</v>
      </c>
      <c r="EE146" s="12">
        <f t="shared" si="222"/>
        <v>0</v>
      </c>
      <c r="EF146" s="12">
        <f t="shared" si="222"/>
        <v>0</v>
      </c>
      <c r="EG146" s="12">
        <f t="shared" ref="EG146:FH146" si="223">-EG139*$E$61</f>
        <v>0</v>
      </c>
      <c r="EH146" s="12">
        <f t="shared" si="223"/>
        <v>0</v>
      </c>
      <c r="EI146" s="12">
        <f t="shared" si="223"/>
        <v>0</v>
      </c>
      <c r="EJ146" s="12">
        <f t="shared" si="223"/>
        <v>0</v>
      </c>
      <c r="EK146" s="12">
        <f t="shared" si="223"/>
        <v>0</v>
      </c>
      <c r="EL146" s="12">
        <f t="shared" si="223"/>
        <v>0</v>
      </c>
      <c r="EM146" s="12">
        <f t="shared" si="223"/>
        <v>0</v>
      </c>
      <c r="EN146" s="12">
        <f t="shared" si="223"/>
        <v>0</v>
      </c>
      <c r="EO146" s="12">
        <f t="shared" si="223"/>
        <v>0</v>
      </c>
      <c r="EP146" s="12">
        <f t="shared" si="223"/>
        <v>0</v>
      </c>
      <c r="EQ146" s="12">
        <f t="shared" si="223"/>
        <v>0</v>
      </c>
      <c r="ER146" s="12">
        <f t="shared" si="223"/>
        <v>0</v>
      </c>
      <c r="ES146" s="12">
        <f t="shared" si="223"/>
        <v>0</v>
      </c>
      <c r="ET146" s="12">
        <f t="shared" si="223"/>
        <v>0</v>
      </c>
      <c r="EU146" s="12">
        <f t="shared" si="223"/>
        <v>0</v>
      </c>
      <c r="EV146" s="12">
        <f t="shared" si="223"/>
        <v>0</v>
      </c>
      <c r="EW146" s="12">
        <f t="shared" si="223"/>
        <v>0</v>
      </c>
      <c r="EX146" s="12">
        <f t="shared" si="223"/>
        <v>0</v>
      </c>
      <c r="EY146" s="12">
        <f t="shared" si="223"/>
        <v>0</v>
      </c>
      <c r="EZ146" s="12">
        <f t="shared" si="223"/>
        <v>0</v>
      </c>
      <c r="FA146" s="12">
        <f t="shared" si="223"/>
        <v>0</v>
      </c>
      <c r="FB146" s="12">
        <f t="shared" si="223"/>
        <v>0</v>
      </c>
      <c r="FC146" s="12">
        <f t="shared" si="223"/>
        <v>0</v>
      </c>
      <c r="FD146" s="12">
        <f t="shared" si="223"/>
        <v>0</v>
      </c>
      <c r="FE146" s="12">
        <f t="shared" si="223"/>
        <v>0</v>
      </c>
      <c r="FF146" s="12">
        <f t="shared" si="223"/>
        <v>0</v>
      </c>
      <c r="FG146" s="12">
        <f t="shared" si="223"/>
        <v>0</v>
      </c>
      <c r="FH146" s="12">
        <f t="shared" si="223"/>
        <v>0</v>
      </c>
    </row>
    <row r="147" spans="1:164" x14ac:dyDescent="0.2">
      <c r="A147" s="10"/>
      <c r="B147" s="10"/>
      <c r="C147" s="10" t="s">
        <v>492</v>
      </c>
      <c r="D147" s="10"/>
      <c r="E147" s="10"/>
      <c r="F147" s="10"/>
      <c r="G147" s="10"/>
      <c r="H147" s="12">
        <f t="shared" si="198"/>
        <v>-17703.744000000013</v>
      </c>
      <c r="I147" s="12">
        <f t="shared" ref="I147:AN147" si="224">-(I145+I146)*$E$62</f>
        <v>0</v>
      </c>
      <c r="J147" s="12">
        <f t="shared" si="224"/>
        <v>0</v>
      </c>
      <c r="K147" s="12">
        <f t="shared" si="224"/>
        <v>0</v>
      </c>
      <c r="L147" s="12">
        <f t="shared" si="224"/>
        <v>0</v>
      </c>
      <c r="M147" s="12">
        <f t="shared" si="224"/>
        <v>0</v>
      </c>
      <c r="N147" s="12">
        <f t="shared" si="224"/>
        <v>0</v>
      </c>
      <c r="O147" s="12">
        <f t="shared" si="224"/>
        <v>0</v>
      </c>
      <c r="P147" s="12">
        <f t="shared" si="224"/>
        <v>0</v>
      </c>
      <c r="Q147" s="12">
        <f t="shared" si="224"/>
        <v>0</v>
      </c>
      <c r="R147" s="12">
        <f t="shared" si="224"/>
        <v>0</v>
      </c>
      <c r="S147" s="12">
        <f t="shared" si="224"/>
        <v>0</v>
      </c>
      <c r="T147" s="12">
        <f t="shared" si="224"/>
        <v>0</v>
      </c>
      <c r="U147" s="12">
        <f t="shared" si="224"/>
        <v>0</v>
      </c>
      <c r="V147" s="12">
        <f t="shared" si="224"/>
        <v>0</v>
      </c>
      <c r="W147" s="12">
        <f t="shared" si="224"/>
        <v>0</v>
      </c>
      <c r="X147" s="12">
        <f t="shared" si="224"/>
        <v>0</v>
      </c>
      <c r="Y147" s="12">
        <f t="shared" si="224"/>
        <v>0</v>
      </c>
      <c r="Z147" s="12">
        <f t="shared" si="224"/>
        <v>0</v>
      </c>
      <c r="AA147" s="12">
        <f t="shared" si="224"/>
        <v>0</v>
      </c>
      <c r="AB147" s="12">
        <f t="shared" si="224"/>
        <v>0</v>
      </c>
      <c r="AC147" s="12">
        <f t="shared" si="224"/>
        <v>0</v>
      </c>
      <c r="AD147" s="12">
        <f t="shared" si="224"/>
        <v>0</v>
      </c>
      <c r="AE147" s="12">
        <f t="shared" si="224"/>
        <v>0</v>
      </c>
      <c r="AF147" s="12">
        <f t="shared" si="224"/>
        <v>0</v>
      </c>
      <c r="AG147" s="12">
        <f t="shared" si="224"/>
        <v>0</v>
      </c>
      <c r="AH147" s="12">
        <f t="shared" si="224"/>
        <v>0</v>
      </c>
      <c r="AI147" s="12">
        <f t="shared" si="224"/>
        <v>0</v>
      </c>
      <c r="AJ147" s="12">
        <f t="shared" si="224"/>
        <v>0</v>
      </c>
      <c r="AK147" s="12">
        <f t="shared" si="224"/>
        <v>0</v>
      </c>
      <c r="AL147" s="12">
        <f t="shared" si="224"/>
        <v>0</v>
      </c>
      <c r="AM147" s="12">
        <f t="shared" si="224"/>
        <v>0</v>
      </c>
      <c r="AN147" s="12">
        <f t="shared" si="224"/>
        <v>0</v>
      </c>
      <c r="AO147" s="12">
        <f t="shared" ref="AO147:BT147" si="225">-(AO145+AO146)*$E$62</f>
        <v>0</v>
      </c>
      <c r="AP147" s="12">
        <f t="shared" si="225"/>
        <v>0</v>
      </c>
      <c r="AQ147" s="12">
        <f t="shared" si="225"/>
        <v>0</v>
      </c>
      <c r="AR147" s="12">
        <f t="shared" si="225"/>
        <v>0</v>
      </c>
      <c r="AS147" s="12">
        <f t="shared" si="225"/>
        <v>-129.4133333333333</v>
      </c>
      <c r="AT147" s="12">
        <f t="shared" si="225"/>
        <v>-134.73776761904759</v>
      </c>
      <c r="AU147" s="12">
        <f t="shared" si="225"/>
        <v>-140.21880291316523</v>
      </c>
      <c r="AV147" s="12">
        <f t="shared" si="225"/>
        <v>-145.86593018589249</v>
      </c>
      <c r="AW147" s="12">
        <f t="shared" si="225"/>
        <v>-151.68953018589252</v>
      </c>
      <c r="AX147" s="12">
        <f t="shared" si="225"/>
        <v>-157.70098825040864</v>
      </c>
      <c r="AY147" s="12">
        <f t="shared" si="225"/>
        <v>-59.553916250408655</v>
      </c>
      <c r="AZ147" s="12">
        <f t="shared" si="225"/>
        <v>-60.839124526270716</v>
      </c>
      <c r="BA147" s="12">
        <f t="shared" si="225"/>
        <v>-62.170233097699295</v>
      </c>
      <c r="BB147" s="12">
        <f t="shared" si="225"/>
        <v>-63.550641986588182</v>
      </c>
      <c r="BC147" s="12">
        <f t="shared" si="225"/>
        <v>-64.984143525049717</v>
      </c>
      <c r="BD147" s="12">
        <f t="shared" si="225"/>
        <v>-66.474985125049713</v>
      </c>
      <c r="BE147" s="12">
        <f t="shared" si="225"/>
        <v>-68.027945125049726</v>
      </c>
      <c r="BF147" s="12">
        <f t="shared" si="225"/>
        <v>-69.648425125049712</v>
      </c>
      <c r="BG147" s="12">
        <f t="shared" si="225"/>
        <v>-71.342563306867902</v>
      </c>
      <c r="BH147" s="12">
        <f t="shared" si="225"/>
        <v>-73.117374735439313</v>
      </c>
      <c r="BI147" s="12">
        <f t="shared" si="225"/>
        <v>-74.98092673543934</v>
      </c>
      <c r="BJ147" s="12">
        <f t="shared" si="225"/>
        <v>-76.942560419649851</v>
      </c>
      <c r="BK147" s="12">
        <f t="shared" si="225"/>
        <v>-79.013173752983192</v>
      </c>
      <c r="BL147" s="12">
        <f t="shared" si="225"/>
        <v>-81.205587870630239</v>
      </c>
      <c r="BM147" s="12">
        <f t="shared" si="225"/>
        <v>-83.535027870630245</v>
      </c>
      <c r="BN147" s="12">
        <f t="shared" si="225"/>
        <v>-86.019763870630257</v>
      </c>
      <c r="BO147" s="12">
        <f t="shared" si="225"/>
        <v>-88.681981013487388</v>
      </c>
      <c r="BP147" s="12">
        <f t="shared" si="225"/>
        <v>-91.548984090410471</v>
      </c>
      <c r="BQ147" s="12">
        <f t="shared" si="225"/>
        <v>-94.654904090410454</v>
      </c>
      <c r="BR147" s="12">
        <f t="shared" si="225"/>
        <v>-98.043180454046819</v>
      </c>
      <c r="BS147" s="12">
        <f t="shared" si="225"/>
        <v>-101.77028445404682</v>
      </c>
      <c r="BT147" s="12">
        <f t="shared" si="225"/>
        <v>-105.91151112071348</v>
      </c>
      <c r="BU147" s="12">
        <f t="shared" ref="BU147:CZ147" si="226">-(BU145+BU146)*$E$62</f>
        <v>-110.57039112071348</v>
      </c>
      <c r="BV147" s="12">
        <f t="shared" si="226"/>
        <v>-115.89482540642777</v>
      </c>
      <c r="BW147" s="12">
        <f t="shared" si="226"/>
        <v>-122.10666540642777</v>
      </c>
      <c r="BX147" s="12">
        <f t="shared" si="226"/>
        <v>-129.56087340642776</v>
      </c>
      <c r="BY147" s="12">
        <f t="shared" si="226"/>
        <v>-138.87863340642775</v>
      </c>
      <c r="BZ147" s="12">
        <f t="shared" si="226"/>
        <v>-151.30231340642777</v>
      </c>
      <c r="CA147" s="12">
        <f t="shared" si="226"/>
        <v>-169.93783340642779</v>
      </c>
      <c r="CB147" s="12">
        <f t="shared" si="226"/>
        <v>-207.20887340642778</v>
      </c>
      <c r="CC147" s="12">
        <f t="shared" si="226"/>
        <v>-745.4208000000009</v>
      </c>
      <c r="CD147" s="12">
        <f t="shared" si="226"/>
        <v>-111.81311999999998</v>
      </c>
      <c r="CE147" s="12">
        <f t="shared" si="226"/>
        <v>-111.81311999999998</v>
      </c>
      <c r="CF147" s="12">
        <f t="shared" si="226"/>
        <v>-111.81311999999998</v>
      </c>
      <c r="CG147" s="12">
        <f t="shared" si="226"/>
        <v>-111.81311999999998</v>
      </c>
      <c r="CH147" s="12">
        <f t="shared" si="226"/>
        <v>-111.81311999999998</v>
      </c>
      <c r="CI147" s="12">
        <f t="shared" si="226"/>
        <v>-111.81311999999998</v>
      </c>
      <c r="CJ147" s="12">
        <f t="shared" si="226"/>
        <v>-111.81311999999998</v>
      </c>
      <c r="CK147" s="12">
        <f t="shared" si="226"/>
        <v>-111.81311999999998</v>
      </c>
      <c r="CL147" s="12">
        <f t="shared" si="226"/>
        <v>-111.81311999999998</v>
      </c>
      <c r="CM147" s="12">
        <f t="shared" si="226"/>
        <v>-111.81311999999998</v>
      </c>
      <c r="CN147" s="12">
        <f t="shared" si="226"/>
        <v>-12113.088000000014</v>
      </c>
      <c r="CO147" s="12">
        <f t="shared" si="226"/>
        <v>0</v>
      </c>
      <c r="CP147" s="12">
        <f t="shared" si="226"/>
        <v>0</v>
      </c>
      <c r="CQ147" s="12">
        <f t="shared" si="226"/>
        <v>0</v>
      </c>
      <c r="CR147" s="12">
        <f t="shared" si="226"/>
        <v>0</v>
      </c>
      <c r="CS147" s="12">
        <f t="shared" si="226"/>
        <v>0</v>
      </c>
      <c r="CT147" s="12">
        <f t="shared" si="226"/>
        <v>0</v>
      </c>
      <c r="CU147" s="12">
        <f t="shared" si="226"/>
        <v>0</v>
      </c>
      <c r="CV147" s="12">
        <f t="shared" si="226"/>
        <v>0</v>
      </c>
      <c r="CW147" s="12">
        <f t="shared" si="226"/>
        <v>0</v>
      </c>
      <c r="CX147" s="12">
        <f t="shared" si="226"/>
        <v>0</v>
      </c>
      <c r="CY147" s="12">
        <f t="shared" si="226"/>
        <v>0</v>
      </c>
      <c r="CZ147" s="12">
        <f t="shared" si="226"/>
        <v>0</v>
      </c>
      <c r="DA147" s="12">
        <f t="shared" ref="DA147:EF147" si="227">-(DA145+DA146)*$E$62</f>
        <v>0</v>
      </c>
      <c r="DB147" s="12">
        <f t="shared" si="227"/>
        <v>0</v>
      </c>
      <c r="DC147" s="12">
        <f t="shared" si="227"/>
        <v>0</v>
      </c>
      <c r="DD147" s="12">
        <f t="shared" si="227"/>
        <v>0</v>
      </c>
      <c r="DE147" s="12">
        <f t="shared" si="227"/>
        <v>0</v>
      </c>
      <c r="DF147" s="12">
        <f t="shared" si="227"/>
        <v>0</v>
      </c>
      <c r="DG147" s="12">
        <f t="shared" si="227"/>
        <v>0</v>
      </c>
      <c r="DH147" s="12">
        <f t="shared" si="227"/>
        <v>0</v>
      </c>
      <c r="DI147" s="12">
        <f t="shared" si="227"/>
        <v>0</v>
      </c>
      <c r="DJ147" s="12">
        <f t="shared" si="227"/>
        <v>0</v>
      </c>
      <c r="DK147" s="12">
        <f t="shared" si="227"/>
        <v>0</v>
      </c>
      <c r="DL147" s="12">
        <f t="shared" si="227"/>
        <v>0</v>
      </c>
      <c r="DM147" s="12">
        <f t="shared" si="227"/>
        <v>0</v>
      </c>
      <c r="DN147" s="12">
        <f t="shared" si="227"/>
        <v>0</v>
      </c>
      <c r="DO147" s="12">
        <f t="shared" si="227"/>
        <v>0</v>
      </c>
      <c r="DP147" s="12">
        <f t="shared" si="227"/>
        <v>0</v>
      </c>
      <c r="DQ147" s="12">
        <f t="shared" si="227"/>
        <v>0</v>
      </c>
      <c r="DR147" s="12">
        <f t="shared" si="227"/>
        <v>0</v>
      </c>
      <c r="DS147" s="12">
        <f t="shared" si="227"/>
        <v>0</v>
      </c>
      <c r="DT147" s="12">
        <f t="shared" si="227"/>
        <v>0</v>
      </c>
      <c r="DU147" s="12">
        <f t="shared" si="227"/>
        <v>0</v>
      </c>
      <c r="DV147" s="12">
        <f t="shared" si="227"/>
        <v>0</v>
      </c>
      <c r="DW147" s="12">
        <f t="shared" si="227"/>
        <v>0</v>
      </c>
      <c r="DX147" s="12">
        <f t="shared" si="227"/>
        <v>0</v>
      </c>
      <c r="DY147" s="12">
        <f t="shared" si="227"/>
        <v>0</v>
      </c>
      <c r="DZ147" s="12">
        <f t="shared" si="227"/>
        <v>0</v>
      </c>
      <c r="EA147" s="12">
        <f t="shared" si="227"/>
        <v>0</v>
      </c>
      <c r="EB147" s="12">
        <f t="shared" si="227"/>
        <v>0</v>
      </c>
      <c r="EC147" s="12">
        <f t="shared" si="227"/>
        <v>0</v>
      </c>
      <c r="ED147" s="12">
        <f t="shared" si="227"/>
        <v>0</v>
      </c>
      <c r="EE147" s="12">
        <f t="shared" si="227"/>
        <v>0</v>
      </c>
      <c r="EF147" s="12">
        <f t="shared" si="227"/>
        <v>0</v>
      </c>
      <c r="EG147" s="12">
        <f t="shared" ref="EG147:FH147" si="228">-(EG145+EG146)*$E$62</f>
        <v>0</v>
      </c>
      <c r="EH147" s="12">
        <f t="shared" si="228"/>
        <v>0</v>
      </c>
      <c r="EI147" s="12">
        <f t="shared" si="228"/>
        <v>0</v>
      </c>
      <c r="EJ147" s="12">
        <f t="shared" si="228"/>
        <v>0</v>
      </c>
      <c r="EK147" s="12">
        <f t="shared" si="228"/>
        <v>0</v>
      </c>
      <c r="EL147" s="12">
        <f t="shared" si="228"/>
        <v>0</v>
      </c>
      <c r="EM147" s="12">
        <f t="shared" si="228"/>
        <v>0</v>
      </c>
      <c r="EN147" s="12">
        <f t="shared" si="228"/>
        <v>0</v>
      </c>
      <c r="EO147" s="12">
        <f t="shared" si="228"/>
        <v>0</v>
      </c>
      <c r="EP147" s="12">
        <f t="shared" si="228"/>
        <v>0</v>
      </c>
      <c r="EQ147" s="12">
        <f t="shared" si="228"/>
        <v>0</v>
      </c>
      <c r="ER147" s="12">
        <f t="shared" si="228"/>
        <v>0</v>
      </c>
      <c r="ES147" s="12">
        <f t="shared" si="228"/>
        <v>0</v>
      </c>
      <c r="ET147" s="12">
        <f t="shared" si="228"/>
        <v>0</v>
      </c>
      <c r="EU147" s="12">
        <f t="shared" si="228"/>
        <v>0</v>
      </c>
      <c r="EV147" s="12">
        <f t="shared" si="228"/>
        <v>0</v>
      </c>
      <c r="EW147" s="12">
        <f t="shared" si="228"/>
        <v>0</v>
      </c>
      <c r="EX147" s="12">
        <f t="shared" si="228"/>
        <v>0</v>
      </c>
      <c r="EY147" s="12">
        <f t="shared" si="228"/>
        <v>0</v>
      </c>
      <c r="EZ147" s="12">
        <f t="shared" si="228"/>
        <v>0</v>
      </c>
      <c r="FA147" s="12">
        <f t="shared" si="228"/>
        <v>0</v>
      </c>
      <c r="FB147" s="12">
        <f t="shared" si="228"/>
        <v>0</v>
      </c>
      <c r="FC147" s="12">
        <f t="shared" si="228"/>
        <v>0</v>
      </c>
      <c r="FD147" s="12">
        <f t="shared" si="228"/>
        <v>0</v>
      </c>
      <c r="FE147" s="12">
        <f t="shared" si="228"/>
        <v>0</v>
      </c>
      <c r="FF147" s="12">
        <f t="shared" si="228"/>
        <v>0</v>
      </c>
      <c r="FG147" s="12">
        <f t="shared" si="228"/>
        <v>0</v>
      </c>
      <c r="FH147" s="12">
        <f t="shared" si="228"/>
        <v>0</v>
      </c>
    </row>
    <row r="148" spans="1:164" x14ac:dyDescent="0.2">
      <c r="A148" s="10"/>
      <c r="B148" s="10"/>
      <c r="C148" s="10" t="s">
        <v>754</v>
      </c>
      <c r="D148" s="10"/>
      <c r="E148" s="10"/>
      <c r="F148" s="10"/>
      <c r="G148" s="10"/>
      <c r="H148" s="12">
        <f t="shared" si="198"/>
        <v>0</v>
      </c>
      <c r="I148" s="12">
        <f t="shared" ref="I148:AN148" si="229">-I145*$E$63</f>
        <v>0</v>
      </c>
      <c r="J148" s="12">
        <f t="shared" si="229"/>
        <v>0</v>
      </c>
      <c r="K148" s="12">
        <f t="shared" si="229"/>
        <v>0</v>
      </c>
      <c r="L148" s="12">
        <f t="shared" si="229"/>
        <v>0</v>
      </c>
      <c r="M148" s="12">
        <f t="shared" si="229"/>
        <v>0</v>
      </c>
      <c r="N148" s="12">
        <f t="shared" si="229"/>
        <v>0</v>
      </c>
      <c r="O148" s="12">
        <f t="shared" si="229"/>
        <v>0</v>
      </c>
      <c r="P148" s="12">
        <f t="shared" si="229"/>
        <v>0</v>
      </c>
      <c r="Q148" s="12">
        <f t="shared" si="229"/>
        <v>0</v>
      </c>
      <c r="R148" s="12">
        <f t="shared" si="229"/>
        <v>0</v>
      </c>
      <c r="S148" s="12">
        <f t="shared" si="229"/>
        <v>0</v>
      </c>
      <c r="T148" s="12">
        <f t="shared" si="229"/>
        <v>0</v>
      </c>
      <c r="U148" s="12">
        <f t="shared" si="229"/>
        <v>0</v>
      </c>
      <c r="V148" s="12">
        <f t="shared" si="229"/>
        <v>0</v>
      </c>
      <c r="W148" s="12">
        <f t="shared" si="229"/>
        <v>0</v>
      </c>
      <c r="X148" s="12">
        <f t="shared" si="229"/>
        <v>0</v>
      </c>
      <c r="Y148" s="12">
        <f t="shared" si="229"/>
        <v>0</v>
      </c>
      <c r="Z148" s="12">
        <f t="shared" si="229"/>
        <v>0</v>
      </c>
      <c r="AA148" s="12">
        <f t="shared" si="229"/>
        <v>0</v>
      </c>
      <c r="AB148" s="12">
        <f t="shared" si="229"/>
        <v>0</v>
      </c>
      <c r="AC148" s="12">
        <f t="shared" si="229"/>
        <v>0</v>
      </c>
      <c r="AD148" s="12">
        <f t="shared" si="229"/>
        <v>0</v>
      </c>
      <c r="AE148" s="12">
        <f t="shared" si="229"/>
        <v>0</v>
      </c>
      <c r="AF148" s="12">
        <f t="shared" si="229"/>
        <v>0</v>
      </c>
      <c r="AG148" s="12">
        <f t="shared" si="229"/>
        <v>0</v>
      </c>
      <c r="AH148" s="12">
        <f t="shared" si="229"/>
        <v>0</v>
      </c>
      <c r="AI148" s="12">
        <f t="shared" si="229"/>
        <v>0</v>
      </c>
      <c r="AJ148" s="12">
        <f t="shared" si="229"/>
        <v>0</v>
      </c>
      <c r="AK148" s="12">
        <f t="shared" si="229"/>
        <v>0</v>
      </c>
      <c r="AL148" s="12">
        <f t="shared" si="229"/>
        <v>0</v>
      </c>
      <c r="AM148" s="12">
        <f t="shared" si="229"/>
        <v>0</v>
      </c>
      <c r="AN148" s="12">
        <f t="shared" si="229"/>
        <v>0</v>
      </c>
      <c r="AO148" s="12">
        <f t="shared" ref="AO148:BT148" si="230">-AO145*$E$63</f>
        <v>0</v>
      </c>
      <c r="AP148" s="12">
        <f t="shared" si="230"/>
        <v>0</v>
      </c>
      <c r="AQ148" s="12">
        <f t="shared" si="230"/>
        <v>0</v>
      </c>
      <c r="AR148" s="12">
        <f t="shared" si="230"/>
        <v>0</v>
      </c>
      <c r="AS148" s="12">
        <f t="shared" si="230"/>
        <v>0</v>
      </c>
      <c r="AT148" s="12">
        <f t="shared" si="230"/>
        <v>0</v>
      </c>
      <c r="AU148" s="12">
        <f t="shared" si="230"/>
        <v>0</v>
      </c>
      <c r="AV148" s="12">
        <f t="shared" si="230"/>
        <v>0</v>
      </c>
      <c r="AW148" s="12">
        <f t="shared" si="230"/>
        <v>0</v>
      </c>
      <c r="AX148" s="12">
        <f t="shared" si="230"/>
        <v>0</v>
      </c>
      <c r="AY148" s="12">
        <f t="shared" si="230"/>
        <v>0</v>
      </c>
      <c r="AZ148" s="12">
        <f t="shared" si="230"/>
        <v>0</v>
      </c>
      <c r="BA148" s="12">
        <f t="shared" si="230"/>
        <v>0</v>
      </c>
      <c r="BB148" s="12">
        <f t="shared" si="230"/>
        <v>0</v>
      </c>
      <c r="BC148" s="12">
        <f t="shared" si="230"/>
        <v>0</v>
      </c>
      <c r="BD148" s="12">
        <f t="shared" si="230"/>
        <v>0</v>
      </c>
      <c r="BE148" s="12">
        <f t="shared" si="230"/>
        <v>0</v>
      </c>
      <c r="BF148" s="12">
        <f t="shared" si="230"/>
        <v>0</v>
      </c>
      <c r="BG148" s="12">
        <f t="shared" si="230"/>
        <v>0</v>
      </c>
      <c r="BH148" s="12">
        <f t="shared" si="230"/>
        <v>0</v>
      </c>
      <c r="BI148" s="12">
        <f t="shared" si="230"/>
        <v>0</v>
      </c>
      <c r="BJ148" s="12">
        <f t="shared" si="230"/>
        <v>0</v>
      </c>
      <c r="BK148" s="12">
        <f t="shared" si="230"/>
        <v>0</v>
      </c>
      <c r="BL148" s="12">
        <f t="shared" si="230"/>
        <v>0</v>
      </c>
      <c r="BM148" s="12">
        <f t="shared" si="230"/>
        <v>0</v>
      </c>
      <c r="BN148" s="12">
        <f t="shared" si="230"/>
        <v>0</v>
      </c>
      <c r="BO148" s="12">
        <f t="shared" si="230"/>
        <v>0</v>
      </c>
      <c r="BP148" s="12">
        <f t="shared" si="230"/>
        <v>0</v>
      </c>
      <c r="BQ148" s="12">
        <f t="shared" si="230"/>
        <v>0</v>
      </c>
      <c r="BR148" s="12">
        <f t="shared" si="230"/>
        <v>0</v>
      </c>
      <c r="BS148" s="12">
        <f t="shared" si="230"/>
        <v>0</v>
      </c>
      <c r="BT148" s="12">
        <f t="shared" si="230"/>
        <v>0</v>
      </c>
      <c r="BU148" s="12">
        <f t="shared" ref="BU148:CZ148" si="231">-BU145*$E$63</f>
        <v>0</v>
      </c>
      <c r="BV148" s="12">
        <f t="shared" si="231"/>
        <v>0</v>
      </c>
      <c r="BW148" s="12">
        <f t="shared" si="231"/>
        <v>0</v>
      </c>
      <c r="BX148" s="12">
        <f t="shared" si="231"/>
        <v>0</v>
      </c>
      <c r="BY148" s="12">
        <f t="shared" si="231"/>
        <v>0</v>
      </c>
      <c r="BZ148" s="12">
        <f t="shared" si="231"/>
        <v>0</v>
      </c>
      <c r="CA148" s="12">
        <f t="shared" si="231"/>
        <v>0</v>
      </c>
      <c r="CB148" s="12">
        <f t="shared" si="231"/>
        <v>0</v>
      </c>
      <c r="CC148" s="12">
        <f t="shared" si="231"/>
        <v>0</v>
      </c>
      <c r="CD148" s="12">
        <f t="shared" si="231"/>
        <v>0</v>
      </c>
      <c r="CE148" s="12">
        <f t="shared" si="231"/>
        <v>0</v>
      </c>
      <c r="CF148" s="12">
        <f t="shared" si="231"/>
        <v>0</v>
      </c>
      <c r="CG148" s="12">
        <f t="shared" si="231"/>
        <v>0</v>
      </c>
      <c r="CH148" s="12">
        <f t="shared" si="231"/>
        <v>0</v>
      </c>
      <c r="CI148" s="12">
        <f t="shared" si="231"/>
        <v>0</v>
      </c>
      <c r="CJ148" s="12">
        <f t="shared" si="231"/>
        <v>0</v>
      </c>
      <c r="CK148" s="12">
        <f t="shared" si="231"/>
        <v>0</v>
      </c>
      <c r="CL148" s="12">
        <f t="shared" si="231"/>
        <v>0</v>
      </c>
      <c r="CM148" s="12">
        <f t="shared" si="231"/>
        <v>0</v>
      </c>
      <c r="CN148" s="12">
        <f t="shared" si="231"/>
        <v>0</v>
      </c>
      <c r="CO148" s="12">
        <f t="shared" si="231"/>
        <v>0</v>
      </c>
      <c r="CP148" s="12">
        <f t="shared" si="231"/>
        <v>0</v>
      </c>
      <c r="CQ148" s="12">
        <f t="shared" si="231"/>
        <v>0</v>
      </c>
      <c r="CR148" s="12">
        <f t="shared" si="231"/>
        <v>0</v>
      </c>
      <c r="CS148" s="12">
        <f t="shared" si="231"/>
        <v>0</v>
      </c>
      <c r="CT148" s="12">
        <f t="shared" si="231"/>
        <v>0</v>
      </c>
      <c r="CU148" s="12">
        <f t="shared" si="231"/>
        <v>0</v>
      </c>
      <c r="CV148" s="12">
        <f t="shared" si="231"/>
        <v>0</v>
      </c>
      <c r="CW148" s="12">
        <f t="shared" si="231"/>
        <v>0</v>
      </c>
      <c r="CX148" s="12">
        <f t="shared" si="231"/>
        <v>0</v>
      </c>
      <c r="CY148" s="12">
        <f t="shared" si="231"/>
        <v>0</v>
      </c>
      <c r="CZ148" s="12">
        <f t="shared" si="231"/>
        <v>0</v>
      </c>
      <c r="DA148" s="12">
        <f t="shared" ref="DA148:EF148" si="232">-DA145*$E$63</f>
        <v>0</v>
      </c>
      <c r="DB148" s="12">
        <f t="shared" si="232"/>
        <v>0</v>
      </c>
      <c r="DC148" s="12">
        <f t="shared" si="232"/>
        <v>0</v>
      </c>
      <c r="DD148" s="12">
        <f t="shared" si="232"/>
        <v>0</v>
      </c>
      <c r="DE148" s="12">
        <f t="shared" si="232"/>
        <v>0</v>
      </c>
      <c r="DF148" s="12">
        <f t="shared" si="232"/>
        <v>0</v>
      </c>
      <c r="DG148" s="12">
        <f t="shared" si="232"/>
        <v>0</v>
      </c>
      <c r="DH148" s="12">
        <f t="shared" si="232"/>
        <v>0</v>
      </c>
      <c r="DI148" s="12">
        <f t="shared" si="232"/>
        <v>0</v>
      </c>
      <c r="DJ148" s="12">
        <f t="shared" si="232"/>
        <v>0</v>
      </c>
      <c r="DK148" s="12">
        <f t="shared" si="232"/>
        <v>0</v>
      </c>
      <c r="DL148" s="12">
        <f t="shared" si="232"/>
        <v>0</v>
      </c>
      <c r="DM148" s="12">
        <f t="shared" si="232"/>
        <v>0</v>
      </c>
      <c r="DN148" s="12">
        <f t="shared" si="232"/>
        <v>0</v>
      </c>
      <c r="DO148" s="12">
        <f t="shared" si="232"/>
        <v>0</v>
      </c>
      <c r="DP148" s="12">
        <f t="shared" si="232"/>
        <v>0</v>
      </c>
      <c r="DQ148" s="12">
        <f t="shared" si="232"/>
        <v>0</v>
      </c>
      <c r="DR148" s="12">
        <f t="shared" si="232"/>
        <v>0</v>
      </c>
      <c r="DS148" s="12">
        <f t="shared" si="232"/>
        <v>0</v>
      </c>
      <c r="DT148" s="12">
        <f t="shared" si="232"/>
        <v>0</v>
      </c>
      <c r="DU148" s="12">
        <f t="shared" si="232"/>
        <v>0</v>
      </c>
      <c r="DV148" s="12">
        <f t="shared" si="232"/>
        <v>0</v>
      </c>
      <c r="DW148" s="12">
        <f t="shared" si="232"/>
        <v>0</v>
      </c>
      <c r="DX148" s="12">
        <f t="shared" si="232"/>
        <v>0</v>
      </c>
      <c r="DY148" s="12">
        <f t="shared" si="232"/>
        <v>0</v>
      </c>
      <c r="DZ148" s="12">
        <f t="shared" si="232"/>
        <v>0</v>
      </c>
      <c r="EA148" s="12">
        <f t="shared" si="232"/>
        <v>0</v>
      </c>
      <c r="EB148" s="12">
        <f t="shared" si="232"/>
        <v>0</v>
      </c>
      <c r="EC148" s="12">
        <f t="shared" si="232"/>
        <v>0</v>
      </c>
      <c r="ED148" s="12">
        <f t="shared" si="232"/>
        <v>0</v>
      </c>
      <c r="EE148" s="12">
        <f t="shared" si="232"/>
        <v>0</v>
      </c>
      <c r="EF148" s="12">
        <f t="shared" si="232"/>
        <v>0</v>
      </c>
      <c r="EG148" s="12">
        <f t="shared" ref="EG148:FH148" si="233">-EG145*$E$63</f>
        <v>0</v>
      </c>
      <c r="EH148" s="12">
        <f t="shared" si="233"/>
        <v>0</v>
      </c>
      <c r="EI148" s="12">
        <f t="shared" si="233"/>
        <v>0</v>
      </c>
      <c r="EJ148" s="12">
        <f t="shared" si="233"/>
        <v>0</v>
      </c>
      <c r="EK148" s="12">
        <f t="shared" si="233"/>
        <v>0</v>
      </c>
      <c r="EL148" s="12">
        <f t="shared" si="233"/>
        <v>0</v>
      </c>
      <c r="EM148" s="12">
        <f t="shared" si="233"/>
        <v>0</v>
      </c>
      <c r="EN148" s="12">
        <f t="shared" si="233"/>
        <v>0</v>
      </c>
      <c r="EO148" s="12">
        <f t="shared" si="233"/>
        <v>0</v>
      </c>
      <c r="EP148" s="12">
        <f t="shared" si="233"/>
        <v>0</v>
      </c>
      <c r="EQ148" s="12">
        <f t="shared" si="233"/>
        <v>0</v>
      </c>
      <c r="ER148" s="12">
        <f t="shared" si="233"/>
        <v>0</v>
      </c>
      <c r="ES148" s="12">
        <f t="shared" si="233"/>
        <v>0</v>
      </c>
      <c r="ET148" s="12">
        <f t="shared" si="233"/>
        <v>0</v>
      </c>
      <c r="EU148" s="12">
        <f t="shared" si="233"/>
        <v>0</v>
      </c>
      <c r="EV148" s="12">
        <f t="shared" si="233"/>
        <v>0</v>
      </c>
      <c r="EW148" s="12">
        <f t="shared" si="233"/>
        <v>0</v>
      </c>
      <c r="EX148" s="12">
        <f t="shared" si="233"/>
        <v>0</v>
      </c>
      <c r="EY148" s="12">
        <f t="shared" si="233"/>
        <v>0</v>
      </c>
      <c r="EZ148" s="12">
        <f t="shared" si="233"/>
        <v>0</v>
      </c>
      <c r="FA148" s="12">
        <f t="shared" si="233"/>
        <v>0</v>
      </c>
      <c r="FB148" s="12">
        <f t="shared" si="233"/>
        <v>0</v>
      </c>
      <c r="FC148" s="12">
        <f t="shared" si="233"/>
        <v>0</v>
      </c>
      <c r="FD148" s="12">
        <f t="shared" si="233"/>
        <v>0</v>
      </c>
      <c r="FE148" s="12">
        <f t="shared" si="233"/>
        <v>0</v>
      </c>
      <c r="FF148" s="12">
        <f t="shared" si="233"/>
        <v>0</v>
      </c>
      <c r="FG148" s="12">
        <f t="shared" si="233"/>
        <v>0</v>
      </c>
      <c r="FH148" s="12">
        <f t="shared" si="233"/>
        <v>0</v>
      </c>
    </row>
    <row r="149" spans="1:164" x14ac:dyDescent="0.2">
      <c r="A149" s="10"/>
      <c r="B149" s="10"/>
      <c r="C149" s="238" t="s">
        <v>7</v>
      </c>
      <c r="D149" s="238"/>
      <c r="E149" s="238"/>
      <c r="F149" s="238"/>
      <c r="G149" s="238"/>
      <c r="H149" s="239">
        <f t="shared" si="198"/>
        <v>424889.85600000038</v>
      </c>
      <c r="I149" s="239">
        <f t="shared" ref="I149:AN149" si="234">SUM(I145:I148)</f>
        <v>0</v>
      </c>
      <c r="J149" s="239">
        <f t="shared" si="234"/>
        <v>0</v>
      </c>
      <c r="K149" s="239">
        <f t="shared" si="234"/>
        <v>0</v>
      </c>
      <c r="L149" s="239">
        <f t="shared" si="234"/>
        <v>0</v>
      </c>
      <c r="M149" s="239">
        <f t="shared" si="234"/>
        <v>0</v>
      </c>
      <c r="N149" s="239">
        <f t="shared" si="234"/>
        <v>0</v>
      </c>
      <c r="O149" s="239">
        <f t="shared" si="234"/>
        <v>0</v>
      </c>
      <c r="P149" s="239">
        <f t="shared" si="234"/>
        <v>0</v>
      </c>
      <c r="Q149" s="239">
        <f t="shared" si="234"/>
        <v>0</v>
      </c>
      <c r="R149" s="239">
        <f t="shared" si="234"/>
        <v>0</v>
      </c>
      <c r="S149" s="239">
        <f t="shared" si="234"/>
        <v>0</v>
      </c>
      <c r="T149" s="239">
        <f t="shared" si="234"/>
        <v>0</v>
      </c>
      <c r="U149" s="239">
        <f t="shared" si="234"/>
        <v>0</v>
      </c>
      <c r="V149" s="239">
        <f t="shared" si="234"/>
        <v>0</v>
      </c>
      <c r="W149" s="239">
        <f t="shared" si="234"/>
        <v>0</v>
      </c>
      <c r="X149" s="239">
        <f t="shared" si="234"/>
        <v>0</v>
      </c>
      <c r="Y149" s="239">
        <f t="shared" si="234"/>
        <v>0</v>
      </c>
      <c r="Z149" s="239">
        <f t="shared" si="234"/>
        <v>0</v>
      </c>
      <c r="AA149" s="239">
        <f t="shared" si="234"/>
        <v>0</v>
      </c>
      <c r="AB149" s="239">
        <f t="shared" si="234"/>
        <v>0</v>
      </c>
      <c r="AC149" s="239">
        <f t="shared" si="234"/>
        <v>0</v>
      </c>
      <c r="AD149" s="239">
        <f t="shared" si="234"/>
        <v>0</v>
      </c>
      <c r="AE149" s="239">
        <f t="shared" si="234"/>
        <v>0</v>
      </c>
      <c r="AF149" s="239">
        <f t="shared" si="234"/>
        <v>0</v>
      </c>
      <c r="AG149" s="239">
        <f t="shared" si="234"/>
        <v>0</v>
      </c>
      <c r="AH149" s="239">
        <f t="shared" si="234"/>
        <v>0</v>
      </c>
      <c r="AI149" s="239">
        <f t="shared" si="234"/>
        <v>0</v>
      </c>
      <c r="AJ149" s="239">
        <f t="shared" si="234"/>
        <v>0</v>
      </c>
      <c r="AK149" s="239">
        <f t="shared" si="234"/>
        <v>0</v>
      </c>
      <c r="AL149" s="239">
        <f t="shared" si="234"/>
        <v>0</v>
      </c>
      <c r="AM149" s="239">
        <f t="shared" si="234"/>
        <v>0</v>
      </c>
      <c r="AN149" s="239">
        <f t="shared" si="234"/>
        <v>0</v>
      </c>
      <c r="AO149" s="239">
        <f t="shared" ref="AO149:BT149" si="235">SUM(AO145:AO148)</f>
        <v>0</v>
      </c>
      <c r="AP149" s="239">
        <f t="shared" si="235"/>
        <v>0</v>
      </c>
      <c r="AQ149" s="239">
        <f t="shared" si="235"/>
        <v>0</v>
      </c>
      <c r="AR149" s="239">
        <f t="shared" si="235"/>
        <v>0</v>
      </c>
      <c r="AS149" s="239">
        <f t="shared" si="235"/>
        <v>3105.9199999999987</v>
      </c>
      <c r="AT149" s="239">
        <f t="shared" si="235"/>
        <v>3233.7064228571421</v>
      </c>
      <c r="AU149" s="239">
        <f t="shared" si="235"/>
        <v>3365.2512699159656</v>
      </c>
      <c r="AV149" s="239">
        <f t="shared" si="235"/>
        <v>3500.7823244614201</v>
      </c>
      <c r="AW149" s="239">
        <f t="shared" si="235"/>
        <v>3640.5487244614201</v>
      </c>
      <c r="AX149" s="239">
        <f t="shared" si="235"/>
        <v>3784.8237180098072</v>
      </c>
      <c r="AY149" s="239">
        <f t="shared" si="235"/>
        <v>1429.2939900098077</v>
      </c>
      <c r="AZ149" s="239">
        <f t="shared" si="235"/>
        <v>1460.1389886304971</v>
      </c>
      <c r="BA149" s="239">
        <f t="shared" si="235"/>
        <v>1492.085594344783</v>
      </c>
      <c r="BB149" s="239">
        <f t="shared" si="235"/>
        <v>1525.2154076781162</v>
      </c>
      <c r="BC149" s="239">
        <f t="shared" si="235"/>
        <v>1559.6194446011932</v>
      </c>
      <c r="BD149" s="239">
        <f t="shared" si="235"/>
        <v>1595.3996430011932</v>
      </c>
      <c r="BE149" s="239">
        <f t="shared" si="235"/>
        <v>1632.6706830011933</v>
      </c>
      <c r="BF149" s="239">
        <f t="shared" si="235"/>
        <v>1671.562203001193</v>
      </c>
      <c r="BG149" s="239">
        <f t="shared" si="235"/>
        <v>1712.2215193648296</v>
      </c>
      <c r="BH149" s="239">
        <f t="shared" si="235"/>
        <v>1754.8169936505435</v>
      </c>
      <c r="BI149" s="239">
        <f t="shared" si="235"/>
        <v>1799.5422416505439</v>
      </c>
      <c r="BJ149" s="239">
        <f t="shared" si="235"/>
        <v>1846.6214500715964</v>
      </c>
      <c r="BK149" s="239">
        <f t="shared" si="235"/>
        <v>1896.3161700715964</v>
      </c>
      <c r="BL149" s="239">
        <f t="shared" si="235"/>
        <v>1948.9341088951257</v>
      </c>
      <c r="BM149" s="239">
        <f t="shared" si="235"/>
        <v>2004.8406688951256</v>
      </c>
      <c r="BN149" s="239">
        <f t="shared" si="235"/>
        <v>2064.4743328951258</v>
      </c>
      <c r="BO149" s="239">
        <f t="shared" si="235"/>
        <v>2128.3675443236971</v>
      </c>
      <c r="BP149" s="239">
        <f t="shared" si="235"/>
        <v>2197.1756181698511</v>
      </c>
      <c r="BQ149" s="239">
        <f t="shared" si="235"/>
        <v>2271.7176981698508</v>
      </c>
      <c r="BR149" s="239">
        <f t="shared" si="235"/>
        <v>2353.0363308971237</v>
      </c>
      <c r="BS149" s="239">
        <f t="shared" si="235"/>
        <v>2442.4868268971236</v>
      </c>
      <c r="BT149" s="239">
        <f t="shared" si="235"/>
        <v>2541.8762668971235</v>
      </c>
      <c r="BU149" s="239">
        <f t="shared" ref="BU149:CZ149" si="236">SUM(BU145:BU148)</f>
        <v>2653.6893868971238</v>
      </c>
      <c r="BV149" s="239">
        <f t="shared" si="236"/>
        <v>2781.4758097542667</v>
      </c>
      <c r="BW149" s="239">
        <f t="shared" si="236"/>
        <v>2930.5599697542661</v>
      </c>
      <c r="BX149" s="239">
        <f t="shared" si="236"/>
        <v>3109.4609617542665</v>
      </c>
      <c r="BY149" s="239">
        <f t="shared" si="236"/>
        <v>3333.0872017542661</v>
      </c>
      <c r="BZ149" s="239">
        <f t="shared" si="236"/>
        <v>3631.2555217542663</v>
      </c>
      <c r="CA149" s="239">
        <f t="shared" si="236"/>
        <v>4078.5080017542668</v>
      </c>
      <c r="CB149" s="239">
        <f t="shared" si="236"/>
        <v>4973.0129617542661</v>
      </c>
      <c r="CC149" s="239">
        <f t="shared" si="236"/>
        <v>17890.099200000022</v>
      </c>
      <c r="CD149" s="239">
        <f t="shared" si="236"/>
        <v>2683.5148799999997</v>
      </c>
      <c r="CE149" s="239">
        <f t="shared" si="236"/>
        <v>2683.5148799999997</v>
      </c>
      <c r="CF149" s="239">
        <f t="shared" si="236"/>
        <v>2683.5148799999997</v>
      </c>
      <c r="CG149" s="239">
        <f t="shared" si="236"/>
        <v>2683.5148799999997</v>
      </c>
      <c r="CH149" s="239">
        <f t="shared" si="236"/>
        <v>2683.5148799999997</v>
      </c>
      <c r="CI149" s="239">
        <f t="shared" si="236"/>
        <v>2683.5148799999997</v>
      </c>
      <c r="CJ149" s="239">
        <f t="shared" si="236"/>
        <v>2683.5148799999997</v>
      </c>
      <c r="CK149" s="239">
        <f t="shared" si="236"/>
        <v>2683.5148799999997</v>
      </c>
      <c r="CL149" s="239">
        <f t="shared" si="236"/>
        <v>2683.5148799999997</v>
      </c>
      <c r="CM149" s="239">
        <f t="shared" si="236"/>
        <v>2683.5148799999997</v>
      </c>
      <c r="CN149" s="239">
        <f t="shared" si="236"/>
        <v>290714.11200000037</v>
      </c>
      <c r="CO149" s="239">
        <f t="shared" si="236"/>
        <v>0</v>
      </c>
      <c r="CP149" s="239">
        <f t="shared" si="236"/>
        <v>0</v>
      </c>
      <c r="CQ149" s="239">
        <f t="shared" si="236"/>
        <v>0</v>
      </c>
      <c r="CR149" s="239">
        <f t="shared" si="236"/>
        <v>0</v>
      </c>
      <c r="CS149" s="239">
        <f t="shared" si="236"/>
        <v>0</v>
      </c>
      <c r="CT149" s="239">
        <f t="shared" si="236"/>
        <v>0</v>
      </c>
      <c r="CU149" s="239">
        <f t="shared" si="236"/>
        <v>0</v>
      </c>
      <c r="CV149" s="239">
        <f t="shared" si="236"/>
        <v>0</v>
      </c>
      <c r="CW149" s="239">
        <f t="shared" si="236"/>
        <v>0</v>
      </c>
      <c r="CX149" s="239">
        <f t="shared" si="236"/>
        <v>0</v>
      </c>
      <c r="CY149" s="239">
        <f t="shared" si="236"/>
        <v>0</v>
      </c>
      <c r="CZ149" s="239">
        <f t="shared" si="236"/>
        <v>0</v>
      </c>
      <c r="DA149" s="239">
        <f t="shared" ref="DA149:EF149" si="237">SUM(DA145:DA148)</f>
        <v>0</v>
      </c>
      <c r="DB149" s="239">
        <f t="shared" si="237"/>
        <v>0</v>
      </c>
      <c r="DC149" s="239">
        <f t="shared" si="237"/>
        <v>0</v>
      </c>
      <c r="DD149" s="239">
        <f t="shared" si="237"/>
        <v>0</v>
      </c>
      <c r="DE149" s="239">
        <f t="shared" si="237"/>
        <v>0</v>
      </c>
      <c r="DF149" s="239">
        <f t="shared" si="237"/>
        <v>0</v>
      </c>
      <c r="DG149" s="239">
        <f t="shared" si="237"/>
        <v>0</v>
      </c>
      <c r="DH149" s="239">
        <f t="shared" si="237"/>
        <v>0</v>
      </c>
      <c r="DI149" s="239">
        <f t="shared" si="237"/>
        <v>0</v>
      </c>
      <c r="DJ149" s="239">
        <f t="shared" si="237"/>
        <v>0</v>
      </c>
      <c r="DK149" s="239">
        <f t="shared" si="237"/>
        <v>0</v>
      </c>
      <c r="DL149" s="239">
        <f t="shared" si="237"/>
        <v>0</v>
      </c>
      <c r="DM149" s="239">
        <f t="shared" si="237"/>
        <v>0</v>
      </c>
      <c r="DN149" s="239">
        <f t="shared" si="237"/>
        <v>0</v>
      </c>
      <c r="DO149" s="239">
        <f t="shared" si="237"/>
        <v>0</v>
      </c>
      <c r="DP149" s="239">
        <f t="shared" si="237"/>
        <v>0</v>
      </c>
      <c r="DQ149" s="239">
        <f t="shared" si="237"/>
        <v>0</v>
      </c>
      <c r="DR149" s="239">
        <f t="shared" si="237"/>
        <v>0</v>
      </c>
      <c r="DS149" s="239">
        <f t="shared" si="237"/>
        <v>0</v>
      </c>
      <c r="DT149" s="239">
        <f t="shared" si="237"/>
        <v>0</v>
      </c>
      <c r="DU149" s="239">
        <f t="shared" si="237"/>
        <v>0</v>
      </c>
      <c r="DV149" s="239">
        <f t="shared" si="237"/>
        <v>0</v>
      </c>
      <c r="DW149" s="239">
        <f t="shared" si="237"/>
        <v>0</v>
      </c>
      <c r="DX149" s="239">
        <f t="shared" si="237"/>
        <v>0</v>
      </c>
      <c r="DY149" s="239">
        <f t="shared" si="237"/>
        <v>0</v>
      </c>
      <c r="DZ149" s="239">
        <f t="shared" si="237"/>
        <v>0</v>
      </c>
      <c r="EA149" s="239">
        <f t="shared" si="237"/>
        <v>0</v>
      </c>
      <c r="EB149" s="239">
        <f t="shared" si="237"/>
        <v>0</v>
      </c>
      <c r="EC149" s="239">
        <f t="shared" si="237"/>
        <v>0</v>
      </c>
      <c r="ED149" s="239">
        <f t="shared" si="237"/>
        <v>0</v>
      </c>
      <c r="EE149" s="239">
        <f t="shared" si="237"/>
        <v>0</v>
      </c>
      <c r="EF149" s="239">
        <f t="shared" si="237"/>
        <v>0</v>
      </c>
      <c r="EG149" s="239">
        <f t="shared" ref="EG149:FH149" si="238">SUM(EG145:EG148)</f>
        <v>0</v>
      </c>
      <c r="EH149" s="239">
        <f t="shared" si="238"/>
        <v>0</v>
      </c>
      <c r="EI149" s="239">
        <f t="shared" si="238"/>
        <v>0</v>
      </c>
      <c r="EJ149" s="239">
        <f t="shared" si="238"/>
        <v>0</v>
      </c>
      <c r="EK149" s="239">
        <f t="shared" si="238"/>
        <v>0</v>
      </c>
      <c r="EL149" s="239">
        <f t="shared" si="238"/>
        <v>0</v>
      </c>
      <c r="EM149" s="239">
        <f t="shared" si="238"/>
        <v>0</v>
      </c>
      <c r="EN149" s="239">
        <f t="shared" si="238"/>
        <v>0</v>
      </c>
      <c r="EO149" s="239">
        <f t="shared" si="238"/>
        <v>0</v>
      </c>
      <c r="EP149" s="239">
        <f t="shared" si="238"/>
        <v>0</v>
      </c>
      <c r="EQ149" s="239">
        <f t="shared" si="238"/>
        <v>0</v>
      </c>
      <c r="ER149" s="239">
        <f t="shared" si="238"/>
        <v>0</v>
      </c>
      <c r="ES149" s="239">
        <f t="shared" si="238"/>
        <v>0</v>
      </c>
      <c r="ET149" s="239">
        <f t="shared" si="238"/>
        <v>0</v>
      </c>
      <c r="EU149" s="239">
        <f t="shared" si="238"/>
        <v>0</v>
      </c>
      <c r="EV149" s="239">
        <f t="shared" si="238"/>
        <v>0</v>
      </c>
      <c r="EW149" s="239">
        <f t="shared" si="238"/>
        <v>0</v>
      </c>
      <c r="EX149" s="239">
        <f t="shared" si="238"/>
        <v>0</v>
      </c>
      <c r="EY149" s="239">
        <f t="shared" si="238"/>
        <v>0</v>
      </c>
      <c r="EZ149" s="239">
        <f t="shared" si="238"/>
        <v>0</v>
      </c>
      <c r="FA149" s="239">
        <f t="shared" si="238"/>
        <v>0</v>
      </c>
      <c r="FB149" s="239">
        <f t="shared" si="238"/>
        <v>0</v>
      </c>
      <c r="FC149" s="239">
        <f t="shared" si="238"/>
        <v>0</v>
      </c>
      <c r="FD149" s="239">
        <f t="shared" si="238"/>
        <v>0</v>
      </c>
      <c r="FE149" s="239">
        <f t="shared" si="238"/>
        <v>0</v>
      </c>
      <c r="FF149" s="239">
        <f t="shared" si="238"/>
        <v>0</v>
      </c>
      <c r="FG149" s="239">
        <f t="shared" si="238"/>
        <v>0</v>
      </c>
      <c r="FH149" s="239">
        <f t="shared" si="238"/>
        <v>0</v>
      </c>
    </row>
    <row r="150" spans="1:164" x14ac:dyDescent="0.2">
      <c r="A150" s="10"/>
      <c r="B150" s="10"/>
      <c r="C150" s="201" t="s">
        <v>756</v>
      </c>
      <c r="D150" s="194"/>
      <c r="E150" s="194"/>
      <c r="F150" s="194"/>
      <c r="G150" s="194"/>
      <c r="H150" s="216"/>
      <c r="I150" s="217">
        <f t="shared" ref="I150:AN150" si="239">((YEAR(I$6)-YEAR($E$34))*12+MONTH(I$6)-MONTH($E$34)+1)</f>
        <v>-41</v>
      </c>
      <c r="J150" s="217">
        <f t="shared" si="239"/>
        <v>-40</v>
      </c>
      <c r="K150" s="217">
        <f t="shared" si="239"/>
        <v>-39</v>
      </c>
      <c r="L150" s="217">
        <f t="shared" si="239"/>
        <v>-38</v>
      </c>
      <c r="M150" s="217">
        <f t="shared" si="239"/>
        <v>-37</v>
      </c>
      <c r="N150" s="217">
        <f t="shared" si="239"/>
        <v>-36</v>
      </c>
      <c r="O150" s="217">
        <f t="shared" si="239"/>
        <v>-35</v>
      </c>
      <c r="P150" s="217">
        <f t="shared" si="239"/>
        <v>-34</v>
      </c>
      <c r="Q150" s="217">
        <f t="shared" si="239"/>
        <v>-33</v>
      </c>
      <c r="R150" s="217">
        <f t="shared" si="239"/>
        <v>-32</v>
      </c>
      <c r="S150" s="217">
        <f t="shared" si="239"/>
        <v>-31</v>
      </c>
      <c r="T150" s="217">
        <f t="shared" si="239"/>
        <v>-30</v>
      </c>
      <c r="U150" s="217">
        <f t="shared" si="239"/>
        <v>-29</v>
      </c>
      <c r="V150" s="217">
        <f t="shared" si="239"/>
        <v>-28</v>
      </c>
      <c r="W150" s="217">
        <f t="shared" si="239"/>
        <v>-27</v>
      </c>
      <c r="X150" s="217">
        <f t="shared" si="239"/>
        <v>-26</v>
      </c>
      <c r="Y150" s="217">
        <f t="shared" si="239"/>
        <v>-25</v>
      </c>
      <c r="Z150" s="217">
        <f t="shared" si="239"/>
        <v>-24</v>
      </c>
      <c r="AA150" s="217">
        <f t="shared" si="239"/>
        <v>-23</v>
      </c>
      <c r="AB150" s="217">
        <f t="shared" si="239"/>
        <v>-22</v>
      </c>
      <c r="AC150" s="217">
        <f t="shared" si="239"/>
        <v>-21</v>
      </c>
      <c r="AD150" s="217">
        <f t="shared" si="239"/>
        <v>-20</v>
      </c>
      <c r="AE150" s="217">
        <f t="shared" si="239"/>
        <v>-19</v>
      </c>
      <c r="AF150" s="217">
        <f t="shared" si="239"/>
        <v>-18</v>
      </c>
      <c r="AG150" s="217">
        <f t="shared" si="239"/>
        <v>-17</v>
      </c>
      <c r="AH150" s="217">
        <f t="shared" si="239"/>
        <v>-16</v>
      </c>
      <c r="AI150" s="217">
        <f t="shared" si="239"/>
        <v>-15</v>
      </c>
      <c r="AJ150" s="217">
        <f t="shared" si="239"/>
        <v>-14</v>
      </c>
      <c r="AK150" s="217">
        <f t="shared" si="239"/>
        <v>-13</v>
      </c>
      <c r="AL150" s="217">
        <f t="shared" si="239"/>
        <v>-12</v>
      </c>
      <c r="AM150" s="217">
        <f t="shared" si="239"/>
        <v>-11</v>
      </c>
      <c r="AN150" s="217">
        <f t="shared" si="239"/>
        <v>-10</v>
      </c>
      <c r="AO150" s="217">
        <f t="shared" ref="AO150:BT150" si="240">((YEAR(AO$6)-YEAR($E$34))*12+MONTH(AO$6)-MONTH($E$34)+1)</f>
        <v>-9</v>
      </c>
      <c r="AP150" s="217">
        <f t="shared" si="240"/>
        <v>-8</v>
      </c>
      <c r="AQ150" s="217">
        <f t="shared" si="240"/>
        <v>-7</v>
      </c>
      <c r="AR150" s="217">
        <f t="shared" si="240"/>
        <v>-6</v>
      </c>
      <c r="AS150" s="217">
        <f t="shared" si="240"/>
        <v>-5</v>
      </c>
      <c r="AT150" s="217">
        <f t="shared" si="240"/>
        <v>-4</v>
      </c>
      <c r="AU150" s="217">
        <f t="shared" si="240"/>
        <v>-3</v>
      </c>
      <c r="AV150" s="217">
        <f t="shared" si="240"/>
        <v>-2</v>
      </c>
      <c r="AW150" s="217">
        <f t="shared" si="240"/>
        <v>-1</v>
      </c>
      <c r="AX150" s="217">
        <f t="shared" si="240"/>
        <v>0</v>
      </c>
      <c r="AY150" s="217">
        <f t="shared" si="240"/>
        <v>1</v>
      </c>
      <c r="AZ150" s="217">
        <f t="shared" si="240"/>
        <v>2</v>
      </c>
      <c r="BA150" s="217">
        <f t="shared" si="240"/>
        <v>3</v>
      </c>
      <c r="BB150" s="217">
        <f t="shared" si="240"/>
        <v>4</v>
      </c>
      <c r="BC150" s="217">
        <f t="shared" si="240"/>
        <v>5</v>
      </c>
      <c r="BD150" s="217">
        <f t="shared" si="240"/>
        <v>6</v>
      </c>
      <c r="BE150" s="217">
        <f t="shared" si="240"/>
        <v>7</v>
      </c>
      <c r="BF150" s="217">
        <f t="shared" si="240"/>
        <v>8</v>
      </c>
      <c r="BG150" s="217">
        <f t="shared" si="240"/>
        <v>9</v>
      </c>
      <c r="BH150" s="217">
        <f t="shared" si="240"/>
        <v>10</v>
      </c>
      <c r="BI150" s="217">
        <f t="shared" si="240"/>
        <v>11</v>
      </c>
      <c r="BJ150" s="217">
        <f t="shared" si="240"/>
        <v>12</v>
      </c>
      <c r="BK150" s="217">
        <f t="shared" si="240"/>
        <v>13</v>
      </c>
      <c r="BL150" s="217">
        <f t="shared" si="240"/>
        <v>14</v>
      </c>
      <c r="BM150" s="217">
        <f t="shared" si="240"/>
        <v>15</v>
      </c>
      <c r="BN150" s="217">
        <f t="shared" si="240"/>
        <v>16</v>
      </c>
      <c r="BO150" s="217">
        <f t="shared" si="240"/>
        <v>17</v>
      </c>
      <c r="BP150" s="217">
        <f t="shared" si="240"/>
        <v>18</v>
      </c>
      <c r="BQ150" s="217">
        <f t="shared" si="240"/>
        <v>19</v>
      </c>
      <c r="BR150" s="217">
        <f t="shared" si="240"/>
        <v>20</v>
      </c>
      <c r="BS150" s="217">
        <f t="shared" si="240"/>
        <v>21</v>
      </c>
      <c r="BT150" s="217">
        <f t="shared" si="240"/>
        <v>22</v>
      </c>
      <c r="BU150" s="217">
        <f t="shared" ref="BU150:CZ150" si="241">((YEAR(BU$6)-YEAR($E$34))*12+MONTH(BU$6)-MONTH($E$34)+1)</f>
        <v>23</v>
      </c>
      <c r="BV150" s="217">
        <f t="shared" si="241"/>
        <v>24</v>
      </c>
      <c r="BW150" s="217">
        <f t="shared" si="241"/>
        <v>25</v>
      </c>
      <c r="BX150" s="217">
        <f t="shared" si="241"/>
        <v>26</v>
      </c>
      <c r="BY150" s="217">
        <f t="shared" si="241"/>
        <v>27</v>
      </c>
      <c r="BZ150" s="217">
        <f t="shared" si="241"/>
        <v>28</v>
      </c>
      <c r="CA150" s="217">
        <f t="shared" si="241"/>
        <v>29</v>
      </c>
      <c r="CB150" s="217">
        <f t="shared" si="241"/>
        <v>30</v>
      </c>
      <c r="CC150" s="217">
        <f t="shared" si="241"/>
        <v>31</v>
      </c>
      <c r="CD150" s="217">
        <f t="shared" si="241"/>
        <v>32</v>
      </c>
      <c r="CE150" s="217">
        <f t="shared" si="241"/>
        <v>33</v>
      </c>
      <c r="CF150" s="217">
        <f t="shared" si="241"/>
        <v>34</v>
      </c>
      <c r="CG150" s="217">
        <f t="shared" si="241"/>
        <v>35</v>
      </c>
      <c r="CH150" s="217">
        <f t="shared" si="241"/>
        <v>36</v>
      </c>
      <c r="CI150" s="217">
        <f t="shared" si="241"/>
        <v>37</v>
      </c>
      <c r="CJ150" s="217">
        <f t="shared" si="241"/>
        <v>38</v>
      </c>
      <c r="CK150" s="217">
        <f t="shared" si="241"/>
        <v>39</v>
      </c>
      <c r="CL150" s="217">
        <f t="shared" si="241"/>
        <v>40</v>
      </c>
      <c r="CM150" s="217">
        <f t="shared" si="241"/>
        <v>41</v>
      </c>
      <c r="CN150" s="217">
        <f t="shared" si="241"/>
        <v>42</v>
      </c>
      <c r="CO150" s="217">
        <f t="shared" si="241"/>
        <v>43</v>
      </c>
      <c r="CP150" s="217">
        <f t="shared" si="241"/>
        <v>44</v>
      </c>
      <c r="CQ150" s="217">
        <f t="shared" si="241"/>
        <v>45</v>
      </c>
      <c r="CR150" s="217">
        <f t="shared" si="241"/>
        <v>46</v>
      </c>
      <c r="CS150" s="217">
        <f t="shared" si="241"/>
        <v>47</v>
      </c>
      <c r="CT150" s="217">
        <f t="shared" si="241"/>
        <v>48</v>
      </c>
      <c r="CU150" s="217">
        <f t="shared" si="241"/>
        <v>49</v>
      </c>
      <c r="CV150" s="217">
        <f t="shared" si="241"/>
        <v>50</v>
      </c>
      <c r="CW150" s="217">
        <f t="shared" si="241"/>
        <v>51</v>
      </c>
      <c r="CX150" s="217">
        <f t="shared" si="241"/>
        <v>52</v>
      </c>
      <c r="CY150" s="217">
        <f t="shared" si="241"/>
        <v>53</v>
      </c>
      <c r="CZ150" s="217">
        <f t="shared" si="241"/>
        <v>54</v>
      </c>
      <c r="DA150" s="217">
        <f t="shared" ref="DA150:EF150" si="242">((YEAR(DA$6)-YEAR($E$34))*12+MONTH(DA$6)-MONTH($E$34)+1)</f>
        <v>55</v>
      </c>
      <c r="DB150" s="217">
        <f t="shared" si="242"/>
        <v>56</v>
      </c>
      <c r="DC150" s="217">
        <f t="shared" si="242"/>
        <v>57</v>
      </c>
      <c r="DD150" s="217">
        <f t="shared" si="242"/>
        <v>58</v>
      </c>
      <c r="DE150" s="217">
        <f t="shared" si="242"/>
        <v>59</v>
      </c>
      <c r="DF150" s="217">
        <f t="shared" si="242"/>
        <v>60</v>
      </c>
      <c r="DG150" s="217">
        <f t="shared" si="242"/>
        <v>61</v>
      </c>
      <c r="DH150" s="217">
        <f t="shared" si="242"/>
        <v>62</v>
      </c>
      <c r="DI150" s="217">
        <f t="shared" si="242"/>
        <v>63</v>
      </c>
      <c r="DJ150" s="217">
        <f t="shared" si="242"/>
        <v>64</v>
      </c>
      <c r="DK150" s="217">
        <f t="shared" si="242"/>
        <v>65</v>
      </c>
      <c r="DL150" s="217">
        <f t="shared" si="242"/>
        <v>66</v>
      </c>
      <c r="DM150" s="217">
        <f t="shared" si="242"/>
        <v>67</v>
      </c>
      <c r="DN150" s="217">
        <f t="shared" si="242"/>
        <v>68</v>
      </c>
      <c r="DO150" s="217">
        <f t="shared" si="242"/>
        <v>69</v>
      </c>
      <c r="DP150" s="217">
        <f t="shared" si="242"/>
        <v>70</v>
      </c>
      <c r="DQ150" s="217">
        <f t="shared" si="242"/>
        <v>71</v>
      </c>
      <c r="DR150" s="217">
        <f t="shared" si="242"/>
        <v>72</v>
      </c>
      <c r="DS150" s="217">
        <f t="shared" si="242"/>
        <v>73</v>
      </c>
      <c r="DT150" s="217">
        <f t="shared" si="242"/>
        <v>74</v>
      </c>
      <c r="DU150" s="217">
        <f t="shared" si="242"/>
        <v>75</v>
      </c>
      <c r="DV150" s="217">
        <f t="shared" si="242"/>
        <v>76</v>
      </c>
      <c r="DW150" s="217">
        <f t="shared" si="242"/>
        <v>77</v>
      </c>
      <c r="DX150" s="217">
        <f t="shared" si="242"/>
        <v>78</v>
      </c>
      <c r="DY150" s="217">
        <f t="shared" si="242"/>
        <v>79</v>
      </c>
      <c r="DZ150" s="217">
        <f t="shared" si="242"/>
        <v>80</v>
      </c>
      <c r="EA150" s="217">
        <f t="shared" si="242"/>
        <v>81</v>
      </c>
      <c r="EB150" s="217">
        <f t="shared" si="242"/>
        <v>82</v>
      </c>
      <c r="EC150" s="217">
        <f t="shared" si="242"/>
        <v>83</v>
      </c>
      <c r="ED150" s="217">
        <f t="shared" si="242"/>
        <v>84</v>
      </c>
      <c r="EE150" s="217">
        <f t="shared" si="242"/>
        <v>85</v>
      </c>
      <c r="EF150" s="217">
        <f t="shared" si="242"/>
        <v>86</v>
      </c>
      <c r="EG150" s="217">
        <f t="shared" ref="EG150:FH150" si="243">((YEAR(EG$6)-YEAR($E$34))*12+MONTH(EG$6)-MONTH($E$34)+1)</f>
        <v>87</v>
      </c>
      <c r="EH150" s="217">
        <f t="shared" si="243"/>
        <v>88</v>
      </c>
      <c r="EI150" s="217">
        <f t="shared" si="243"/>
        <v>89</v>
      </c>
      <c r="EJ150" s="217">
        <f t="shared" si="243"/>
        <v>90</v>
      </c>
      <c r="EK150" s="217">
        <f t="shared" si="243"/>
        <v>91</v>
      </c>
      <c r="EL150" s="217">
        <f t="shared" si="243"/>
        <v>92</v>
      </c>
      <c r="EM150" s="217">
        <f t="shared" si="243"/>
        <v>93</v>
      </c>
      <c r="EN150" s="217">
        <f t="shared" si="243"/>
        <v>94</v>
      </c>
      <c r="EO150" s="217">
        <f t="shared" si="243"/>
        <v>95</v>
      </c>
      <c r="EP150" s="217">
        <f t="shared" si="243"/>
        <v>96</v>
      </c>
      <c r="EQ150" s="217">
        <f t="shared" si="243"/>
        <v>97</v>
      </c>
      <c r="ER150" s="217">
        <f t="shared" si="243"/>
        <v>98</v>
      </c>
      <c r="ES150" s="217">
        <f t="shared" si="243"/>
        <v>99</v>
      </c>
      <c r="ET150" s="217">
        <f t="shared" si="243"/>
        <v>100</v>
      </c>
      <c r="EU150" s="217">
        <f t="shared" si="243"/>
        <v>101</v>
      </c>
      <c r="EV150" s="217">
        <f t="shared" si="243"/>
        <v>102</v>
      </c>
      <c r="EW150" s="217">
        <f t="shared" si="243"/>
        <v>103</v>
      </c>
      <c r="EX150" s="217">
        <f t="shared" si="243"/>
        <v>104</v>
      </c>
      <c r="EY150" s="217">
        <f t="shared" si="243"/>
        <v>105</v>
      </c>
      <c r="EZ150" s="217">
        <f t="shared" si="243"/>
        <v>106</v>
      </c>
      <c r="FA150" s="217">
        <f t="shared" si="243"/>
        <v>107</v>
      </c>
      <c r="FB150" s="217">
        <f t="shared" si="243"/>
        <v>108</v>
      </c>
      <c r="FC150" s="217">
        <f t="shared" si="243"/>
        <v>109</v>
      </c>
      <c r="FD150" s="217">
        <f t="shared" si="243"/>
        <v>110</v>
      </c>
      <c r="FE150" s="217">
        <f t="shared" si="243"/>
        <v>111</v>
      </c>
      <c r="FF150" s="217">
        <f t="shared" si="243"/>
        <v>112</v>
      </c>
      <c r="FG150" s="217">
        <f t="shared" si="243"/>
        <v>113</v>
      </c>
      <c r="FH150" s="217">
        <f t="shared" si="243"/>
        <v>114</v>
      </c>
    </row>
    <row r="151" spans="1:164" x14ac:dyDescent="0.2">
      <c r="A151" s="10"/>
      <c r="B151" s="10"/>
      <c r="C151" s="10" t="s">
        <v>757</v>
      </c>
      <c r="D151" s="10"/>
      <c r="E151" s="10"/>
      <c r="F151" s="10"/>
      <c r="G151" s="10"/>
      <c r="H151" s="18">
        <f t="shared" ref="H151:H160" si="244">SUM(I151:FH151)</f>
        <v>0.99999999999999989</v>
      </c>
      <c r="I151" s="51">
        <f t="shared" ref="I151:AN151" si="245">IF(AND(I150&gt;=1,I150&lt;=$E$31),SIN(PI()*(I150-0.5)/$E$31)*SIN(PI()/(2*$E$31)),0)</f>
        <v>0</v>
      </c>
      <c r="J151" s="51">
        <f t="shared" si="245"/>
        <v>0</v>
      </c>
      <c r="K151" s="51">
        <f t="shared" si="245"/>
        <v>0</v>
      </c>
      <c r="L151" s="51">
        <f t="shared" si="245"/>
        <v>0</v>
      </c>
      <c r="M151" s="51">
        <f t="shared" si="245"/>
        <v>0</v>
      </c>
      <c r="N151" s="51">
        <f t="shared" si="245"/>
        <v>0</v>
      </c>
      <c r="O151" s="51">
        <f t="shared" si="245"/>
        <v>0</v>
      </c>
      <c r="P151" s="51">
        <f t="shared" si="245"/>
        <v>0</v>
      </c>
      <c r="Q151" s="51">
        <f t="shared" si="245"/>
        <v>0</v>
      </c>
      <c r="R151" s="51">
        <f t="shared" si="245"/>
        <v>0</v>
      </c>
      <c r="S151" s="51">
        <f t="shared" si="245"/>
        <v>0</v>
      </c>
      <c r="T151" s="51">
        <f t="shared" si="245"/>
        <v>0</v>
      </c>
      <c r="U151" s="51">
        <f t="shared" si="245"/>
        <v>0</v>
      </c>
      <c r="V151" s="51">
        <f t="shared" si="245"/>
        <v>0</v>
      </c>
      <c r="W151" s="51">
        <f t="shared" si="245"/>
        <v>0</v>
      </c>
      <c r="X151" s="51">
        <f t="shared" si="245"/>
        <v>0</v>
      </c>
      <c r="Y151" s="51">
        <f t="shared" si="245"/>
        <v>0</v>
      </c>
      <c r="Z151" s="51">
        <f t="shared" si="245"/>
        <v>0</v>
      </c>
      <c r="AA151" s="51">
        <f t="shared" si="245"/>
        <v>0</v>
      </c>
      <c r="AB151" s="51">
        <f t="shared" si="245"/>
        <v>0</v>
      </c>
      <c r="AC151" s="51">
        <f t="shared" si="245"/>
        <v>0</v>
      </c>
      <c r="AD151" s="51">
        <f t="shared" si="245"/>
        <v>0</v>
      </c>
      <c r="AE151" s="51">
        <f t="shared" si="245"/>
        <v>0</v>
      </c>
      <c r="AF151" s="51">
        <f t="shared" si="245"/>
        <v>0</v>
      </c>
      <c r="AG151" s="51">
        <f t="shared" si="245"/>
        <v>0</v>
      </c>
      <c r="AH151" s="51">
        <f t="shared" si="245"/>
        <v>0</v>
      </c>
      <c r="AI151" s="51">
        <f t="shared" si="245"/>
        <v>0</v>
      </c>
      <c r="AJ151" s="51">
        <f t="shared" si="245"/>
        <v>0</v>
      </c>
      <c r="AK151" s="51">
        <f t="shared" si="245"/>
        <v>0</v>
      </c>
      <c r="AL151" s="51">
        <f t="shared" si="245"/>
        <v>0</v>
      </c>
      <c r="AM151" s="51">
        <f t="shared" si="245"/>
        <v>0</v>
      </c>
      <c r="AN151" s="51">
        <f t="shared" si="245"/>
        <v>0</v>
      </c>
      <c r="AO151" s="51">
        <f t="shared" ref="AO151:BT151" si="246">IF(AND(AO150&gt;=1,AO150&lt;=$E$31),SIN(PI()*(AO150-0.5)/$E$31)*SIN(PI()/(2*$E$31)),0)</f>
        <v>0</v>
      </c>
      <c r="AP151" s="51">
        <f t="shared" si="246"/>
        <v>0</v>
      </c>
      <c r="AQ151" s="51">
        <f t="shared" si="246"/>
        <v>0</v>
      </c>
      <c r="AR151" s="51">
        <f t="shared" si="246"/>
        <v>0</v>
      </c>
      <c r="AS151" s="51">
        <f t="shared" si="246"/>
        <v>0</v>
      </c>
      <c r="AT151" s="51">
        <f t="shared" si="246"/>
        <v>0</v>
      </c>
      <c r="AU151" s="51">
        <f t="shared" si="246"/>
        <v>0</v>
      </c>
      <c r="AV151" s="51">
        <f t="shared" si="246"/>
        <v>0</v>
      </c>
      <c r="AW151" s="51">
        <f t="shared" si="246"/>
        <v>0</v>
      </c>
      <c r="AX151" s="51">
        <f t="shared" si="246"/>
        <v>0</v>
      </c>
      <c r="AY151" s="51">
        <f t="shared" si="246"/>
        <v>2.7390523158633312E-3</v>
      </c>
      <c r="AZ151" s="51">
        <f t="shared" si="246"/>
        <v>8.1871473172338491E-3</v>
      </c>
      <c r="BA151" s="51">
        <f t="shared" si="246"/>
        <v>1.354554221932603E-2</v>
      </c>
      <c r="BB151" s="51">
        <f t="shared" si="246"/>
        <v>1.8755529326276336E-2</v>
      </c>
      <c r="BC151" s="51">
        <f t="shared" si="246"/>
        <v>2.3760026929081121E-2</v>
      </c>
      <c r="BD151" s="51">
        <f t="shared" si="246"/>
        <v>2.8504204704745604E-2</v>
      </c>
      <c r="BE151" s="51">
        <f t="shared" si="246"/>
        <v>3.2936084448776597E-2</v>
      </c>
      <c r="BF151" s="51">
        <f t="shared" si="246"/>
        <v>3.7007109559268003E-2</v>
      </c>
      <c r="BG151" s="51">
        <f t="shared" si="246"/>
        <v>4.0672677033192536E-2</v>
      </c>
      <c r="BH151" s="51">
        <f t="shared" si="246"/>
        <v>4.3892626146236555E-2</v>
      </c>
      <c r="BI151" s="51">
        <f t="shared" si="246"/>
        <v>4.6631678462099896E-2</v>
      </c>
      <c r="BJ151" s="51">
        <f t="shared" si="246"/>
        <v>4.8859824350426385E-2</v>
      </c>
      <c r="BK151" s="51">
        <f t="shared" si="246"/>
        <v>5.055265177859404E-2</v>
      </c>
      <c r="BL151" s="51">
        <f t="shared" si="246"/>
        <v>5.1691613775052929E-2</v>
      </c>
      <c r="BM151" s="51">
        <f t="shared" si="246"/>
        <v>5.2264231633826728E-2</v>
      </c>
      <c r="BN151" s="51">
        <f t="shared" si="246"/>
        <v>5.2264231633826728E-2</v>
      </c>
      <c r="BO151" s="51">
        <f t="shared" si="246"/>
        <v>5.1691613775052929E-2</v>
      </c>
      <c r="BP151" s="51">
        <f t="shared" si="246"/>
        <v>5.055265177859404E-2</v>
      </c>
      <c r="BQ151" s="51">
        <f t="shared" si="246"/>
        <v>4.8859824350426385E-2</v>
      </c>
      <c r="BR151" s="51">
        <f t="shared" si="246"/>
        <v>4.6631678462099896E-2</v>
      </c>
      <c r="BS151" s="51">
        <f t="shared" si="246"/>
        <v>4.3892626146236575E-2</v>
      </c>
      <c r="BT151" s="51">
        <f t="shared" si="246"/>
        <v>4.0672677033192543E-2</v>
      </c>
      <c r="BU151" s="51">
        <f t="shared" ref="BU151:CZ151" si="247">IF(AND(BU150&gt;=1,BU150&lt;=$E$31),SIN(PI()*(BU150-0.5)/$E$31)*SIN(PI()/(2*$E$31)),0)</f>
        <v>3.700710955926801E-2</v>
      </c>
      <c r="BV151" s="51">
        <f t="shared" si="247"/>
        <v>3.293608444877659E-2</v>
      </c>
      <c r="BW151" s="51">
        <f t="shared" si="247"/>
        <v>2.8504204704745621E-2</v>
      </c>
      <c r="BX151" s="51">
        <f t="shared" si="247"/>
        <v>2.3760026929081125E-2</v>
      </c>
      <c r="BY151" s="51">
        <f t="shared" si="247"/>
        <v>1.8755529326276332E-2</v>
      </c>
      <c r="BZ151" s="51">
        <f t="shared" si="247"/>
        <v>1.3545542219326022E-2</v>
      </c>
      <c r="CA151" s="51">
        <f t="shared" si="247"/>
        <v>8.1871473172338543E-3</v>
      </c>
      <c r="CB151" s="51">
        <f t="shared" si="247"/>
        <v>2.7390523158633299E-3</v>
      </c>
      <c r="CC151" s="51">
        <f t="shared" si="247"/>
        <v>0</v>
      </c>
      <c r="CD151" s="51">
        <f t="shared" si="247"/>
        <v>0</v>
      </c>
      <c r="CE151" s="51">
        <f t="shared" si="247"/>
        <v>0</v>
      </c>
      <c r="CF151" s="51">
        <f t="shared" si="247"/>
        <v>0</v>
      </c>
      <c r="CG151" s="51">
        <f t="shared" si="247"/>
        <v>0</v>
      </c>
      <c r="CH151" s="51">
        <f t="shared" si="247"/>
        <v>0</v>
      </c>
      <c r="CI151" s="51">
        <f t="shared" si="247"/>
        <v>0</v>
      </c>
      <c r="CJ151" s="51">
        <f t="shared" si="247"/>
        <v>0</v>
      </c>
      <c r="CK151" s="51">
        <f t="shared" si="247"/>
        <v>0</v>
      </c>
      <c r="CL151" s="51">
        <f t="shared" si="247"/>
        <v>0</v>
      </c>
      <c r="CM151" s="51">
        <f t="shared" si="247"/>
        <v>0</v>
      </c>
      <c r="CN151" s="51">
        <f t="shared" si="247"/>
        <v>0</v>
      </c>
      <c r="CO151" s="51">
        <f t="shared" si="247"/>
        <v>0</v>
      </c>
      <c r="CP151" s="51">
        <f t="shared" si="247"/>
        <v>0</v>
      </c>
      <c r="CQ151" s="51">
        <f t="shared" si="247"/>
        <v>0</v>
      </c>
      <c r="CR151" s="51">
        <f t="shared" si="247"/>
        <v>0</v>
      </c>
      <c r="CS151" s="51">
        <f t="shared" si="247"/>
        <v>0</v>
      </c>
      <c r="CT151" s="51">
        <f t="shared" si="247"/>
        <v>0</v>
      </c>
      <c r="CU151" s="51">
        <f t="shared" si="247"/>
        <v>0</v>
      </c>
      <c r="CV151" s="51">
        <f t="shared" si="247"/>
        <v>0</v>
      </c>
      <c r="CW151" s="51">
        <f t="shared" si="247"/>
        <v>0</v>
      </c>
      <c r="CX151" s="51">
        <f t="shared" si="247"/>
        <v>0</v>
      </c>
      <c r="CY151" s="51">
        <f t="shared" si="247"/>
        <v>0</v>
      </c>
      <c r="CZ151" s="51">
        <f t="shared" si="247"/>
        <v>0</v>
      </c>
      <c r="DA151" s="51">
        <f t="shared" ref="DA151:EF151" si="248">IF(AND(DA150&gt;=1,DA150&lt;=$E$31),SIN(PI()*(DA150-0.5)/$E$31)*SIN(PI()/(2*$E$31)),0)</f>
        <v>0</v>
      </c>
      <c r="DB151" s="51">
        <f t="shared" si="248"/>
        <v>0</v>
      </c>
      <c r="DC151" s="51">
        <f t="shared" si="248"/>
        <v>0</v>
      </c>
      <c r="DD151" s="51">
        <f t="shared" si="248"/>
        <v>0</v>
      </c>
      <c r="DE151" s="51">
        <f t="shared" si="248"/>
        <v>0</v>
      </c>
      <c r="DF151" s="51">
        <f t="shared" si="248"/>
        <v>0</v>
      </c>
      <c r="DG151" s="51">
        <f t="shared" si="248"/>
        <v>0</v>
      </c>
      <c r="DH151" s="51">
        <f t="shared" si="248"/>
        <v>0</v>
      </c>
      <c r="DI151" s="51">
        <f t="shared" si="248"/>
        <v>0</v>
      </c>
      <c r="DJ151" s="51">
        <f t="shared" si="248"/>
        <v>0</v>
      </c>
      <c r="DK151" s="51">
        <f t="shared" si="248"/>
        <v>0</v>
      </c>
      <c r="DL151" s="51">
        <f t="shared" si="248"/>
        <v>0</v>
      </c>
      <c r="DM151" s="51">
        <f t="shared" si="248"/>
        <v>0</v>
      </c>
      <c r="DN151" s="51">
        <f t="shared" si="248"/>
        <v>0</v>
      </c>
      <c r="DO151" s="51">
        <f t="shared" si="248"/>
        <v>0</v>
      </c>
      <c r="DP151" s="51">
        <f t="shared" si="248"/>
        <v>0</v>
      </c>
      <c r="DQ151" s="51">
        <f t="shared" si="248"/>
        <v>0</v>
      </c>
      <c r="DR151" s="51">
        <f t="shared" si="248"/>
        <v>0</v>
      </c>
      <c r="DS151" s="51">
        <f t="shared" si="248"/>
        <v>0</v>
      </c>
      <c r="DT151" s="51">
        <f t="shared" si="248"/>
        <v>0</v>
      </c>
      <c r="DU151" s="51">
        <f t="shared" si="248"/>
        <v>0</v>
      </c>
      <c r="DV151" s="51">
        <f t="shared" si="248"/>
        <v>0</v>
      </c>
      <c r="DW151" s="51">
        <f t="shared" si="248"/>
        <v>0</v>
      </c>
      <c r="DX151" s="51">
        <f t="shared" si="248"/>
        <v>0</v>
      </c>
      <c r="DY151" s="51">
        <f t="shared" si="248"/>
        <v>0</v>
      </c>
      <c r="DZ151" s="51">
        <f t="shared" si="248"/>
        <v>0</v>
      </c>
      <c r="EA151" s="51">
        <f t="shared" si="248"/>
        <v>0</v>
      </c>
      <c r="EB151" s="51">
        <f t="shared" si="248"/>
        <v>0</v>
      </c>
      <c r="EC151" s="51">
        <f t="shared" si="248"/>
        <v>0</v>
      </c>
      <c r="ED151" s="51">
        <f t="shared" si="248"/>
        <v>0</v>
      </c>
      <c r="EE151" s="51">
        <f t="shared" si="248"/>
        <v>0</v>
      </c>
      <c r="EF151" s="51">
        <f t="shared" si="248"/>
        <v>0</v>
      </c>
      <c r="EG151" s="51">
        <f t="shared" ref="EG151:FH151" si="249">IF(AND(EG150&gt;=1,EG150&lt;=$E$31),SIN(PI()*(EG150-0.5)/$E$31)*SIN(PI()/(2*$E$31)),0)</f>
        <v>0</v>
      </c>
      <c r="EH151" s="51">
        <f t="shared" si="249"/>
        <v>0</v>
      </c>
      <c r="EI151" s="51">
        <f t="shared" si="249"/>
        <v>0</v>
      </c>
      <c r="EJ151" s="51">
        <f t="shared" si="249"/>
        <v>0</v>
      </c>
      <c r="EK151" s="51">
        <f t="shared" si="249"/>
        <v>0</v>
      </c>
      <c r="EL151" s="51">
        <f t="shared" si="249"/>
        <v>0</v>
      </c>
      <c r="EM151" s="51">
        <f t="shared" si="249"/>
        <v>0</v>
      </c>
      <c r="EN151" s="51">
        <f t="shared" si="249"/>
        <v>0</v>
      </c>
      <c r="EO151" s="51">
        <f t="shared" si="249"/>
        <v>0</v>
      </c>
      <c r="EP151" s="51">
        <f t="shared" si="249"/>
        <v>0</v>
      </c>
      <c r="EQ151" s="51">
        <f t="shared" si="249"/>
        <v>0</v>
      </c>
      <c r="ER151" s="51">
        <f t="shared" si="249"/>
        <v>0</v>
      </c>
      <c r="ES151" s="51">
        <f t="shared" si="249"/>
        <v>0</v>
      </c>
      <c r="ET151" s="51">
        <f t="shared" si="249"/>
        <v>0</v>
      </c>
      <c r="EU151" s="51">
        <f t="shared" si="249"/>
        <v>0</v>
      </c>
      <c r="EV151" s="51">
        <f t="shared" si="249"/>
        <v>0</v>
      </c>
      <c r="EW151" s="51">
        <f t="shared" si="249"/>
        <v>0</v>
      </c>
      <c r="EX151" s="51">
        <f t="shared" si="249"/>
        <v>0</v>
      </c>
      <c r="EY151" s="51">
        <f t="shared" si="249"/>
        <v>0</v>
      </c>
      <c r="EZ151" s="51">
        <f t="shared" si="249"/>
        <v>0</v>
      </c>
      <c r="FA151" s="51">
        <f t="shared" si="249"/>
        <v>0</v>
      </c>
      <c r="FB151" s="51">
        <f t="shared" si="249"/>
        <v>0</v>
      </c>
      <c r="FC151" s="51">
        <f t="shared" si="249"/>
        <v>0</v>
      </c>
      <c r="FD151" s="51">
        <f t="shared" si="249"/>
        <v>0</v>
      </c>
      <c r="FE151" s="51">
        <f t="shared" si="249"/>
        <v>0</v>
      </c>
      <c r="FF151" s="51">
        <f t="shared" si="249"/>
        <v>0</v>
      </c>
      <c r="FG151" s="51">
        <f t="shared" si="249"/>
        <v>0</v>
      </c>
      <c r="FH151" s="51">
        <f t="shared" si="249"/>
        <v>0</v>
      </c>
    </row>
    <row r="152" spans="1:164" x14ac:dyDescent="0.2">
      <c r="A152" s="10"/>
      <c r="B152" s="10"/>
      <c r="C152" s="10" t="s">
        <v>910</v>
      </c>
      <c r="D152" s="10"/>
      <c r="E152" s="10"/>
      <c r="F152" s="10"/>
      <c r="G152" s="10"/>
      <c r="H152" s="12">
        <f t="shared" si="244"/>
        <v>-166814.99999999994</v>
      </c>
      <c r="I152" s="12">
        <f t="shared" ref="I152:AN152" si="250">-I151*($E$29+$E$30)</f>
        <v>0</v>
      </c>
      <c r="J152" s="12">
        <f t="shared" si="250"/>
        <v>0</v>
      </c>
      <c r="K152" s="12">
        <f t="shared" si="250"/>
        <v>0</v>
      </c>
      <c r="L152" s="12">
        <f t="shared" si="250"/>
        <v>0</v>
      </c>
      <c r="M152" s="12">
        <f t="shared" si="250"/>
        <v>0</v>
      </c>
      <c r="N152" s="12">
        <f t="shared" si="250"/>
        <v>0</v>
      </c>
      <c r="O152" s="12">
        <f t="shared" si="250"/>
        <v>0</v>
      </c>
      <c r="P152" s="12">
        <f t="shared" si="250"/>
        <v>0</v>
      </c>
      <c r="Q152" s="12">
        <f t="shared" si="250"/>
        <v>0</v>
      </c>
      <c r="R152" s="12">
        <f t="shared" si="250"/>
        <v>0</v>
      </c>
      <c r="S152" s="12">
        <f t="shared" si="250"/>
        <v>0</v>
      </c>
      <c r="T152" s="12">
        <f t="shared" si="250"/>
        <v>0</v>
      </c>
      <c r="U152" s="12">
        <f t="shared" si="250"/>
        <v>0</v>
      </c>
      <c r="V152" s="12">
        <f t="shared" si="250"/>
        <v>0</v>
      </c>
      <c r="W152" s="12">
        <f t="shared" si="250"/>
        <v>0</v>
      </c>
      <c r="X152" s="12">
        <f t="shared" si="250"/>
        <v>0</v>
      </c>
      <c r="Y152" s="12">
        <f t="shared" si="250"/>
        <v>0</v>
      </c>
      <c r="Z152" s="12">
        <f t="shared" si="250"/>
        <v>0</v>
      </c>
      <c r="AA152" s="12">
        <f t="shared" si="250"/>
        <v>0</v>
      </c>
      <c r="AB152" s="12">
        <f t="shared" si="250"/>
        <v>0</v>
      </c>
      <c r="AC152" s="12">
        <f t="shared" si="250"/>
        <v>0</v>
      </c>
      <c r="AD152" s="12">
        <f t="shared" si="250"/>
        <v>0</v>
      </c>
      <c r="AE152" s="12">
        <f t="shared" si="250"/>
        <v>0</v>
      </c>
      <c r="AF152" s="12">
        <f t="shared" si="250"/>
        <v>0</v>
      </c>
      <c r="AG152" s="12">
        <f t="shared" si="250"/>
        <v>0</v>
      </c>
      <c r="AH152" s="12">
        <f t="shared" si="250"/>
        <v>0</v>
      </c>
      <c r="AI152" s="12">
        <f t="shared" si="250"/>
        <v>0</v>
      </c>
      <c r="AJ152" s="12">
        <f t="shared" si="250"/>
        <v>0</v>
      </c>
      <c r="AK152" s="12">
        <f t="shared" si="250"/>
        <v>0</v>
      </c>
      <c r="AL152" s="12">
        <f t="shared" si="250"/>
        <v>0</v>
      </c>
      <c r="AM152" s="12">
        <f t="shared" si="250"/>
        <v>0</v>
      </c>
      <c r="AN152" s="12">
        <f t="shared" si="250"/>
        <v>0</v>
      </c>
      <c r="AO152" s="12">
        <f t="shared" ref="AO152:BT152" si="251">-AO151*($E$29+$E$30)</f>
        <v>0</v>
      </c>
      <c r="AP152" s="12">
        <f t="shared" si="251"/>
        <v>0</v>
      </c>
      <c r="AQ152" s="12">
        <f t="shared" si="251"/>
        <v>0</v>
      </c>
      <c r="AR152" s="12">
        <f t="shared" si="251"/>
        <v>0</v>
      </c>
      <c r="AS152" s="12">
        <f t="shared" si="251"/>
        <v>0</v>
      </c>
      <c r="AT152" s="12">
        <f t="shared" si="251"/>
        <v>0</v>
      </c>
      <c r="AU152" s="12">
        <f t="shared" si="251"/>
        <v>0</v>
      </c>
      <c r="AV152" s="12">
        <f t="shared" si="251"/>
        <v>0</v>
      </c>
      <c r="AW152" s="12">
        <f t="shared" si="251"/>
        <v>0</v>
      </c>
      <c r="AX152" s="12">
        <f t="shared" si="251"/>
        <v>0</v>
      </c>
      <c r="AY152" s="12">
        <f t="shared" si="251"/>
        <v>-456.91501207074162</v>
      </c>
      <c r="AZ152" s="12">
        <f t="shared" si="251"/>
        <v>-1365.7389797243645</v>
      </c>
      <c r="BA152" s="12">
        <f t="shared" si="251"/>
        <v>-2259.5996253168719</v>
      </c>
      <c r="BB152" s="12">
        <f t="shared" si="251"/>
        <v>-3128.7036245627869</v>
      </c>
      <c r="BC152" s="12">
        <f t="shared" si="251"/>
        <v>-3963.5288921746674</v>
      </c>
      <c r="BD152" s="12">
        <f t="shared" si="251"/>
        <v>-4754.9289078221382</v>
      </c>
      <c r="BE152" s="12">
        <f t="shared" si="251"/>
        <v>-5494.2329273226678</v>
      </c>
      <c r="BF152" s="12">
        <f t="shared" si="251"/>
        <v>-6173.3409811292922</v>
      </c>
      <c r="BG152" s="12">
        <f t="shared" si="251"/>
        <v>-6784.8126192920126</v>
      </c>
      <c r="BH152" s="12">
        <f t="shared" si="251"/>
        <v>-7321.9484305844508</v>
      </c>
      <c r="BI152" s="12">
        <f t="shared" si="251"/>
        <v>-7778.8634426551944</v>
      </c>
      <c r="BJ152" s="12">
        <f t="shared" si="251"/>
        <v>-8150.5515990163776</v>
      </c>
      <c r="BK152" s="12">
        <f t="shared" si="251"/>
        <v>-8432.9406064461655</v>
      </c>
      <c r="BL152" s="12">
        <f t="shared" si="251"/>
        <v>-8622.9365518854538</v>
      </c>
      <c r="BM152" s="12">
        <f t="shared" si="251"/>
        <v>-8718.457799996806</v>
      </c>
      <c r="BN152" s="12">
        <f t="shared" si="251"/>
        <v>-8718.457799996806</v>
      </c>
      <c r="BO152" s="12">
        <f t="shared" si="251"/>
        <v>-8622.9365518854538</v>
      </c>
      <c r="BP152" s="12">
        <f t="shared" si="251"/>
        <v>-8432.9406064461655</v>
      </c>
      <c r="BQ152" s="12">
        <f t="shared" si="251"/>
        <v>-8150.5515990163776</v>
      </c>
      <c r="BR152" s="12">
        <f t="shared" si="251"/>
        <v>-7778.8634426551944</v>
      </c>
      <c r="BS152" s="12">
        <f t="shared" si="251"/>
        <v>-7321.9484305844544</v>
      </c>
      <c r="BT152" s="12">
        <f t="shared" si="251"/>
        <v>-6784.8126192920145</v>
      </c>
      <c r="BU152" s="12">
        <f t="shared" ref="BU152:CZ152" si="252">-BU151*($E$29+$E$30)</f>
        <v>-6173.3409811292931</v>
      </c>
      <c r="BV152" s="12">
        <f t="shared" si="252"/>
        <v>-5494.2329273226669</v>
      </c>
      <c r="BW152" s="12">
        <f t="shared" si="252"/>
        <v>-4754.9289078221409</v>
      </c>
      <c r="BX152" s="12">
        <f t="shared" si="252"/>
        <v>-3963.5288921746678</v>
      </c>
      <c r="BY152" s="12">
        <f t="shared" si="252"/>
        <v>-3128.7036245627864</v>
      </c>
      <c r="BZ152" s="12">
        <f t="shared" si="252"/>
        <v>-2259.5996253168705</v>
      </c>
      <c r="CA152" s="12">
        <f t="shared" si="252"/>
        <v>-1365.7389797243654</v>
      </c>
      <c r="CB152" s="12">
        <f t="shared" si="252"/>
        <v>-456.9150120707414</v>
      </c>
      <c r="CC152" s="12">
        <f t="shared" si="252"/>
        <v>0</v>
      </c>
      <c r="CD152" s="12">
        <f t="shared" si="252"/>
        <v>0</v>
      </c>
      <c r="CE152" s="12">
        <f t="shared" si="252"/>
        <v>0</v>
      </c>
      <c r="CF152" s="12">
        <f t="shared" si="252"/>
        <v>0</v>
      </c>
      <c r="CG152" s="12">
        <f t="shared" si="252"/>
        <v>0</v>
      </c>
      <c r="CH152" s="12">
        <f t="shared" si="252"/>
        <v>0</v>
      </c>
      <c r="CI152" s="12">
        <f t="shared" si="252"/>
        <v>0</v>
      </c>
      <c r="CJ152" s="12">
        <f t="shared" si="252"/>
        <v>0</v>
      </c>
      <c r="CK152" s="12">
        <f t="shared" si="252"/>
        <v>0</v>
      </c>
      <c r="CL152" s="12">
        <f t="shared" si="252"/>
        <v>0</v>
      </c>
      <c r="CM152" s="12">
        <f t="shared" si="252"/>
        <v>0</v>
      </c>
      <c r="CN152" s="12">
        <f t="shared" si="252"/>
        <v>0</v>
      </c>
      <c r="CO152" s="12">
        <f t="shared" si="252"/>
        <v>0</v>
      </c>
      <c r="CP152" s="12">
        <f t="shared" si="252"/>
        <v>0</v>
      </c>
      <c r="CQ152" s="12">
        <f t="shared" si="252"/>
        <v>0</v>
      </c>
      <c r="CR152" s="12">
        <f t="shared" si="252"/>
        <v>0</v>
      </c>
      <c r="CS152" s="12">
        <f t="shared" si="252"/>
        <v>0</v>
      </c>
      <c r="CT152" s="12">
        <f t="shared" si="252"/>
        <v>0</v>
      </c>
      <c r="CU152" s="12">
        <f t="shared" si="252"/>
        <v>0</v>
      </c>
      <c r="CV152" s="12">
        <f t="shared" si="252"/>
        <v>0</v>
      </c>
      <c r="CW152" s="12">
        <f t="shared" si="252"/>
        <v>0</v>
      </c>
      <c r="CX152" s="12">
        <f t="shared" si="252"/>
        <v>0</v>
      </c>
      <c r="CY152" s="12">
        <f t="shared" si="252"/>
        <v>0</v>
      </c>
      <c r="CZ152" s="12">
        <f t="shared" si="252"/>
        <v>0</v>
      </c>
      <c r="DA152" s="12">
        <f t="shared" ref="DA152:EF152" si="253">-DA151*($E$29+$E$30)</f>
        <v>0</v>
      </c>
      <c r="DB152" s="12">
        <f t="shared" si="253"/>
        <v>0</v>
      </c>
      <c r="DC152" s="12">
        <f t="shared" si="253"/>
        <v>0</v>
      </c>
      <c r="DD152" s="12">
        <f t="shared" si="253"/>
        <v>0</v>
      </c>
      <c r="DE152" s="12">
        <f t="shared" si="253"/>
        <v>0</v>
      </c>
      <c r="DF152" s="12">
        <f t="shared" si="253"/>
        <v>0</v>
      </c>
      <c r="DG152" s="12">
        <f t="shared" si="253"/>
        <v>0</v>
      </c>
      <c r="DH152" s="12">
        <f t="shared" si="253"/>
        <v>0</v>
      </c>
      <c r="DI152" s="12">
        <f t="shared" si="253"/>
        <v>0</v>
      </c>
      <c r="DJ152" s="12">
        <f t="shared" si="253"/>
        <v>0</v>
      </c>
      <c r="DK152" s="12">
        <f t="shared" si="253"/>
        <v>0</v>
      </c>
      <c r="DL152" s="12">
        <f t="shared" si="253"/>
        <v>0</v>
      </c>
      <c r="DM152" s="12">
        <f t="shared" si="253"/>
        <v>0</v>
      </c>
      <c r="DN152" s="12">
        <f t="shared" si="253"/>
        <v>0</v>
      </c>
      <c r="DO152" s="12">
        <f t="shared" si="253"/>
        <v>0</v>
      </c>
      <c r="DP152" s="12">
        <f t="shared" si="253"/>
        <v>0</v>
      </c>
      <c r="DQ152" s="12">
        <f t="shared" si="253"/>
        <v>0</v>
      </c>
      <c r="DR152" s="12">
        <f t="shared" si="253"/>
        <v>0</v>
      </c>
      <c r="DS152" s="12">
        <f t="shared" si="253"/>
        <v>0</v>
      </c>
      <c r="DT152" s="12">
        <f t="shared" si="253"/>
        <v>0</v>
      </c>
      <c r="DU152" s="12">
        <f t="shared" si="253"/>
        <v>0</v>
      </c>
      <c r="DV152" s="12">
        <f t="shared" si="253"/>
        <v>0</v>
      </c>
      <c r="DW152" s="12">
        <f t="shared" si="253"/>
        <v>0</v>
      </c>
      <c r="DX152" s="12">
        <f t="shared" si="253"/>
        <v>0</v>
      </c>
      <c r="DY152" s="12">
        <f t="shared" si="253"/>
        <v>0</v>
      </c>
      <c r="DZ152" s="12">
        <f t="shared" si="253"/>
        <v>0</v>
      </c>
      <c r="EA152" s="12">
        <f t="shared" si="253"/>
        <v>0</v>
      </c>
      <c r="EB152" s="12">
        <f t="shared" si="253"/>
        <v>0</v>
      </c>
      <c r="EC152" s="12">
        <f t="shared" si="253"/>
        <v>0</v>
      </c>
      <c r="ED152" s="12">
        <f t="shared" si="253"/>
        <v>0</v>
      </c>
      <c r="EE152" s="12">
        <f t="shared" si="253"/>
        <v>0</v>
      </c>
      <c r="EF152" s="12">
        <f t="shared" si="253"/>
        <v>0</v>
      </c>
      <c r="EG152" s="12">
        <f t="shared" ref="EG152:FH152" si="254">-EG151*($E$29+$E$30)</f>
        <v>0</v>
      </c>
      <c r="EH152" s="12">
        <f t="shared" si="254"/>
        <v>0</v>
      </c>
      <c r="EI152" s="12">
        <f t="shared" si="254"/>
        <v>0</v>
      </c>
      <c r="EJ152" s="12">
        <f t="shared" si="254"/>
        <v>0</v>
      </c>
      <c r="EK152" s="12">
        <f t="shared" si="254"/>
        <v>0</v>
      </c>
      <c r="EL152" s="12">
        <f t="shared" si="254"/>
        <v>0</v>
      </c>
      <c r="EM152" s="12">
        <f t="shared" si="254"/>
        <v>0</v>
      </c>
      <c r="EN152" s="12">
        <f t="shared" si="254"/>
        <v>0</v>
      </c>
      <c r="EO152" s="12">
        <f t="shared" si="254"/>
        <v>0</v>
      </c>
      <c r="EP152" s="12">
        <f t="shared" si="254"/>
        <v>0</v>
      </c>
      <c r="EQ152" s="12">
        <f t="shared" si="254"/>
        <v>0</v>
      </c>
      <c r="ER152" s="12">
        <f t="shared" si="254"/>
        <v>0</v>
      </c>
      <c r="ES152" s="12">
        <f t="shared" si="254"/>
        <v>0</v>
      </c>
      <c r="ET152" s="12">
        <f t="shared" si="254"/>
        <v>0</v>
      </c>
      <c r="EU152" s="12">
        <f t="shared" si="254"/>
        <v>0</v>
      </c>
      <c r="EV152" s="12">
        <f t="shared" si="254"/>
        <v>0</v>
      </c>
      <c r="EW152" s="12">
        <f t="shared" si="254"/>
        <v>0</v>
      </c>
      <c r="EX152" s="12">
        <f t="shared" si="254"/>
        <v>0</v>
      </c>
      <c r="EY152" s="12">
        <f t="shared" si="254"/>
        <v>0</v>
      </c>
      <c r="EZ152" s="12">
        <f t="shared" si="254"/>
        <v>0</v>
      </c>
      <c r="FA152" s="12">
        <f t="shared" si="254"/>
        <v>0</v>
      </c>
      <c r="FB152" s="12">
        <f t="shared" si="254"/>
        <v>0</v>
      </c>
      <c r="FC152" s="12">
        <f t="shared" si="254"/>
        <v>0</v>
      </c>
      <c r="FD152" s="12">
        <f t="shared" si="254"/>
        <v>0</v>
      </c>
      <c r="FE152" s="12">
        <f t="shared" si="254"/>
        <v>0</v>
      </c>
      <c r="FF152" s="12">
        <f t="shared" si="254"/>
        <v>0</v>
      </c>
      <c r="FG152" s="12">
        <f t="shared" si="254"/>
        <v>0</v>
      </c>
      <c r="FH152" s="12">
        <f t="shared" si="254"/>
        <v>0</v>
      </c>
    </row>
    <row r="153" spans="1:164" x14ac:dyDescent="0.2">
      <c r="A153" s="10"/>
      <c r="B153" s="10"/>
      <c r="C153" s="10" t="s">
        <v>405</v>
      </c>
      <c r="D153" s="10"/>
      <c r="E153" s="10"/>
      <c r="F153" s="10"/>
      <c r="G153" s="10"/>
      <c r="H153" s="12">
        <f t="shared" si="244"/>
        <v>-2676.3000000000006</v>
      </c>
      <c r="I153" s="12">
        <f t="shared" ref="I153:AN153" si="255">-IF(AND(I$6&gt;=EDATE($E$34,-12),I$6&lt;$E$34),$E$56*$E$29/12,0)</f>
        <v>0</v>
      </c>
      <c r="J153" s="12">
        <f t="shared" si="255"/>
        <v>0</v>
      </c>
      <c r="K153" s="12">
        <f t="shared" si="255"/>
        <v>0</v>
      </c>
      <c r="L153" s="12">
        <f t="shared" si="255"/>
        <v>0</v>
      </c>
      <c r="M153" s="12">
        <f t="shared" si="255"/>
        <v>0</v>
      </c>
      <c r="N153" s="12">
        <f t="shared" si="255"/>
        <v>0</v>
      </c>
      <c r="O153" s="12">
        <f t="shared" si="255"/>
        <v>0</v>
      </c>
      <c r="P153" s="12">
        <f t="shared" si="255"/>
        <v>0</v>
      </c>
      <c r="Q153" s="12">
        <f t="shared" si="255"/>
        <v>0</v>
      </c>
      <c r="R153" s="12">
        <f t="shared" si="255"/>
        <v>0</v>
      </c>
      <c r="S153" s="12">
        <f t="shared" si="255"/>
        <v>0</v>
      </c>
      <c r="T153" s="12">
        <f t="shared" si="255"/>
        <v>0</v>
      </c>
      <c r="U153" s="12">
        <f t="shared" si="255"/>
        <v>0</v>
      </c>
      <c r="V153" s="12">
        <f t="shared" si="255"/>
        <v>0</v>
      </c>
      <c r="W153" s="12">
        <f t="shared" si="255"/>
        <v>0</v>
      </c>
      <c r="X153" s="12">
        <f t="shared" si="255"/>
        <v>0</v>
      </c>
      <c r="Y153" s="12">
        <f t="shared" si="255"/>
        <v>0</v>
      </c>
      <c r="Z153" s="12">
        <f t="shared" si="255"/>
        <v>0</v>
      </c>
      <c r="AA153" s="12">
        <f t="shared" si="255"/>
        <v>0</v>
      </c>
      <c r="AB153" s="12">
        <f t="shared" si="255"/>
        <v>0</v>
      </c>
      <c r="AC153" s="12">
        <f t="shared" si="255"/>
        <v>0</v>
      </c>
      <c r="AD153" s="12">
        <f t="shared" si="255"/>
        <v>0</v>
      </c>
      <c r="AE153" s="12">
        <f t="shared" si="255"/>
        <v>0</v>
      </c>
      <c r="AF153" s="12">
        <f t="shared" si="255"/>
        <v>0</v>
      </c>
      <c r="AG153" s="12">
        <f t="shared" si="255"/>
        <v>0</v>
      </c>
      <c r="AH153" s="12">
        <f t="shared" si="255"/>
        <v>0</v>
      </c>
      <c r="AI153" s="12">
        <f t="shared" si="255"/>
        <v>0</v>
      </c>
      <c r="AJ153" s="12">
        <f t="shared" si="255"/>
        <v>0</v>
      </c>
      <c r="AK153" s="12">
        <f t="shared" si="255"/>
        <v>0</v>
      </c>
      <c r="AL153" s="12">
        <f t="shared" si="255"/>
        <v>0</v>
      </c>
      <c r="AM153" s="12">
        <f t="shared" si="255"/>
        <v>-223.02500000000001</v>
      </c>
      <c r="AN153" s="12">
        <f t="shared" si="255"/>
        <v>-223.02500000000001</v>
      </c>
      <c r="AO153" s="12">
        <f t="shared" ref="AO153:BT153" si="256">-IF(AND(AO$6&gt;=EDATE($E$34,-12),AO$6&lt;$E$34),$E$56*$E$29/12,0)</f>
        <v>-223.02500000000001</v>
      </c>
      <c r="AP153" s="12">
        <f t="shared" si="256"/>
        <v>-223.02500000000001</v>
      </c>
      <c r="AQ153" s="12">
        <f t="shared" si="256"/>
        <v>-223.02500000000001</v>
      </c>
      <c r="AR153" s="12">
        <f t="shared" si="256"/>
        <v>-223.02500000000001</v>
      </c>
      <c r="AS153" s="12">
        <f t="shared" si="256"/>
        <v>-223.02500000000001</v>
      </c>
      <c r="AT153" s="12">
        <f t="shared" si="256"/>
        <v>-223.02500000000001</v>
      </c>
      <c r="AU153" s="12">
        <f t="shared" si="256"/>
        <v>-223.02500000000001</v>
      </c>
      <c r="AV153" s="12">
        <f t="shared" si="256"/>
        <v>-223.02500000000001</v>
      </c>
      <c r="AW153" s="12">
        <f t="shared" si="256"/>
        <v>-223.02500000000001</v>
      </c>
      <c r="AX153" s="12">
        <f t="shared" si="256"/>
        <v>-223.02500000000001</v>
      </c>
      <c r="AY153" s="12">
        <f t="shared" si="256"/>
        <v>0</v>
      </c>
      <c r="AZ153" s="12">
        <f t="shared" si="256"/>
        <v>0</v>
      </c>
      <c r="BA153" s="12">
        <f t="shared" si="256"/>
        <v>0</v>
      </c>
      <c r="BB153" s="12">
        <f t="shared" si="256"/>
        <v>0</v>
      </c>
      <c r="BC153" s="12">
        <f t="shared" si="256"/>
        <v>0</v>
      </c>
      <c r="BD153" s="12">
        <f t="shared" si="256"/>
        <v>0</v>
      </c>
      <c r="BE153" s="12">
        <f t="shared" si="256"/>
        <v>0</v>
      </c>
      <c r="BF153" s="12">
        <f t="shared" si="256"/>
        <v>0</v>
      </c>
      <c r="BG153" s="12">
        <f t="shared" si="256"/>
        <v>0</v>
      </c>
      <c r="BH153" s="12">
        <f t="shared" si="256"/>
        <v>0</v>
      </c>
      <c r="BI153" s="12">
        <f t="shared" si="256"/>
        <v>0</v>
      </c>
      <c r="BJ153" s="12">
        <f t="shared" si="256"/>
        <v>0</v>
      </c>
      <c r="BK153" s="12">
        <f t="shared" si="256"/>
        <v>0</v>
      </c>
      <c r="BL153" s="12">
        <f t="shared" si="256"/>
        <v>0</v>
      </c>
      <c r="BM153" s="12">
        <f t="shared" si="256"/>
        <v>0</v>
      </c>
      <c r="BN153" s="12">
        <f t="shared" si="256"/>
        <v>0</v>
      </c>
      <c r="BO153" s="12">
        <f t="shared" si="256"/>
        <v>0</v>
      </c>
      <c r="BP153" s="12">
        <f t="shared" si="256"/>
        <v>0</v>
      </c>
      <c r="BQ153" s="12">
        <f t="shared" si="256"/>
        <v>0</v>
      </c>
      <c r="BR153" s="12">
        <f t="shared" si="256"/>
        <v>0</v>
      </c>
      <c r="BS153" s="12">
        <f t="shared" si="256"/>
        <v>0</v>
      </c>
      <c r="BT153" s="12">
        <f t="shared" si="256"/>
        <v>0</v>
      </c>
      <c r="BU153" s="12">
        <f t="shared" ref="BU153:CZ153" si="257">-IF(AND(BU$6&gt;=EDATE($E$34,-12),BU$6&lt;$E$34),$E$56*$E$29/12,0)</f>
        <v>0</v>
      </c>
      <c r="BV153" s="12">
        <f t="shared" si="257"/>
        <v>0</v>
      </c>
      <c r="BW153" s="12">
        <f t="shared" si="257"/>
        <v>0</v>
      </c>
      <c r="BX153" s="12">
        <f t="shared" si="257"/>
        <v>0</v>
      </c>
      <c r="BY153" s="12">
        <f t="shared" si="257"/>
        <v>0</v>
      </c>
      <c r="BZ153" s="12">
        <f t="shared" si="257"/>
        <v>0</v>
      </c>
      <c r="CA153" s="12">
        <f t="shared" si="257"/>
        <v>0</v>
      </c>
      <c r="CB153" s="12">
        <f t="shared" si="257"/>
        <v>0</v>
      </c>
      <c r="CC153" s="12">
        <f t="shared" si="257"/>
        <v>0</v>
      </c>
      <c r="CD153" s="12">
        <f t="shared" si="257"/>
        <v>0</v>
      </c>
      <c r="CE153" s="12">
        <f t="shared" si="257"/>
        <v>0</v>
      </c>
      <c r="CF153" s="12">
        <f t="shared" si="257"/>
        <v>0</v>
      </c>
      <c r="CG153" s="12">
        <f t="shared" si="257"/>
        <v>0</v>
      </c>
      <c r="CH153" s="12">
        <f t="shared" si="257"/>
        <v>0</v>
      </c>
      <c r="CI153" s="12">
        <f t="shared" si="257"/>
        <v>0</v>
      </c>
      <c r="CJ153" s="12">
        <f t="shared" si="257"/>
        <v>0</v>
      </c>
      <c r="CK153" s="12">
        <f t="shared" si="257"/>
        <v>0</v>
      </c>
      <c r="CL153" s="12">
        <f t="shared" si="257"/>
        <v>0</v>
      </c>
      <c r="CM153" s="12">
        <f t="shared" si="257"/>
        <v>0</v>
      </c>
      <c r="CN153" s="12">
        <f t="shared" si="257"/>
        <v>0</v>
      </c>
      <c r="CO153" s="12">
        <f t="shared" si="257"/>
        <v>0</v>
      </c>
      <c r="CP153" s="12">
        <f t="shared" si="257"/>
        <v>0</v>
      </c>
      <c r="CQ153" s="12">
        <f t="shared" si="257"/>
        <v>0</v>
      </c>
      <c r="CR153" s="12">
        <f t="shared" si="257"/>
        <v>0</v>
      </c>
      <c r="CS153" s="12">
        <f t="shared" si="257"/>
        <v>0</v>
      </c>
      <c r="CT153" s="12">
        <f t="shared" si="257"/>
        <v>0</v>
      </c>
      <c r="CU153" s="12">
        <f t="shared" si="257"/>
        <v>0</v>
      </c>
      <c r="CV153" s="12">
        <f t="shared" si="257"/>
        <v>0</v>
      </c>
      <c r="CW153" s="12">
        <f t="shared" si="257"/>
        <v>0</v>
      </c>
      <c r="CX153" s="12">
        <f t="shared" si="257"/>
        <v>0</v>
      </c>
      <c r="CY153" s="12">
        <f t="shared" si="257"/>
        <v>0</v>
      </c>
      <c r="CZ153" s="12">
        <f t="shared" si="257"/>
        <v>0</v>
      </c>
      <c r="DA153" s="12">
        <f t="shared" ref="DA153:EF153" si="258">-IF(AND(DA$6&gt;=EDATE($E$34,-12),DA$6&lt;$E$34),$E$56*$E$29/12,0)</f>
        <v>0</v>
      </c>
      <c r="DB153" s="12">
        <f t="shared" si="258"/>
        <v>0</v>
      </c>
      <c r="DC153" s="12">
        <f t="shared" si="258"/>
        <v>0</v>
      </c>
      <c r="DD153" s="12">
        <f t="shared" si="258"/>
        <v>0</v>
      </c>
      <c r="DE153" s="12">
        <f t="shared" si="258"/>
        <v>0</v>
      </c>
      <c r="DF153" s="12">
        <f t="shared" si="258"/>
        <v>0</v>
      </c>
      <c r="DG153" s="12">
        <f t="shared" si="258"/>
        <v>0</v>
      </c>
      <c r="DH153" s="12">
        <f t="shared" si="258"/>
        <v>0</v>
      </c>
      <c r="DI153" s="12">
        <f t="shared" si="258"/>
        <v>0</v>
      </c>
      <c r="DJ153" s="12">
        <f t="shared" si="258"/>
        <v>0</v>
      </c>
      <c r="DK153" s="12">
        <f t="shared" si="258"/>
        <v>0</v>
      </c>
      <c r="DL153" s="12">
        <f t="shared" si="258"/>
        <v>0</v>
      </c>
      <c r="DM153" s="12">
        <f t="shared" si="258"/>
        <v>0</v>
      </c>
      <c r="DN153" s="12">
        <f t="shared" si="258"/>
        <v>0</v>
      </c>
      <c r="DO153" s="12">
        <f t="shared" si="258"/>
        <v>0</v>
      </c>
      <c r="DP153" s="12">
        <f t="shared" si="258"/>
        <v>0</v>
      </c>
      <c r="DQ153" s="12">
        <f t="shared" si="258"/>
        <v>0</v>
      </c>
      <c r="DR153" s="12">
        <f t="shared" si="258"/>
        <v>0</v>
      </c>
      <c r="DS153" s="12">
        <f t="shared" si="258"/>
        <v>0</v>
      </c>
      <c r="DT153" s="12">
        <f t="shared" si="258"/>
        <v>0</v>
      </c>
      <c r="DU153" s="12">
        <f t="shared" si="258"/>
        <v>0</v>
      </c>
      <c r="DV153" s="12">
        <f t="shared" si="258"/>
        <v>0</v>
      </c>
      <c r="DW153" s="12">
        <f t="shared" si="258"/>
        <v>0</v>
      </c>
      <c r="DX153" s="12">
        <f t="shared" si="258"/>
        <v>0</v>
      </c>
      <c r="DY153" s="12">
        <f t="shared" si="258"/>
        <v>0</v>
      </c>
      <c r="DZ153" s="12">
        <f t="shared" si="258"/>
        <v>0</v>
      </c>
      <c r="EA153" s="12">
        <f t="shared" si="258"/>
        <v>0</v>
      </c>
      <c r="EB153" s="12">
        <f t="shared" si="258"/>
        <v>0</v>
      </c>
      <c r="EC153" s="12">
        <f t="shared" si="258"/>
        <v>0</v>
      </c>
      <c r="ED153" s="12">
        <f t="shared" si="258"/>
        <v>0</v>
      </c>
      <c r="EE153" s="12">
        <f t="shared" si="258"/>
        <v>0</v>
      </c>
      <c r="EF153" s="12">
        <f t="shared" si="258"/>
        <v>0</v>
      </c>
      <c r="EG153" s="12">
        <f t="shared" ref="EG153:FH153" si="259">-IF(AND(EG$6&gt;=EDATE($E$34,-12),EG$6&lt;$E$34),$E$56*$E$29/12,0)</f>
        <v>0</v>
      </c>
      <c r="EH153" s="12">
        <f t="shared" si="259"/>
        <v>0</v>
      </c>
      <c r="EI153" s="12">
        <f t="shared" si="259"/>
        <v>0</v>
      </c>
      <c r="EJ153" s="12">
        <f t="shared" si="259"/>
        <v>0</v>
      </c>
      <c r="EK153" s="12">
        <f t="shared" si="259"/>
        <v>0</v>
      </c>
      <c r="EL153" s="12">
        <f t="shared" si="259"/>
        <v>0</v>
      </c>
      <c r="EM153" s="12">
        <f t="shared" si="259"/>
        <v>0</v>
      </c>
      <c r="EN153" s="12">
        <f t="shared" si="259"/>
        <v>0</v>
      </c>
      <c r="EO153" s="12">
        <f t="shared" si="259"/>
        <v>0</v>
      </c>
      <c r="EP153" s="12">
        <f t="shared" si="259"/>
        <v>0</v>
      </c>
      <c r="EQ153" s="12">
        <f t="shared" si="259"/>
        <v>0</v>
      </c>
      <c r="ER153" s="12">
        <f t="shared" si="259"/>
        <v>0</v>
      </c>
      <c r="ES153" s="12">
        <f t="shared" si="259"/>
        <v>0</v>
      </c>
      <c r="ET153" s="12">
        <f t="shared" si="259"/>
        <v>0</v>
      </c>
      <c r="EU153" s="12">
        <f t="shared" si="259"/>
        <v>0</v>
      </c>
      <c r="EV153" s="12">
        <f t="shared" si="259"/>
        <v>0</v>
      </c>
      <c r="EW153" s="12">
        <f t="shared" si="259"/>
        <v>0</v>
      </c>
      <c r="EX153" s="12">
        <f t="shared" si="259"/>
        <v>0</v>
      </c>
      <c r="EY153" s="12">
        <f t="shared" si="259"/>
        <v>0</v>
      </c>
      <c r="EZ153" s="12">
        <f t="shared" si="259"/>
        <v>0</v>
      </c>
      <c r="FA153" s="12">
        <f t="shared" si="259"/>
        <v>0</v>
      </c>
      <c r="FB153" s="12">
        <f t="shared" si="259"/>
        <v>0</v>
      </c>
      <c r="FC153" s="12">
        <f t="shared" si="259"/>
        <v>0</v>
      </c>
      <c r="FD153" s="12">
        <f t="shared" si="259"/>
        <v>0</v>
      </c>
      <c r="FE153" s="12">
        <f t="shared" si="259"/>
        <v>0</v>
      </c>
      <c r="FF153" s="12">
        <f t="shared" si="259"/>
        <v>0</v>
      </c>
      <c r="FG153" s="12">
        <f t="shared" si="259"/>
        <v>0</v>
      </c>
      <c r="FH153" s="12">
        <f t="shared" si="259"/>
        <v>0</v>
      </c>
    </row>
    <row r="154" spans="1:164" x14ac:dyDescent="0.2">
      <c r="A154" s="10"/>
      <c r="B154" s="10"/>
      <c r="C154" s="10" t="s">
        <v>911</v>
      </c>
      <c r="D154" s="10"/>
      <c r="E154" s="10"/>
      <c r="F154" s="10"/>
      <c r="G154" s="10"/>
      <c r="H154" s="12">
        <f t="shared" si="244"/>
        <v>-669.07500000000016</v>
      </c>
      <c r="I154" s="12">
        <f t="shared" ref="I154:AN154" si="260">-IF(AND(I150&gt;=1,I150&lt;=$E$31),$E$57*$E$29/$E$31,0)</f>
        <v>0</v>
      </c>
      <c r="J154" s="12">
        <f t="shared" si="260"/>
        <v>0</v>
      </c>
      <c r="K154" s="12">
        <f t="shared" si="260"/>
        <v>0</v>
      </c>
      <c r="L154" s="12">
        <f t="shared" si="260"/>
        <v>0</v>
      </c>
      <c r="M154" s="12">
        <f t="shared" si="260"/>
        <v>0</v>
      </c>
      <c r="N154" s="12">
        <f t="shared" si="260"/>
        <v>0</v>
      </c>
      <c r="O154" s="12">
        <f t="shared" si="260"/>
        <v>0</v>
      </c>
      <c r="P154" s="12">
        <f t="shared" si="260"/>
        <v>0</v>
      </c>
      <c r="Q154" s="12">
        <f t="shared" si="260"/>
        <v>0</v>
      </c>
      <c r="R154" s="12">
        <f t="shared" si="260"/>
        <v>0</v>
      </c>
      <c r="S154" s="12">
        <f t="shared" si="260"/>
        <v>0</v>
      </c>
      <c r="T154" s="12">
        <f t="shared" si="260"/>
        <v>0</v>
      </c>
      <c r="U154" s="12">
        <f t="shared" si="260"/>
        <v>0</v>
      </c>
      <c r="V154" s="12">
        <f t="shared" si="260"/>
        <v>0</v>
      </c>
      <c r="W154" s="12">
        <f t="shared" si="260"/>
        <v>0</v>
      </c>
      <c r="X154" s="12">
        <f t="shared" si="260"/>
        <v>0</v>
      </c>
      <c r="Y154" s="12">
        <f t="shared" si="260"/>
        <v>0</v>
      </c>
      <c r="Z154" s="12">
        <f t="shared" si="260"/>
        <v>0</v>
      </c>
      <c r="AA154" s="12">
        <f t="shared" si="260"/>
        <v>0</v>
      </c>
      <c r="AB154" s="12">
        <f t="shared" si="260"/>
        <v>0</v>
      </c>
      <c r="AC154" s="12">
        <f t="shared" si="260"/>
        <v>0</v>
      </c>
      <c r="AD154" s="12">
        <f t="shared" si="260"/>
        <v>0</v>
      </c>
      <c r="AE154" s="12">
        <f t="shared" si="260"/>
        <v>0</v>
      </c>
      <c r="AF154" s="12">
        <f t="shared" si="260"/>
        <v>0</v>
      </c>
      <c r="AG154" s="12">
        <f t="shared" si="260"/>
        <v>0</v>
      </c>
      <c r="AH154" s="12">
        <f t="shared" si="260"/>
        <v>0</v>
      </c>
      <c r="AI154" s="12">
        <f t="shared" si="260"/>
        <v>0</v>
      </c>
      <c r="AJ154" s="12">
        <f t="shared" si="260"/>
        <v>0</v>
      </c>
      <c r="AK154" s="12">
        <f t="shared" si="260"/>
        <v>0</v>
      </c>
      <c r="AL154" s="12">
        <f t="shared" si="260"/>
        <v>0</v>
      </c>
      <c r="AM154" s="12">
        <f t="shared" si="260"/>
        <v>0</v>
      </c>
      <c r="AN154" s="12">
        <f t="shared" si="260"/>
        <v>0</v>
      </c>
      <c r="AO154" s="12">
        <f t="shared" ref="AO154:BT154" si="261">-IF(AND(AO150&gt;=1,AO150&lt;=$E$31),$E$57*$E$29/$E$31,0)</f>
        <v>0</v>
      </c>
      <c r="AP154" s="12">
        <f t="shared" si="261"/>
        <v>0</v>
      </c>
      <c r="AQ154" s="12">
        <f t="shared" si="261"/>
        <v>0</v>
      </c>
      <c r="AR154" s="12">
        <f t="shared" si="261"/>
        <v>0</v>
      </c>
      <c r="AS154" s="12">
        <f t="shared" si="261"/>
        <v>0</v>
      </c>
      <c r="AT154" s="12">
        <f t="shared" si="261"/>
        <v>0</v>
      </c>
      <c r="AU154" s="12">
        <f t="shared" si="261"/>
        <v>0</v>
      </c>
      <c r="AV154" s="12">
        <f t="shared" si="261"/>
        <v>0</v>
      </c>
      <c r="AW154" s="12">
        <f t="shared" si="261"/>
        <v>0</v>
      </c>
      <c r="AX154" s="12">
        <f t="shared" si="261"/>
        <v>0</v>
      </c>
      <c r="AY154" s="12">
        <f t="shared" si="261"/>
        <v>-22.302500000000002</v>
      </c>
      <c r="AZ154" s="12">
        <f t="shared" si="261"/>
        <v>-22.302500000000002</v>
      </c>
      <c r="BA154" s="12">
        <f t="shared" si="261"/>
        <v>-22.302500000000002</v>
      </c>
      <c r="BB154" s="12">
        <f t="shared" si="261"/>
        <v>-22.302500000000002</v>
      </c>
      <c r="BC154" s="12">
        <f t="shared" si="261"/>
        <v>-22.302500000000002</v>
      </c>
      <c r="BD154" s="12">
        <f t="shared" si="261"/>
        <v>-22.302500000000002</v>
      </c>
      <c r="BE154" s="12">
        <f t="shared" si="261"/>
        <v>-22.302500000000002</v>
      </c>
      <c r="BF154" s="12">
        <f t="shared" si="261"/>
        <v>-22.302500000000002</v>
      </c>
      <c r="BG154" s="12">
        <f t="shared" si="261"/>
        <v>-22.302500000000002</v>
      </c>
      <c r="BH154" s="12">
        <f t="shared" si="261"/>
        <v>-22.302500000000002</v>
      </c>
      <c r="BI154" s="12">
        <f t="shared" si="261"/>
        <v>-22.302500000000002</v>
      </c>
      <c r="BJ154" s="12">
        <f t="shared" si="261"/>
        <v>-22.302500000000002</v>
      </c>
      <c r="BK154" s="12">
        <f t="shared" si="261"/>
        <v>-22.302500000000002</v>
      </c>
      <c r="BL154" s="12">
        <f t="shared" si="261"/>
        <v>-22.302500000000002</v>
      </c>
      <c r="BM154" s="12">
        <f t="shared" si="261"/>
        <v>-22.302500000000002</v>
      </c>
      <c r="BN154" s="12">
        <f t="shared" si="261"/>
        <v>-22.302500000000002</v>
      </c>
      <c r="BO154" s="12">
        <f t="shared" si="261"/>
        <v>-22.302500000000002</v>
      </c>
      <c r="BP154" s="12">
        <f t="shared" si="261"/>
        <v>-22.302500000000002</v>
      </c>
      <c r="BQ154" s="12">
        <f t="shared" si="261"/>
        <v>-22.302500000000002</v>
      </c>
      <c r="BR154" s="12">
        <f t="shared" si="261"/>
        <v>-22.302500000000002</v>
      </c>
      <c r="BS154" s="12">
        <f t="shared" si="261"/>
        <v>-22.302500000000002</v>
      </c>
      <c r="BT154" s="12">
        <f t="shared" si="261"/>
        <v>-22.302500000000002</v>
      </c>
      <c r="BU154" s="12">
        <f t="shared" ref="BU154:CZ154" si="262">-IF(AND(BU150&gt;=1,BU150&lt;=$E$31),$E$57*$E$29/$E$31,0)</f>
        <v>-22.302500000000002</v>
      </c>
      <c r="BV154" s="12">
        <f t="shared" si="262"/>
        <v>-22.302500000000002</v>
      </c>
      <c r="BW154" s="12">
        <f t="shared" si="262"/>
        <v>-22.302500000000002</v>
      </c>
      <c r="BX154" s="12">
        <f t="shared" si="262"/>
        <v>-22.302500000000002</v>
      </c>
      <c r="BY154" s="12">
        <f t="shared" si="262"/>
        <v>-22.302500000000002</v>
      </c>
      <c r="BZ154" s="12">
        <f t="shared" si="262"/>
        <v>-22.302500000000002</v>
      </c>
      <c r="CA154" s="12">
        <f t="shared" si="262"/>
        <v>-22.302500000000002</v>
      </c>
      <c r="CB154" s="12">
        <f t="shared" si="262"/>
        <v>-22.302500000000002</v>
      </c>
      <c r="CC154" s="12">
        <f t="shared" si="262"/>
        <v>0</v>
      </c>
      <c r="CD154" s="12">
        <f t="shared" si="262"/>
        <v>0</v>
      </c>
      <c r="CE154" s="12">
        <f t="shared" si="262"/>
        <v>0</v>
      </c>
      <c r="CF154" s="12">
        <f t="shared" si="262"/>
        <v>0</v>
      </c>
      <c r="CG154" s="12">
        <f t="shared" si="262"/>
        <v>0</v>
      </c>
      <c r="CH154" s="12">
        <f t="shared" si="262"/>
        <v>0</v>
      </c>
      <c r="CI154" s="12">
        <f t="shared" si="262"/>
        <v>0</v>
      </c>
      <c r="CJ154" s="12">
        <f t="shared" si="262"/>
        <v>0</v>
      </c>
      <c r="CK154" s="12">
        <f t="shared" si="262"/>
        <v>0</v>
      </c>
      <c r="CL154" s="12">
        <f t="shared" si="262"/>
        <v>0</v>
      </c>
      <c r="CM154" s="12">
        <f t="shared" si="262"/>
        <v>0</v>
      </c>
      <c r="CN154" s="12">
        <f t="shared" si="262"/>
        <v>0</v>
      </c>
      <c r="CO154" s="12">
        <f t="shared" si="262"/>
        <v>0</v>
      </c>
      <c r="CP154" s="12">
        <f t="shared" si="262"/>
        <v>0</v>
      </c>
      <c r="CQ154" s="12">
        <f t="shared" si="262"/>
        <v>0</v>
      </c>
      <c r="CR154" s="12">
        <f t="shared" si="262"/>
        <v>0</v>
      </c>
      <c r="CS154" s="12">
        <f t="shared" si="262"/>
        <v>0</v>
      </c>
      <c r="CT154" s="12">
        <f t="shared" si="262"/>
        <v>0</v>
      </c>
      <c r="CU154" s="12">
        <f t="shared" si="262"/>
        <v>0</v>
      </c>
      <c r="CV154" s="12">
        <f t="shared" si="262"/>
        <v>0</v>
      </c>
      <c r="CW154" s="12">
        <f t="shared" si="262"/>
        <v>0</v>
      </c>
      <c r="CX154" s="12">
        <f t="shared" si="262"/>
        <v>0</v>
      </c>
      <c r="CY154" s="12">
        <f t="shared" si="262"/>
        <v>0</v>
      </c>
      <c r="CZ154" s="12">
        <f t="shared" si="262"/>
        <v>0</v>
      </c>
      <c r="DA154" s="12">
        <f t="shared" ref="DA154:EF154" si="263">-IF(AND(DA150&gt;=1,DA150&lt;=$E$31),$E$57*$E$29/$E$31,0)</f>
        <v>0</v>
      </c>
      <c r="DB154" s="12">
        <f t="shared" si="263"/>
        <v>0</v>
      </c>
      <c r="DC154" s="12">
        <f t="shared" si="263"/>
        <v>0</v>
      </c>
      <c r="DD154" s="12">
        <f t="shared" si="263"/>
        <v>0</v>
      </c>
      <c r="DE154" s="12">
        <f t="shared" si="263"/>
        <v>0</v>
      </c>
      <c r="DF154" s="12">
        <f t="shared" si="263"/>
        <v>0</v>
      </c>
      <c r="DG154" s="12">
        <f t="shared" si="263"/>
        <v>0</v>
      </c>
      <c r="DH154" s="12">
        <f t="shared" si="263"/>
        <v>0</v>
      </c>
      <c r="DI154" s="12">
        <f t="shared" si="263"/>
        <v>0</v>
      </c>
      <c r="DJ154" s="12">
        <f t="shared" si="263"/>
        <v>0</v>
      </c>
      <c r="DK154" s="12">
        <f t="shared" si="263"/>
        <v>0</v>
      </c>
      <c r="DL154" s="12">
        <f t="shared" si="263"/>
        <v>0</v>
      </c>
      <c r="DM154" s="12">
        <f t="shared" si="263"/>
        <v>0</v>
      </c>
      <c r="DN154" s="12">
        <f t="shared" si="263"/>
        <v>0</v>
      </c>
      <c r="DO154" s="12">
        <f t="shared" si="263"/>
        <v>0</v>
      </c>
      <c r="DP154" s="12">
        <f t="shared" si="263"/>
        <v>0</v>
      </c>
      <c r="DQ154" s="12">
        <f t="shared" si="263"/>
        <v>0</v>
      </c>
      <c r="DR154" s="12">
        <f t="shared" si="263"/>
        <v>0</v>
      </c>
      <c r="DS154" s="12">
        <f t="shared" si="263"/>
        <v>0</v>
      </c>
      <c r="DT154" s="12">
        <f t="shared" si="263"/>
        <v>0</v>
      </c>
      <c r="DU154" s="12">
        <f t="shared" si="263"/>
        <v>0</v>
      </c>
      <c r="DV154" s="12">
        <f t="shared" si="263"/>
        <v>0</v>
      </c>
      <c r="DW154" s="12">
        <f t="shared" si="263"/>
        <v>0</v>
      </c>
      <c r="DX154" s="12">
        <f t="shared" si="263"/>
        <v>0</v>
      </c>
      <c r="DY154" s="12">
        <f t="shared" si="263"/>
        <v>0</v>
      </c>
      <c r="DZ154" s="12">
        <f t="shared" si="263"/>
        <v>0</v>
      </c>
      <c r="EA154" s="12">
        <f t="shared" si="263"/>
        <v>0</v>
      </c>
      <c r="EB154" s="12">
        <f t="shared" si="263"/>
        <v>0</v>
      </c>
      <c r="EC154" s="12">
        <f t="shared" si="263"/>
        <v>0</v>
      </c>
      <c r="ED154" s="12">
        <f t="shared" si="263"/>
        <v>0</v>
      </c>
      <c r="EE154" s="12">
        <f t="shared" si="263"/>
        <v>0</v>
      </c>
      <c r="EF154" s="12">
        <f t="shared" si="263"/>
        <v>0</v>
      </c>
      <c r="EG154" s="12">
        <f t="shared" ref="EG154:FH154" si="264">-IF(AND(EG150&gt;=1,EG150&lt;=$E$31),$E$57*$E$29/$E$31,0)</f>
        <v>0</v>
      </c>
      <c r="EH154" s="12">
        <f t="shared" si="264"/>
        <v>0</v>
      </c>
      <c r="EI154" s="12">
        <f t="shared" si="264"/>
        <v>0</v>
      </c>
      <c r="EJ154" s="12">
        <f t="shared" si="264"/>
        <v>0</v>
      </c>
      <c r="EK154" s="12">
        <f t="shared" si="264"/>
        <v>0</v>
      </c>
      <c r="EL154" s="12">
        <f t="shared" si="264"/>
        <v>0</v>
      </c>
      <c r="EM154" s="12">
        <f t="shared" si="264"/>
        <v>0</v>
      </c>
      <c r="EN154" s="12">
        <f t="shared" si="264"/>
        <v>0</v>
      </c>
      <c r="EO154" s="12">
        <f t="shared" si="264"/>
        <v>0</v>
      </c>
      <c r="EP154" s="12">
        <f t="shared" si="264"/>
        <v>0</v>
      </c>
      <c r="EQ154" s="12">
        <f t="shared" si="264"/>
        <v>0</v>
      </c>
      <c r="ER154" s="12">
        <f t="shared" si="264"/>
        <v>0</v>
      </c>
      <c r="ES154" s="12">
        <f t="shared" si="264"/>
        <v>0</v>
      </c>
      <c r="ET154" s="12">
        <f t="shared" si="264"/>
        <v>0</v>
      </c>
      <c r="EU154" s="12">
        <f t="shared" si="264"/>
        <v>0</v>
      </c>
      <c r="EV154" s="12">
        <f t="shared" si="264"/>
        <v>0</v>
      </c>
      <c r="EW154" s="12">
        <f t="shared" si="264"/>
        <v>0</v>
      </c>
      <c r="EX154" s="12">
        <f t="shared" si="264"/>
        <v>0</v>
      </c>
      <c r="EY154" s="12">
        <f t="shared" si="264"/>
        <v>0</v>
      </c>
      <c r="EZ154" s="12">
        <f t="shared" si="264"/>
        <v>0</v>
      </c>
      <c r="FA154" s="12">
        <f t="shared" si="264"/>
        <v>0</v>
      </c>
      <c r="FB154" s="12">
        <f t="shared" si="264"/>
        <v>0</v>
      </c>
      <c r="FC154" s="12">
        <f t="shared" si="264"/>
        <v>0</v>
      </c>
      <c r="FD154" s="12">
        <f t="shared" si="264"/>
        <v>0</v>
      </c>
      <c r="FE154" s="12">
        <f t="shared" si="264"/>
        <v>0</v>
      </c>
      <c r="FF154" s="12">
        <f t="shared" si="264"/>
        <v>0</v>
      </c>
      <c r="FG154" s="12">
        <f t="shared" si="264"/>
        <v>0</v>
      </c>
      <c r="FH154" s="12">
        <f t="shared" si="264"/>
        <v>0</v>
      </c>
    </row>
    <row r="155" spans="1:164" x14ac:dyDescent="0.2">
      <c r="A155" s="10"/>
      <c r="B155" s="10"/>
      <c r="C155" s="10" t="s">
        <v>912</v>
      </c>
      <c r="D155" s="10"/>
      <c r="E155" s="10"/>
      <c r="F155" s="10"/>
      <c r="G155" s="10"/>
      <c r="H155" s="12">
        <f t="shared" si="244"/>
        <v>-4014.4499999999994</v>
      </c>
      <c r="I155" s="12">
        <f t="shared" ref="I155:AN155" si="265">-I151*$E$58*$E$29</f>
        <v>0</v>
      </c>
      <c r="J155" s="12">
        <f t="shared" si="265"/>
        <v>0</v>
      </c>
      <c r="K155" s="12">
        <f t="shared" si="265"/>
        <v>0</v>
      </c>
      <c r="L155" s="12">
        <f t="shared" si="265"/>
        <v>0</v>
      </c>
      <c r="M155" s="12">
        <f t="shared" si="265"/>
        <v>0</v>
      </c>
      <c r="N155" s="12">
        <f t="shared" si="265"/>
        <v>0</v>
      </c>
      <c r="O155" s="12">
        <f t="shared" si="265"/>
        <v>0</v>
      </c>
      <c r="P155" s="12">
        <f t="shared" si="265"/>
        <v>0</v>
      </c>
      <c r="Q155" s="12">
        <f t="shared" si="265"/>
        <v>0</v>
      </c>
      <c r="R155" s="12">
        <f t="shared" si="265"/>
        <v>0</v>
      </c>
      <c r="S155" s="12">
        <f t="shared" si="265"/>
        <v>0</v>
      </c>
      <c r="T155" s="12">
        <f t="shared" si="265"/>
        <v>0</v>
      </c>
      <c r="U155" s="12">
        <f t="shared" si="265"/>
        <v>0</v>
      </c>
      <c r="V155" s="12">
        <f t="shared" si="265"/>
        <v>0</v>
      </c>
      <c r="W155" s="12">
        <f t="shared" si="265"/>
        <v>0</v>
      </c>
      <c r="X155" s="12">
        <f t="shared" si="265"/>
        <v>0</v>
      </c>
      <c r="Y155" s="12">
        <f t="shared" si="265"/>
        <v>0</v>
      </c>
      <c r="Z155" s="12">
        <f t="shared" si="265"/>
        <v>0</v>
      </c>
      <c r="AA155" s="12">
        <f t="shared" si="265"/>
        <v>0</v>
      </c>
      <c r="AB155" s="12">
        <f t="shared" si="265"/>
        <v>0</v>
      </c>
      <c r="AC155" s="12">
        <f t="shared" si="265"/>
        <v>0</v>
      </c>
      <c r="AD155" s="12">
        <f t="shared" si="265"/>
        <v>0</v>
      </c>
      <c r="AE155" s="12">
        <f t="shared" si="265"/>
        <v>0</v>
      </c>
      <c r="AF155" s="12">
        <f t="shared" si="265"/>
        <v>0</v>
      </c>
      <c r="AG155" s="12">
        <f t="shared" si="265"/>
        <v>0</v>
      </c>
      <c r="AH155" s="12">
        <f t="shared" si="265"/>
        <v>0</v>
      </c>
      <c r="AI155" s="12">
        <f t="shared" si="265"/>
        <v>0</v>
      </c>
      <c r="AJ155" s="12">
        <f t="shared" si="265"/>
        <v>0</v>
      </c>
      <c r="AK155" s="12">
        <f t="shared" si="265"/>
        <v>0</v>
      </c>
      <c r="AL155" s="12">
        <f t="shared" si="265"/>
        <v>0</v>
      </c>
      <c r="AM155" s="12">
        <f t="shared" si="265"/>
        <v>0</v>
      </c>
      <c r="AN155" s="12">
        <f t="shared" si="265"/>
        <v>0</v>
      </c>
      <c r="AO155" s="12">
        <f t="shared" ref="AO155:BT155" si="266">-AO151*$E$58*$E$29</f>
        <v>0</v>
      </c>
      <c r="AP155" s="12">
        <f t="shared" si="266"/>
        <v>0</v>
      </c>
      <c r="AQ155" s="12">
        <f t="shared" si="266"/>
        <v>0</v>
      </c>
      <c r="AR155" s="12">
        <f t="shared" si="266"/>
        <v>0</v>
      </c>
      <c r="AS155" s="12">
        <f t="shared" si="266"/>
        <v>0</v>
      </c>
      <c r="AT155" s="12">
        <f t="shared" si="266"/>
        <v>0</v>
      </c>
      <c r="AU155" s="12">
        <f t="shared" si="266"/>
        <v>0</v>
      </c>
      <c r="AV155" s="12">
        <f t="shared" si="266"/>
        <v>0</v>
      </c>
      <c r="AW155" s="12">
        <f t="shared" si="266"/>
        <v>0</v>
      </c>
      <c r="AX155" s="12">
        <f t="shared" si="266"/>
        <v>0</v>
      </c>
      <c r="AY155" s="12">
        <f t="shared" si="266"/>
        <v>-10.995788569417549</v>
      </c>
      <c r="AZ155" s="12">
        <f t="shared" si="266"/>
        <v>-32.866893547669427</v>
      </c>
      <c r="BA155" s="12">
        <f t="shared" si="266"/>
        <v>-54.377901962373379</v>
      </c>
      <c r="BB155" s="12">
        <f t="shared" si="266"/>
        <v>-75.293134703870024</v>
      </c>
      <c r="BC155" s="12">
        <f t="shared" si="266"/>
        <v>-95.383440105449708</v>
      </c>
      <c r="BD155" s="12">
        <f t="shared" si="266"/>
        <v>-114.42870457696598</v>
      </c>
      <c r="BE155" s="12">
        <f t="shared" si="266"/>
        <v>-132.22026421539118</v>
      </c>
      <c r="BF155" s="12">
        <f t="shared" si="266"/>
        <v>-148.56319097020341</v>
      </c>
      <c r="BG155" s="12">
        <f t="shared" si="266"/>
        <v>-163.27842831589976</v>
      </c>
      <c r="BH155" s="12">
        <f t="shared" si="266"/>
        <v>-176.20475303275933</v>
      </c>
      <c r="BI155" s="12">
        <f t="shared" si="266"/>
        <v>-187.20054160217691</v>
      </c>
      <c r="BJ155" s="12">
        <f t="shared" si="266"/>
        <v>-196.14532186356922</v>
      </c>
      <c r="BK155" s="12">
        <f t="shared" si="266"/>
        <v>-202.94109293257685</v>
      </c>
      <c r="BL155" s="12">
        <f t="shared" si="266"/>
        <v>-207.51339891926125</v>
      </c>
      <c r="BM155" s="12">
        <f t="shared" si="266"/>
        <v>-209.81214468241569</v>
      </c>
      <c r="BN155" s="12">
        <f t="shared" si="266"/>
        <v>-209.81214468241569</v>
      </c>
      <c r="BO155" s="12">
        <f t="shared" si="266"/>
        <v>-207.51339891926125</v>
      </c>
      <c r="BP155" s="12">
        <f t="shared" si="266"/>
        <v>-202.94109293257685</v>
      </c>
      <c r="BQ155" s="12">
        <f t="shared" si="266"/>
        <v>-196.14532186356922</v>
      </c>
      <c r="BR155" s="12">
        <f t="shared" si="266"/>
        <v>-187.20054160217691</v>
      </c>
      <c r="BS155" s="12">
        <f t="shared" si="266"/>
        <v>-176.20475303275941</v>
      </c>
      <c r="BT155" s="12">
        <f t="shared" si="266"/>
        <v>-163.27842831589979</v>
      </c>
      <c r="BU155" s="12">
        <f t="shared" ref="BU155:CZ155" si="267">-BU151*$E$58*$E$29</f>
        <v>-148.56319097020344</v>
      </c>
      <c r="BV155" s="12">
        <f t="shared" si="267"/>
        <v>-132.22026421539115</v>
      </c>
      <c r="BW155" s="12">
        <f t="shared" si="267"/>
        <v>-114.42870457696606</v>
      </c>
      <c r="BX155" s="12">
        <f t="shared" si="267"/>
        <v>-95.383440105449722</v>
      </c>
      <c r="BY155" s="12">
        <f t="shared" si="267"/>
        <v>-75.29313470387001</v>
      </c>
      <c r="BZ155" s="12">
        <f t="shared" si="267"/>
        <v>-54.377901962373343</v>
      </c>
      <c r="CA155" s="12">
        <f t="shared" si="267"/>
        <v>-32.866893547669449</v>
      </c>
      <c r="CB155" s="12">
        <f t="shared" si="267"/>
        <v>-10.995788569417543</v>
      </c>
      <c r="CC155" s="12">
        <f t="shared" si="267"/>
        <v>0</v>
      </c>
      <c r="CD155" s="12">
        <f t="shared" si="267"/>
        <v>0</v>
      </c>
      <c r="CE155" s="12">
        <f t="shared" si="267"/>
        <v>0</v>
      </c>
      <c r="CF155" s="12">
        <f t="shared" si="267"/>
        <v>0</v>
      </c>
      <c r="CG155" s="12">
        <f t="shared" si="267"/>
        <v>0</v>
      </c>
      <c r="CH155" s="12">
        <f t="shared" si="267"/>
        <v>0</v>
      </c>
      <c r="CI155" s="12">
        <f t="shared" si="267"/>
        <v>0</v>
      </c>
      <c r="CJ155" s="12">
        <f t="shared" si="267"/>
        <v>0</v>
      </c>
      <c r="CK155" s="12">
        <f t="shared" si="267"/>
        <v>0</v>
      </c>
      <c r="CL155" s="12">
        <f t="shared" si="267"/>
        <v>0</v>
      </c>
      <c r="CM155" s="12">
        <f t="shared" si="267"/>
        <v>0</v>
      </c>
      <c r="CN155" s="12">
        <f t="shared" si="267"/>
        <v>0</v>
      </c>
      <c r="CO155" s="12">
        <f t="shared" si="267"/>
        <v>0</v>
      </c>
      <c r="CP155" s="12">
        <f t="shared" si="267"/>
        <v>0</v>
      </c>
      <c r="CQ155" s="12">
        <f t="shared" si="267"/>
        <v>0</v>
      </c>
      <c r="CR155" s="12">
        <f t="shared" si="267"/>
        <v>0</v>
      </c>
      <c r="CS155" s="12">
        <f t="shared" si="267"/>
        <v>0</v>
      </c>
      <c r="CT155" s="12">
        <f t="shared" si="267"/>
        <v>0</v>
      </c>
      <c r="CU155" s="12">
        <f t="shared" si="267"/>
        <v>0</v>
      </c>
      <c r="CV155" s="12">
        <f t="shared" si="267"/>
        <v>0</v>
      </c>
      <c r="CW155" s="12">
        <f t="shared" si="267"/>
        <v>0</v>
      </c>
      <c r="CX155" s="12">
        <f t="shared" si="267"/>
        <v>0</v>
      </c>
      <c r="CY155" s="12">
        <f t="shared" si="267"/>
        <v>0</v>
      </c>
      <c r="CZ155" s="12">
        <f t="shared" si="267"/>
        <v>0</v>
      </c>
      <c r="DA155" s="12">
        <f t="shared" ref="DA155:EF155" si="268">-DA151*$E$58*$E$29</f>
        <v>0</v>
      </c>
      <c r="DB155" s="12">
        <f t="shared" si="268"/>
        <v>0</v>
      </c>
      <c r="DC155" s="12">
        <f t="shared" si="268"/>
        <v>0</v>
      </c>
      <c r="DD155" s="12">
        <f t="shared" si="268"/>
        <v>0</v>
      </c>
      <c r="DE155" s="12">
        <f t="shared" si="268"/>
        <v>0</v>
      </c>
      <c r="DF155" s="12">
        <f t="shared" si="268"/>
        <v>0</v>
      </c>
      <c r="DG155" s="12">
        <f t="shared" si="268"/>
        <v>0</v>
      </c>
      <c r="DH155" s="12">
        <f t="shared" si="268"/>
        <v>0</v>
      </c>
      <c r="DI155" s="12">
        <f t="shared" si="268"/>
        <v>0</v>
      </c>
      <c r="DJ155" s="12">
        <f t="shared" si="268"/>
        <v>0</v>
      </c>
      <c r="DK155" s="12">
        <f t="shared" si="268"/>
        <v>0</v>
      </c>
      <c r="DL155" s="12">
        <f t="shared" si="268"/>
        <v>0</v>
      </c>
      <c r="DM155" s="12">
        <f t="shared" si="268"/>
        <v>0</v>
      </c>
      <c r="DN155" s="12">
        <f t="shared" si="268"/>
        <v>0</v>
      </c>
      <c r="DO155" s="12">
        <f t="shared" si="268"/>
        <v>0</v>
      </c>
      <c r="DP155" s="12">
        <f t="shared" si="268"/>
        <v>0</v>
      </c>
      <c r="DQ155" s="12">
        <f t="shared" si="268"/>
        <v>0</v>
      </c>
      <c r="DR155" s="12">
        <f t="shared" si="268"/>
        <v>0</v>
      </c>
      <c r="DS155" s="12">
        <f t="shared" si="268"/>
        <v>0</v>
      </c>
      <c r="DT155" s="12">
        <f t="shared" si="268"/>
        <v>0</v>
      </c>
      <c r="DU155" s="12">
        <f t="shared" si="268"/>
        <v>0</v>
      </c>
      <c r="DV155" s="12">
        <f t="shared" si="268"/>
        <v>0</v>
      </c>
      <c r="DW155" s="12">
        <f t="shared" si="268"/>
        <v>0</v>
      </c>
      <c r="DX155" s="12">
        <f t="shared" si="268"/>
        <v>0</v>
      </c>
      <c r="DY155" s="12">
        <f t="shared" si="268"/>
        <v>0</v>
      </c>
      <c r="DZ155" s="12">
        <f t="shared" si="268"/>
        <v>0</v>
      </c>
      <c r="EA155" s="12">
        <f t="shared" si="268"/>
        <v>0</v>
      </c>
      <c r="EB155" s="12">
        <f t="shared" si="268"/>
        <v>0</v>
      </c>
      <c r="EC155" s="12">
        <f t="shared" si="268"/>
        <v>0</v>
      </c>
      <c r="ED155" s="12">
        <f t="shared" si="268"/>
        <v>0</v>
      </c>
      <c r="EE155" s="12">
        <f t="shared" si="268"/>
        <v>0</v>
      </c>
      <c r="EF155" s="12">
        <f t="shared" si="268"/>
        <v>0</v>
      </c>
      <c r="EG155" s="12">
        <f t="shared" ref="EG155:FH155" si="269">-EG151*$E$58*$E$29</f>
        <v>0</v>
      </c>
      <c r="EH155" s="12">
        <f t="shared" si="269"/>
        <v>0</v>
      </c>
      <c r="EI155" s="12">
        <f t="shared" si="269"/>
        <v>0</v>
      </c>
      <c r="EJ155" s="12">
        <f t="shared" si="269"/>
        <v>0</v>
      </c>
      <c r="EK155" s="12">
        <f t="shared" si="269"/>
        <v>0</v>
      </c>
      <c r="EL155" s="12">
        <f t="shared" si="269"/>
        <v>0</v>
      </c>
      <c r="EM155" s="12">
        <f t="shared" si="269"/>
        <v>0</v>
      </c>
      <c r="EN155" s="12">
        <f t="shared" si="269"/>
        <v>0</v>
      </c>
      <c r="EO155" s="12">
        <f t="shared" si="269"/>
        <v>0</v>
      </c>
      <c r="EP155" s="12">
        <f t="shared" si="269"/>
        <v>0</v>
      </c>
      <c r="EQ155" s="12">
        <f t="shared" si="269"/>
        <v>0</v>
      </c>
      <c r="ER155" s="12">
        <f t="shared" si="269"/>
        <v>0</v>
      </c>
      <c r="ES155" s="12">
        <f t="shared" si="269"/>
        <v>0</v>
      </c>
      <c r="ET155" s="12">
        <f t="shared" si="269"/>
        <v>0</v>
      </c>
      <c r="EU155" s="12">
        <f t="shared" si="269"/>
        <v>0</v>
      </c>
      <c r="EV155" s="12">
        <f t="shared" si="269"/>
        <v>0</v>
      </c>
      <c r="EW155" s="12">
        <f t="shared" si="269"/>
        <v>0</v>
      </c>
      <c r="EX155" s="12">
        <f t="shared" si="269"/>
        <v>0</v>
      </c>
      <c r="EY155" s="12">
        <f t="shared" si="269"/>
        <v>0</v>
      </c>
      <c r="EZ155" s="12">
        <f t="shared" si="269"/>
        <v>0</v>
      </c>
      <c r="FA155" s="12">
        <f t="shared" si="269"/>
        <v>0</v>
      </c>
      <c r="FB155" s="12">
        <f t="shared" si="269"/>
        <v>0</v>
      </c>
      <c r="FC155" s="12">
        <f t="shared" si="269"/>
        <v>0</v>
      </c>
      <c r="FD155" s="12">
        <f t="shared" si="269"/>
        <v>0</v>
      </c>
      <c r="FE155" s="12">
        <f t="shared" si="269"/>
        <v>0</v>
      </c>
      <c r="FF155" s="12">
        <f t="shared" si="269"/>
        <v>0</v>
      </c>
      <c r="FG155" s="12">
        <f t="shared" si="269"/>
        <v>0</v>
      </c>
      <c r="FH155" s="12">
        <f t="shared" si="269"/>
        <v>0</v>
      </c>
    </row>
    <row r="156" spans="1:164" x14ac:dyDescent="0.2">
      <c r="A156" s="10"/>
      <c r="B156" s="10"/>
      <c r="C156" s="10" t="s">
        <v>913</v>
      </c>
      <c r="D156" s="10"/>
      <c r="E156" s="10"/>
      <c r="F156" s="10"/>
      <c r="G156" s="10"/>
      <c r="H156" s="12">
        <f t="shared" si="244"/>
        <v>-23294.399999999991</v>
      </c>
      <c r="I156" s="12">
        <f t="shared" ref="I156:AN156" si="270">-IF(AND(I150&gt;=1,I150&lt;=$E$31),$E$59*$E$23/$E$31,0)</f>
        <v>0</v>
      </c>
      <c r="J156" s="12">
        <f t="shared" si="270"/>
        <v>0</v>
      </c>
      <c r="K156" s="12">
        <f t="shared" si="270"/>
        <v>0</v>
      </c>
      <c r="L156" s="12">
        <f t="shared" si="270"/>
        <v>0</v>
      </c>
      <c r="M156" s="12">
        <f t="shared" si="270"/>
        <v>0</v>
      </c>
      <c r="N156" s="12">
        <f t="shared" si="270"/>
        <v>0</v>
      </c>
      <c r="O156" s="12">
        <f t="shared" si="270"/>
        <v>0</v>
      </c>
      <c r="P156" s="12">
        <f t="shared" si="270"/>
        <v>0</v>
      </c>
      <c r="Q156" s="12">
        <f t="shared" si="270"/>
        <v>0</v>
      </c>
      <c r="R156" s="12">
        <f t="shared" si="270"/>
        <v>0</v>
      </c>
      <c r="S156" s="12">
        <f t="shared" si="270"/>
        <v>0</v>
      </c>
      <c r="T156" s="12">
        <f t="shared" si="270"/>
        <v>0</v>
      </c>
      <c r="U156" s="12">
        <f t="shared" si="270"/>
        <v>0</v>
      </c>
      <c r="V156" s="12">
        <f t="shared" si="270"/>
        <v>0</v>
      </c>
      <c r="W156" s="12">
        <f t="shared" si="270"/>
        <v>0</v>
      </c>
      <c r="X156" s="12">
        <f t="shared" si="270"/>
        <v>0</v>
      </c>
      <c r="Y156" s="12">
        <f t="shared" si="270"/>
        <v>0</v>
      </c>
      <c r="Z156" s="12">
        <f t="shared" si="270"/>
        <v>0</v>
      </c>
      <c r="AA156" s="12">
        <f t="shared" si="270"/>
        <v>0</v>
      </c>
      <c r="AB156" s="12">
        <f t="shared" si="270"/>
        <v>0</v>
      </c>
      <c r="AC156" s="12">
        <f t="shared" si="270"/>
        <v>0</v>
      </c>
      <c r="AD156" s="12">
        <f t="shared" si="270"/>
        <v>0</v>
      </c>
      <c r="AE156" s="12">
        <f t="shared" si="270"/>
        <v>0</v>
      </c>
      <c r="AF156" s="12">
        <f t="shared" si="270"/>
        <v>0</v>
      </c>
      <c r="AG156" s="12">
        <f t="shared" si="270"/>
        <v>0</v>
      </c>
      <c r="AH156" s="12">
        <f t="shared" si="270"/>
        <v>0</v>
      </c>
      <c r="AI156" s="12">
        <f t="shared" si="270"/>
        <v>0</v>
      </c>
      <c r="AJ156" s="12">
        <f t="shared" si="270"/>
        <v>0</v>
      </c>
      <c r="AK156" s="12">
        <f t="shared" si="270"/>
        <v>0</v>
      </c>
      <c r="AL156" s="12">
        <f t="shared" si="270"/>
        <v>0</v>
      </c>
      <c r="AM156" s="12">
        <f t="shared" si="270"/>
        <v>0</v>
      </c>
      <c r="AN156" s="12">
        <f t="shared" si="270"/>
        <v>0</v>
      </c>
      <c r="AO156" s="12">
        <f t="shared" ref="AO156:BT156" si="271">-IF(AND(AO150&gt;=1,AO150&lt;=$E$31),$E$59*$E$23/$E$31,0)</f>
        <v>0</v>
      </c>
      <c r="AP156" s="12">
        <f t="shared" si="271"/>
        <v>0</v>
      </c>
      <c r="AQ156" s="12">
        <f t="shared" si="271"/>
        <v>0</v>
      </c>
      <c r="AR156" s="12">
        <f t="shared" si="271"/>
        <v>0</v>
      </c>
      <c r="AS156" s="12">
        <f t="shared" si="271"/>
        <v>0</v>
      </c>
      <c r="AT156" s="12">
        <f t="shared" si="271"/>
        <v>0</v>
      </c>
      <c r="AU156" s="12">
        <f t="shared" si="271"/>
        <v>0</v>
      </c>
      <c r="AV156" s="12">
        <f t="shared" si="271"/>
        <v>0</v>
      </c>
      <c r="AW156" s="12">
        <f t="shared" si="271"/>
        <v>0</v>
      </c>
      <c r="AX156" s="12">
        <f t="shared" si="271"/>
        <v>0</v>
      </c>
      <c r="AY156" s="12">
        <f t="shared" si="271"/>
        <v>-776.4799999999999</v>
      </c>
      <c r="AZ156" s="12">
        <f t="shared" si="271"/>
        <v>-776.4799999999999</v>
      </c>
      <c r="BA156" s="12">
        <f t="shared" si="271"/>
        <v>-776.4799999999999</v>
      </c>
      <c r="BB156" s="12">
        <f t="shared" si="271"/>
        <v>-776.4799999999999</v>
      </c>
      <c r="BC156" s="12">
        <f t="shared" si="271"/>
        <v>-776.4799999999999</v>
      </c>
      <c r="BD156" s="12">
        <f t="shared" si="271"/>
        <v>-776.4799999999999</v>
      </c>
      <c r="BE156" s="12">
        <f t="shared" si="271"/>
        <v>-776.4799999999999</v>
      </c>
      <c r="BF156" s="12">
        <f t="shared" si="271"/>
        <v>-776.4799999999999</v>
      </c>
      <c r="BG156" s="12">
        <f t="shared" si="271"/>
        <v>-776.4799999999999</v>
      </c>
      <c r="BH156" s="12">
        <f t="shared" si="271"/>
        <v>-776.4799999999999</v>
      </c>
      <c r="BI156" s="12">
        <f t="shared" si="271"/>
        <v>-776.4799999999999</v>
      </c>
      <c r="BJ156" s="12">
        <f t="shared" si="271"/>
        <v>-776.4799999999999</v>
      </c>
      <c r="BK156" s="12">
        <f t="shared" si="271"/>
        <v>-776.4799999999999</v>
      </c>
      <c r="BL156" s="12">
        <f t="shared" si="271"/>
        <v>-776.4799999999999</v>
      </c>
      <c r="BM156" s="12">
        <f t="shared" si="271"/>
        <v>-776.4799999999999</v>
      </c>
      <c r="BN156" s="12">
        <f t="shared" si="271"/>
        <v>-776.4799999999999</v>
      </c>
      <c r="BO156" s="12">
        <f t="shared" si="271"/>
        <v>-776.4799999999999</v>
      </c>
      <c r="BP156" s="12">
        <f t="shared" si="271"/>
        <v>-776.4799999999999</v>
      </c>
      <c r="BQ156" s="12">
        <f t="shared" si="271"/>
        <v>-776.4799999999999</v>
      </c>
      <c r="BR156" s="12">
        <f t="shared" si="271"/>
        <v>-776.4799999999999</v>
      </c>
      <c r="BS156" s="12">
        <f t="shared" si="271"/>
        <v>-776.4799999999999</v>
      </c>
      <c r="BT156" s="12">
        <f t="shared" si="271"/>
        <v>-776.4799999999999</v>
      </c>
      <c r="BU156" s="12">
        <f t="shared" ref="BU156:CZ156" si="272">-IF(AND(BU150&gt;=1,BU150&lt;=$E$31),$E$59*$E$23/$E$31,0)</f>
        <v>-776.4799999999999</v>
      </c>
      <c r="BV156" s="12">
        <f t="shared" si="272"/>
        <v>-776.4799999999999</v>
      </c>
      <c r="BW156" s="12">
        <f t="shared" si="272"/>
        <v>-776.4799999999999</v>
      </c>
      <c r="BX156" s="12">
        <f t="shared" si="272"/>
        <v>-776.4799999999999</v>
      </c>
      <c r="BY156" s="12">
        <f t="shared" si="272"/>
        <v>-776.4799999999999</v>
      </c>
      <c r="BZ156" s="12">
        <f t="shared" si="272"/>
        <v>-776.4799999999999</v>
      </c>
      <c r="CA156" s="12">
        <f t="shared" si="272"/>
        <v>-776.4799999999999</v>
      </c>
      <c r="CB156" s="12">
        <f t="shared" si="272"/>
        <v>-776.4799999999999</v>
      </c>
      <c r="CC156" s="12">
        <f t="shared" si="272"/>
        <v>0</v>
      </c>
      <c r="CD156" s="12">
        <f t="shared" si="272"/>
        <v>0</v>
      </c>
      <c r="CE156" s="12">
        <f t="shared" si="272"/>
        <v>0</v>
      </c>
      <c r="CF156" s="12">
        <f t="shared" si="272"/>
        <v>0</v>
      </c>
      <c r="CG156" s="12">
        <f t="shared" si="272"/>
        <v>0</v>
      </c>
      <c r="CH156" s="12">
        <f t="shared" si="272"/>
        <v>0</v>
      </c>
      <c r="CI156" s="12">
        <f t="shared" si="272"/>
        <v>0</v>
      </c>
      <c r="CJ156" s="12">
        <f t="shared" si="272"/>
        <v>0</v>
      </c>
      <c r="CK156" s="12">
        <f t="shared" si="272"/>
        <v>0</v>
      </c>
      <c r="CL156" s="12">
        <f t="shared" si="272"/>
        <v>0</v>
      </c>
      <c r="CM156" s="12">
        <f t="shared" si="272"/>
        <v>0</v>
      </c>
      <c r="CN156" s="12">
        <f t="shared" si="272"/>
        <v>0</v>
      </c>
      <c r="CO156" s="12">
        <f t="shared" si="272"/>
        <v>0</v>
      </c>
      <c r="CP156" s="12">
        <f t="shared" si="272"/>
        <v>0</v>
      </c>
      <c r="CQ156" s="12">
        <f t="shared" si="272"/>
        <v>0</v>
      </c>
      <c r="CR156" s="12">
        <f t="shared" si="272"/>
        <v>0</v>
      </c>
      <c r="CS156" s="12">
        <f t="shared" si="272"/>
        <v>0</v>
      </c>
      <c r="CT156" s="12">
        <f t="shared" si="272"/>
        <v>0</v>
      </c>
      <c r="CU156" s="12">
        <f t="shared" si="272"/>
        <v>0</v>
      </c>
      <c r="CV156" s="12">
        <f t="shared" si="272"/>
        <v>0</v>
      </c>
      <c r="CW156" s="12">
        <f t="shared" si="272"/>
        <v>0</v>
      </c>
      <c r="CX156" s="12">
        <f t="shared" si="272"/>
        <v>0</v>
      </c>
      <c r="CY156" s="12">
        <f t="shared" si="272"/>
        <v>0</v>
      </c>
      <c r="CZ156" s="12">
        <f t="shared" si="272"/>
        <v>0</v>
      </c>
      <c r="DA156" s="12">
        <f t="shared" ref="DA156:EF156" si="273">-IF(AND(DA150&gt;=1,DA150&lt;=$E$31),$E$59*$E$23/$E$31,0)</f>
        <v>0</v>
      </c>
      <c r="DB156" s="12">
        <f t="shared" si="273"/>
        <v>0</v>
      </c>
      <c r="DC156" s="12">
        <f t="shared" si="273"/>
        <v>0</v>
      </c>
      <c r="DD156" s="12">
        <f t="shared" si="273"/>
        <v>0</v>
      </c>
      <c r="DE156" s="12">
        <f t="shared" si="273"/>
        <v>0</v>
      </c>
      <c r="DF156" s="12">
        <f t="shared" si="273"/>
        <v>0</v>
      </c>
      <c r="DG156" s="12">
        <f t="shared" si="273"/>
        <v>0</v>
      </c>
      <c r="DH156" s="12">
        <f t="shared" si="273"/>
        <v>0</v>
      </c>
      <c r="DI156" s="12">
        <f t="shared" si="273"/>
        <v>0</v>
      </c>
      <c r="DJ156" s="12">
        <f t="shared" si="273"/>
        <v>0</v>
      </c>
      <c r="DK156" s="12">
        <f t="shared" si="273"/>
        <v>0</v>
      </c>
      <c r="DL156" s="12">
        <f t="shared" si="273"/>
        <v>0</v>
      </c>
      <c r="DM156" s="12">
        <f t="shared" si="273"/>
        <v>0</v>
      </c>
      <c r="DN156" s="12">
        <f t="shared" si="273"/>
        <v>0</v>
      </c>
      <c r="DO156" s="12">
        <f t="shared" si="273"/>
        <v>0</v>
      </c>
      <c r="DP156" s="12">
        <f t="shared" si="273"/>
        <v>0</v>
      </c>
      <c r="DQ156" s="12">
        <f t="shared" si="273"/>
        <v>0</v>
      </c>
      <c r="DR156" s="12">
        <f t="shared" si="273"/>
        <v>0</v>
      </c>
      <c r="DS156" s="12">
        <f t="shared" si="273"/>
        <v>0</v>
      </c>
      <c r="DT156" s="12">
        <f t="shared" si="273"/>
        <v>0</v>
      </c>
      <c r="DU156" s="12">
        <f t="shared" si="273"/>
        <v>0</v>
      </c>
      <c r="DV156" s="12">
        <f t="shared" si="273"/>
        <v>0</v>
      </c>
      <c r="DW156" s="12">
        <f t="shared" si="273"/>
        <v>0</v>
      </c>
      <c r="DX156" s="12">
        <f t="shared" si="273"/>
        <v>0</v>
      </c>
      <c r="DY156" s="12">
        <f t="shared" si="273"/>
        <v>0</v>
      </c>
      <c r="DZ156" s="12">
        <f t="shared" si="273"/>
        <v>0</v>
      </c>
      <c r="EA156" s="12">
        <f t="shared" si="273"/>
        <v>0</v>
      </c>
      <c r="EB156" s="12">
        <f t="shared" si="273"/>
        <v>0</v>
      </c>
      <c r="EC156" s="12">
        <f t="shared" si="273"/>
        <v>0</v>
      </c>
      <c r="ED156" s="12">
        <f t="shared" si="273"/>
        <v>0</v>
      </c>
      <c r="EE156" s="12">
        <f t="shared" si="273"/>
        <v>0</v>
      </c>
      <c r="EF156" s="12">
        <f t="shared" si="273"/>
        <v>0</v>
      </c>
      <c r="EG156" s="12">
        <f t="shared" ref="EG156:FH156" si="274">-IF(AND(EG150&gt;=1,EG150&lt;=$E$31),$E$59*$E$23/$E$31,0)</f>
        <v>0</v>
      </c>
      <c r="EH156" s="12">
        <f t="shared" si="274"/>
        <v>0</v>
      </c>
      <c r="EI156" s="12">
        <f t="shared" si="274"/>
        <v>0</v>
      </c>
      <c r="EJ156" s="12">
        <f t="shared" si="274"/>
        <v>0</v>
      </c>
      <c r="EK156" s="12">
        <f t="shared" si="274"/>
        <v>0</v>
      </c>
      <c r="EL156" s="12">
        <f t="shared" si="274"/>
        <v>0</v>
      </c>
      <c r="EM156" s="12">
        <f t="shared" si="274"/>
        <v>0</v>
      </c>
      <c r="EN156" s="12">
        <f t="shared" si="274"/>
        <v>0</v>
      </c>
      <c r="EO156" s="12">
        <f t="shared" si="274"/>
        <v>0</v>
      </c>
      <c r="EP156" s="12">
        <f t="shared" si="274"/>
        <v>0</v>
      </c>
      <c r="EQ156" s="12">
        <f t="shared" si="274"/>
        <v>0</v>
      </c>
      <c r="ER156" s="12">
        <f t="shared" si="274"/>
        <v>0</v>
      </c>
      <c r="ES156" s="12">
        <f t="shared" si="274"/>
        <v>0</v>
      </c>
      <c r="ET156" s="12">
        <f t="shared" si="274"/>
        <v>0</v>
      </c>
      <c r="EU156" s="12">
        <f t="shared" si="274"/>
        <v>0</v>
      </c>
      <c r="EV156" s="12">
        <f t="shared" si="274"/>
        <v>0</v>
      </c>
      <c r="EW156" s="12">
        <f t="shared" si="274"/>
        <v>0</v>
      </c>
      <c r="EX156" s="12">
        <f t="shared" si="274"/>
        <v>0</v>
      </c>
      <c r="EY156" s="12">
        <f t="shared" si="274"/>
        <v>0</v>
      </c>
      <c r="EZ156" s="12">
        <f t="shared" si="274"/>
        <v>0</v>
      </c>
      <c r="FA156" s="12">
        <f t="shared" si="274"/>
        <v>0</v>
      </c>
      <c r="FB156" s="12">
        <f t="shared" si="274"/>
        <v>0</v>
      </c>
      <c r="FC156" s="12">
        <f t="shared" si="274"/>
        <v>0</v>
      </c>
      <c r="FD156" s="12">
        <f t="shared" si="274"/>
        <v>0</v>
      </c>
      <c r="FE156" s="12">
        <f t="shared" si="274"/>
        <v>0</v>
      </c>
      <c r="FF156" s="12">
        <f t="shared" si="274"/>
        <v>0</v>
      </c>
      <c r="FG156" s="12">
        <f t="shared" si="274"/>
        <v>0</v>
      </c>
      <c r="FH156" s="12">
        <f t="shared" si="274"/>
        <v>0</v>
      </c>
    </row>
    <row r="157" spans="1:164" x14ac:dyDescent="0.2">
      <c r="A157" s="10"/>
      <c r="B157" s="10"/>
      <c r="C157" s="10" t="s">
        <v>914</v>
      </c>
      <c r="D157" s="10"/>
      <c r="E157" s="10"/>
      <c r="F157" s="10"/>
      <c r="G157" s="10"/>
      <c r="H157" s="12">
        <f t="shared" si="244"/>
        <v>-13976.639999999994</v>
      </c>
      <c r="I157" s="12">
        <f t="shared" ref="I157:AN157" si="275">-IF(AND(I$6&gt;=EDATE($E$32,-3),I$6&lt;EDATE($E$32,15)),$E$60*$E$23/18,0)</f>
        <v>0</v>
      </c>
      <c r="J157" s="12">
        <f t="shared" si="275"/>
        <v>0</v>
      </c>
      <c r="K157" s="12">
        <f t="shared" si="275"/>
        <v>0</v>
      </c>
      <c r="L157" s="12">
        <f t="shared" si="275"/>
        <v>0</v>
      </c>
      <c r="M157" s="12">
        <f t="shared" si="275"/>
        <v>0</v>
      </c>
      <c r="N157" s="12">
        <f t="shared" si="275"/>
        <v>0</v>
      </c>
      <c r="O157" s="12">
        <f t="shared" si="275"/>
        <v>0</v>
      </c>
      <c r="P157" s="12">
        <f t="shared" si="275"/>
        <v>0</v>
      </c>
      <c r="Q157" s="12">
        <f t="shared" si="275"/>
        <v>0</v>
      </c>
      <c r="R157" s="12">
        <f t="shared" si="275"/>
        <v>0</v>
      </c>
      <c r="S157" s="12">
        <f t="shared" si="275"/>
        <v>0</v>
      </c>
      <c r="T157" s="12">
        <f t="shared" si="275"/>
        <v>0</v>
      </c>
      <c r="U157" s="12">
        <f t="shared" si="275"/>
        <v>0</v>
      </c>
      <c r="V157" s="12">
        <f t="shared" si="275"/>
        <v>0</v>
      </c>
      <c r="W157" s="12">
        <f t="shared" si="275"/>
        <v>0</v>
      </c>
      <c r="X157" s="12">
        <f t="shared" si="275"/>
        <v>0</v>
      </c>
      <c r="Y157" s="12">
        <f t="shared" si="275"/>
        <v>0</v>
      </c>
      <c r="Z157" s="12">
        <f t="shared" si="275"/>
        <v>0</v>
      </c>
      <c r="AA157" s="12">
        <f t="shared" si="275"/>
        <v>0</v>
      </c>
      <c r="AB157" s="12">
        <f t="shared" si="275"/>
        <v>0</v>
      </c>
      <c r="AC157" s="12">
        <f t="shared" si="275"/>
        <v>0</v>
      </c>
      <c r="AD157" s="12">
        <f t="shared" si="275"/>
        <v>0</v>
      </c>
      <c r="AE157" s="12">
        <f t="shared" si="275"/>
        <v>0</v>
      </c>
      <c r="AF157" s="12">
        <f t="shared" si="275"/>
        <v>0</v>
      </c>
      <c r="AG157" s="12">
        <f t="shared" si="275"/>
        <v>0</v>
      </c>
      <c r="AH157" s="12">
        <f t="shared" si="275"/>
        <v>0</v>
      </c>
      <c r="AI157" s="12">
        <f t="shared" si="275"/>
        <v>0</v>
      </c>
      <c r="AJ157" s="12">
        <f t="shared" si="275"/>
        <v>0</v>
      </c>
      <c r="AK157" s="12">
        <f t="shared" si="275"/>
        <v>0</v>
      </c>
      <c r="AL157" s="12">
        <f t="shared" si="275"/>
        <v>0</v>
      </c>
      <c r="AM157" s="12">
        <f t="shared" si="275"/>
        <v>0</v>
      </c>
      <c r="AN157" s="12">
        <f t="shared" si="275"/>
        <v>0</v>
      </c>
      <c r="AO157" s="12">
        <f t="shared" ref="AO157:BT157" si="276">-IF(AND(AO$6&gt;=EDATE($E$32,-3),AO$6&lt;EDATE($E$32,15)),$E$60*$E$23/18,0)</f>
        <v>0</v>
      </c>
      <c r="AP157" s="12">
        <f t="shared" si="276"/>
        <v>-776.4799999999999</v>
      </c>
      <c r="AQ157" s="12">
        <f t="shared" si="276"/>
        <v>-776.4799999999999</v>
      </c>
      <c r="AR157" s="12">
        <f t="shared" si="276"/>
        <v>-776.4799999999999</v>
      </c>
      <c r="AS157" s="12">
        <f t="shared" si="276"/>
        <v>-776.4799999999999</v>
      </c>
      <c r="AT157" s="12">
        <f t="shared" si="276"/>
        <v>-776.4799999999999</v>
      </c>
      <c r="AU157" s="12">
        <f t="shared" si="276"/>
        <v>-776.4799999999999</v>
      </c>
      <c r="AV157" s="12">
        <f t="shared" si="276"/>
        <v>-776.4799999999999</v>
      </c>
      <c r="AW157" s="12">
        <f t="shared" si="276"/>
        <v>-776.4799999999999</v>
      </c>
      <c r="AX157" s="12">
        <f t="shared" si="276"/>
        <v>-776.4799999999999</v>
      </c>
      <c r="AY157" s="12">
        <f t="shared" si="276"/>
        <v>-776.4799999999999</v>
      </c>
      <c r="AZ157" s="12">
        <f t="shared" si="276"/>
        <v>-776.4799999999999</v>
      </c>
      <c r="BA157" s="12">
        <f t="shared" si="276"/>
        <v>-776.4799999999999</v>
      </c>
      <c r="BB157" s="12">
        <f t="shared" si="276"/>
        <v>-776.4799999999999</v>
      </c>
      <c r="BC157" s="12">
        <f t="shared" si="276"/>
        <v>-776.4799999999999</v>
      </c>
      <c r="BD157" s="12">
        <f t="shared" si="276"/>
        <v>-776.4799999999999</v>
      </c>
      <c r="BE157" s="12">
        <f t="shared" si="276"/>
        <v>-776.4799999999999</v>
      </c>
      <c r="BF157" s="12">
        <f t="shared" si="276"/>
        <v>-776.4799999999999</v>
      </c>
      <c r="BG157" s="12">
        <f t="shared" si="276"/>
        <v>-776.4799999999999</v>
      </c>
      <c r="BH157" s="12">
        <f t="shared" si="276"/>
        <v>0</v>
      </c>
      <c r="BI157" s="12">
        <f t="shared" si="276"/>
        <v>0</v>
      </c>
      <c r="BJ157" s="12">
        <f t="shared" si="276"/>
        <v>0</v>
      </c>
      <c r="BK157" s="12">
        <f t="shared" si="276"/>
        <v>0</v>
      </c>
      <c r="BL157" s="12">
        <f t="shared" si="276"/>
        <v>0</v>
      </c>
      <c r="BM157" s="12">
        <f t="shared" si="276"/>
        <v>0</v>
      </c>
      <c r="BN157" s="12">
        <f t="shared" si="276"/>
        <v>0</v>
      </c>
      <c r="BO157" s="12">
        <f t="shared" si="276"/>
        <v>0</v>
      </c>
      <c r="BP157" s="12">
        <f t="shared" si="276"/>
        <v>0</v>
      </c>
      <c r="BQ157" s="12">
        <f t="shared" si="276"/>
        <v>0</v>
      </c>
      <c r="BR157" s="12">
        <f t="shared" si="276"/>
        <v>0</v>
      </c>
      <c r="BS157" s="12">
        <f t="shared" si="276"/>
        <v>0</v>
      </c>
      <c r="BT157" s="12">
        <f t="shared" si="276"/>
        <v>0</v>
      </c>
      <c r="BU157" s="12">
        <f t="shared" ref="BU157:CZ157" si="277">-IF(AND(BU$6&gt;=EDATE($E$32,-3),BU$6&lt;EDATE($E$32,15)),$E$60*$E$23/18,0)</f>
        <v>0</v>
      </c>
      <c r="BV157" s="12">
        <f t="shared" si="277"/>
        <v>0</v>
      </c>
      <c r="BW157" s="12">
        <f t="shared" si="277"/>
        <v>0</v>
      </c>
      <c r="BX157" s="12">
        <f t="shared" si="277"/>
        <v>0</v>
      </c>
      <c r="BY157" s="12">
        <f t="shared" si="277"/>
        <v>0</v>
      </c>
      <c r="BZ157" s="12">
        <f t="shared" si="277"/>
        <v>0</v>
      </c>
      <c r="CA157" s="12">
        <f t="shared" si="277"/>
        <v>0</v>
      </c>
      <c r="CB157" s="12">
        <f t="shared" si="277"/>
        <v>0</v>
      </c>
      <c r="CC157" s="12">
        <f t="shared" si="277"/>
        <v>0</v>
      </c>
      <c r="CD157" s="12">
        <f t="shared" si="277"/>
        <v>0</v>
      </c>
      <c r="CE157" s="12">
        <f t="shared" si="277"/>
        <v>0</v>
      </c>
      <c r="CF157" s="12">
        <f t="shared" si="277"/>
        <v>0</v>
      </c>
      <c r="CG157" s="12">
        <f t="shared" si="277"/>
        <v>0</v>
      </c>
      <c r="CH157" s="12">
        <f t="shared" si="277"/>
        <v>0</v>
      </c>
      <c r="CI157" s="12">
        <f t="shared" si="277"/>
        <v>0</v>
      </c>
      <c r="CJ157" s="12">
        <f t="shared" si="277"/>
        <v>0</v>
      </c>
      <c r="CK157" s="12">
        <f t="shared" si="277"/>
        <v>0</v>
      </c>
      <c r="CL157" s="12">
        <f t="shared" si="277"/>
        <v>0</v>
      </c>
      <c r="CM157" s="12">
        <f t="shared" si="277"/>
        <v>0</v>
      </c>
      <c r="CN157" s="12">
        <f t="shared" si="277"/>
        <v>0</v>
      </c>
      <c r="CO157" s="12">
        <f t="shared" si="277"/>
        <v>0</v>
      </c>
      <c r="CP157" s="12">
        <f t="shared" si="277"/>
        <v>0</v>
      </c>
      <c r="CQ157" s="12">
        <f t="shared" si="277"/>
        <v>0</v>
      </c>
      <c r="CR157" s="12">
        <f t="shared" si="277"/>
        <v>0</v>
      </c>
      <c r="CS157" s="12">
        <f t="shared" si="277"/>
        <v>0</v>
      </c>
      <c r="CT157" s="12">
        <f t="shared" si="277"/>
        <v>0</v>
      </c>
      <c r="CU157" s="12">
        <f t="shared" si="277"/>
        <v>0</v>
      </c>
      <c r="CV157" s="12">
        <f t="shared" si="277"/>
        <v>0</v>
      </c>
      <c r="CW157" s="12">
        <f t="shared" si="277"/>
        <v>0</v>
      </c>
      <c r="CX157" s="12">
        <f t="shared" si="277"/>
        <v>0</v>
      </c>
      <c r="CY157" s="12">
        <f t="shared" si="277"/>
        <v>0</v>
      </c>
      <c r="CZ157" s="12">
        <f t="shared" si="277"/>
        <v>0</v>
      </c>
      <c r="DA157" s="12">
        <f t="shared" ref="DA157:EF157" si="278">-IF(AND(DA$6&gt;=EDATE($E$32,-3),DA$6&lt;EDATE($E$32,15)),$E$60*$E$23/18,0)</f>
        <v>0</v>
      </c>
      <c r="DB157" s="12">
        <f t="shared" si="278"/>
        <v>0</v>
      </c>
      <c r="DC157" s="12">
        <f t="shared" si="278"/>
        <v>0</v>
      </c>
      <c r="DD157" s="12">
        <f t="shared" si="278"/>
        <v>0</v>
      </c>
      <c r="DE157" s="12">
        <f t="shared" si="278"/>
        <v>0</v>
      </c>
      <c r="DF157" s="12">
        <f t="shared" si="278"/>
        <v>0</v>
      </c>
      <c r="DG157" s="12">
        <f t="shared" si="278"/>
        <v>0</v>
      </c>
      <c r="DH157" s="12">
        <f t="shared" si="278"/>
        <v>0</v>
      </c>
      <c r="DI157" s="12">
        <f t="shared" si="278"/>
        <v>0</v>
      </c>
      <c r="DJ157" s="12">
        <f t="shared" si="278"/>
        <v>0</v>
      </c>
      <c r="DK157" s="12">
        <f t="shared" si="278"/>
        <v>0</v>
      </c>
      <c r="DL157" s="12">
        <f t="shared" si="278"/>
        <v>0</v>
      </c>
      <c r="DM157" s="12">
        <f t="shared" si="278"/>
        <v>0</v>
      </c>
      <c r="DN157" s="12">
        <f t="shared" si="278"/>
        <v>0</v>
      </c>
      <c r="DO157" s="12">
        <f t="shared" si="278"/>
        <v>0</v>
      </c>
      <c r="DP157" s="12">
        <f t="shared" si="278"/>
        <v>0</v>
      </c>
      <c r="DQ157" s="12">
        <f t="shared" si="278"/>
        <v>0</v>
      </c>
      <c r="DR157" s="12">
        <f t="shared" si="278"/>
        <v>0</v>
      </c>
      <c r="DS157" s="12">
        <f t="shared" si="278"/>
        <v>0</v>
      </c>
      <c r="DT157" s="12">
        <f t="shared" si="278"/>
        <v>0</v>
      </c>
      <c r="DU157" s="12">
        <f t="shared" si="278"/>
        <v>0</v>
      </c>
      <c r="DV157" s="12">
        <f t="shared" si="278"/>
        <v>0</v>
      </c>
      <c r="DW157" s="12">
        <f t="shared" si="278"/>
        <v>0</v>
      </c>
      <c r="DX157" s="12">
        <f t="shared" si="278"/>
        <v>0</v>
      </c>
      <c r="DY157" s="12">
        <f t="shared" si="278"/>
        <v>0</v>
      </c>
      <c r="DZ157" s="12">
        <f t="shared" si="278"/>
        <v>0</v>
      </c>
      <c r="EA157" s="12">
        <f t="shared" si="278"/>
        <v>0</v>
      </c>
      <c r="EB157" s="12">
        <f t="shared" si="278"/>
        <v>0</v>
      </c>
      <c r="EC157" s="12">
        <f t="shared" si="278"/>
        <v>0</v>
      </c>
      <c r="ED157" s="12">
        <f t="shared" si="278"/>
        <v>0</v>
      </c>
      <c r="EE157" s="12">
        <f t="shared" si="278"/>
        <v>0</v>
      </c>
      <c r="EF157" s="12">
        <f t="shared" si="278"/>
        <v>0</v>
      </c>
      <c r="EG157" s="12">
        <f t="shared" ref="EG157:FH157" si="279">-IF(AND(EG$6&gt;=EDATE($E$32,-3),EG$6&lt;EDATE($E$32,15)),$E$60*$E$23/18,0)</f>
        <v>0</v>
      </c>
      <c r="EH157" s="12">
        <f t="shared" si="279"/>
        <v>0</v>
      </c>
      <c r="EI157" s="12">
        <f t="shared" si="279"/>
        <v>0</v>
      </c>
      <c r="EJ157" s="12">
        <f t="shared" si="279"/>
        <v>0</v>
      </c>
      <c r="EK157" s="12">
        <f t="shared" si="279"/>
        <v>0</v>
      </c>
      <c r="EL157" s="12">
        <f t="shared" si="279"/>
        <v>0</v>
      </c>
      <c r="EM157" s="12">
        <f t="shared" si="279"/>
        <v>0</v>
      </c>
      <c r="EN157" s="12">
        <f t="shared" si="279"/>
        <v>0</v>
      </c>
      <c r="EO157" s="12">
        <f t="shared" si="279"/>
        <v>0</v>
      </c>
      <c r="EP157" s="12">
        <f t="shared" si="279"/>
        <v>0</v>
      </c>
      <c r="EQ157" s="12">
        <f t="shared" si="279"/>
        <v>0</v>
      </c>
      <c r="ER157" s="12">
        <f t="shared" si="279"/>
        <v>0</v>
      </c>
      <c r="ES157" s="12">
        <f t="shared" si="279"/>
        <v>0</v>
      </c>
      <c r="ET157" s="12">
        <f t="shared" si="279"/>
        <v>0</v>
      </c>
      <c r="EU157" s="12">
        <f t="shared" si="279"/>
        <v>0</v>
      </c>
      <c r="EV157" s="12">
        <f t="shared" si="279"/>
        <v>0</v>
      </c>
      <c r="EW157" s="12">
        <f t="shared" si="279"/>
        <v>0</v>
      </c>
      <c r="EX157" s="12">
        <f t="shared" si="279"/>
        <v>0</v>
      </c>
      <c r="EY157" s="12">
        <f t="shared" si="279"/>
        <v>0</v>
      </c>
      <c r="EZ157" s="12">
        <f t="shared" si="279"/>
        <v>0</v>
      </c>
      <c r="FA157" s="12">
        <f t="shared" si="279"/>
        <v>0</v>
      </c>
      <c r="FB157" s="12">
        <f t="shared" si="279"/>
        <v>0</v>
      </c>
      <c r="FC157" s="12">
        <f t="shared" si="279"/>
        <v>0</v>
      </c>
      <c r="FD157" s="12">
        <f t="shared" si="279"/>
        <v>0</v>
      </c>
      <c r="FE157" s="12">
        <f t="shared" si="279"/>
        <v>0</v>
      </c>
      <c r="FF157" s="12">
        <f t="shared" si="279"/>
        <v>0</v>
      </c>
      <c r="FG157" s="12">
        <f t="shared" si="279"/>
        <v>0</v>
      </c>
      <c r="FH157" s="12">
        <f t="shared" si="279"/>
        <v>0</v>
      </c>
    </row>
    <row r="158" spans="1:164" x14ac:dyDescent="0.2">
      <c r="A158" s="10"/>
      <c r="B158" s="10"/>
      <c r="C158" s="10" t="s">
        <v>951</v>
      </c>
      <c r="D158" s="10"/>
      <c r="E158" s="10"/>
      <c r="F158" s="10"/>
      <c r="G158" s="10"/>
      <c r="H158" s="12">
        <f t="shared" si="244"/>
        <v>-12456.481671103827</v>
      </c>
      <c r="I158" s="12">
        <f t="shared" ref="I158:AN158" si="280">-IF(AND(I$6&gt;=$E$32,I$6&lt;EDATE($E$32,$E$70)),$E$71/$E$70,0)</f>
        <v>0</v>
      </c>
      <c r="J158" s="12">
        <f t="shared" si="280"/>
        <v>0</v>
      </c>
      <c r="K158" s="12">
        <f t="shared" si="280"/>
        <v>0</v>
      </c>
      <c r="L158" s="12">
        <f t="shared" si="280"/>
        <v>0</v>
      </c>
      <c r="M158" s="12">
        <f t="shared" si="280"/>
        <v>0</v>
      </c>
      <c r="N158" s="12">
        <f t="shared" si="280"/>
        <v>0</v>
      </c>
      <c r="O158" s="12">
        <f t="shared" si="280"/>
        <v>0</v>
      </c>
      <c r="P158" s="12">
        <f t="shared" si="280"/>
        <v>0</v>
      </c>
      <c r="Q158" s="12">
        <f t="shared" si="280"/>
        <v>0</v>
      </c>
      <c r="R158" s="12">
        <f t="shared" si="280"/>
        <v>0</v>
      </c>
      <c r="S158" s="12">
        <f t="shared" si="280"/>
        <v>0</v>
      </c>
      <c r="T158" s="12">
        <f t="shared" si="280"/>
        <v>0</v>
      </c>
      <c r="U158" s="12">
        <f t="shared" si="280"/>
        <v>0</v>
      </c>
      <c r="V158" s="12">
        <f t="shared" si="280"/>
        <v>0</v>
      </c>
      <c r="W158" s="12">
        <f t="shared" si="280"/>
        <v>0</v>
      </c>
      <c r="X158" s="12">
        <f t="shared" si="280"/>
        <v>0</v>
      </c>
      <c r="Y158" s="12">
        <f t="shared" si="280"/>
        <v>0</v>
      </c>
      <c r="Z158" s="12">
        <f t="shared" si="280"/>
        <v>0</v>
      </c>
      <c r="AA158" s="12">
        <f t="shared" si="280"/>
        <v>0</v>
      </c>
      <c r="AB158" s="12">
        <f t="shared" si="280"/>
        <v>0</v>
      </c>
      <c r="AC158" s="12">
        <f t="shared" si="280"/>
        <v>0</v>
      </c>
      <c r="AD158" s="12">
        <f t="shared" si="280"/>
        <v>0</v>
      </c>
      <c r="AE158" s="12">
        <f t="shared" si="280"/>
        <v>0</v>
      </c>
      <c r="AF158" s="12">
        <f t="shared" si="280"/>
        <v>0</v>
      </c>
      <c r="AG158" s="12">
        <f t="shared" si="280"/>
        <v>0</v>
      </c>
      <c r="AH158" s="12">
        <f t="shared" si="280"/>
        <v>0</v>
      </c>
      <c r="AI158" s="12">
        <f t="shared" si="280"/>
        <v>0</v>
      </c>
      <c r="AJ158" s="12">
        <f t="shared" si="280"/>
        <v>0</v>
      </c>
      <c r="AK158" s="12">
        <f t="shared" si="280"/>
        <v>0</v>
      </c>
      <c r="AL158" s="12">
        <f t="shared" si="280"/>
        <v>0</v>
      </c>
      <c r="AM158" s="12">
        <f t="shared" si="280"/>
        <v>0</v>
      </c>
      <c r="AN158" s="12">
        <f t="shared" si="280"/>
        <v>0</v>
      </c>
      <c r="AO158" s="12">
        <f t="shared" ref="AO158:BT158" si="281">-IF(AND(AO$6&gt;=$E$32,AO$6&lt;EDATE($E$32,$E$70)),$E$71/$E$70,0)</f>
        <v>0</v>
      </c>
      <c r="AP158" s="12">
        <f t="shared" si="281"/>
        <v>0</v>
      </c>
      <c r="AQ158" s="12">
        <f t="shared" si="281"/>
        <v>0</v>
      </c>
      <c r="AR158" s="12">
        <f t="shared" si="281"/>
        <v>0</v>
      </c>
      <c r="AS158" s="12">
        <f t="shared" si="281"/>
        <v>-1038.0401392586525</v>
      </c>
      <c r="AT158" s="12">
        <f t="shared" si="281"/>
        <v>-1038.0401392586525</v>
      </c>
      <c r="AU158" s="12">
        <f t="shared" si="281"/>
        <v>-1038.0401392586525</v>
      </c>
      <c r="AV158" s="12">
        <f t="shared" si="281"/>
        <v>-1038.0401392586525</v>
      </c>
      <c r="AW158" s="12">
        <f t="shared" si="281"/>
        <v>-1038.0401392586525</v>
      </c>
      <c r="AX158" s="12">
        <f t="shared" si="281"/>
        <v>-1038.0401392586525</v>
      </c>
      <c r="AY158" s="12">
        <f t="shared" si="281"/>
        <v>-1038.0401392586525</v>
      </c>
      <c r="AZ158" s="12">
        <f t="shared" si="281"/>
        <v>-1038.0401392586525</v>
      </c>
      <c r="BA158" s="12">
        <f t="shared" si="281"/>
        <v>-1038.0401392586525</v>
      </c>
      <c r="BB158" s="12">
        <f t="shared" si="281"/>
        <v>-1038.0401392586525</v>
      </c>
      <c r="BC158" s="12">
        <f t="shared" si="281"/>
        <v>-1038.0401392586525</v>
      </c>
      <c r="BD158" s="12">
        <f t="shared" si="281"/>
        <v>-1038.0401392586525</v>
      </c>
      <c r="BE158" s="12">
        <f t="shared" si="281"/>
        <v>0</v>
      </c>
      <c r="BF158" s="12">
        <f t="shared" si="281"/>
        <v>0</v>
      </c>
      <c r="BG158" s="12">
        <f t="shared" si="281"/>
        <v>0</v>
      </c>
      <c r="BH158" s="12">
        <f t="shared" si="281"/>
        <v>0</v>
      </c>
      <c r="BI158" s="12">
        <f t="shared" si="281"/>
        <v>0</v>
      </c>
      <c r="BJ158" s="12">
        <f t="shared" si="281"/>
        <v>0</v>
      </c>
      <c r="BK158" s="12">
        <f t="shared" si="281"/>
        <v>0</v>
      </c>
      <c r="BL158" s="12">
        <f t="shared" si="281"/>
        <v>0</v>
      </c>
      <c r="BM158" s="12">
        <f t="shared" si="281"/>
        <v>0</v>
      </c>
      <c r="BN158" s="12">
        <f t="shared" si="281"/>
        <v>0</v>
      </c>
      <c r="BO158" s="12">
        <f t="shared" si="281"/>
        <v>0</v>
      </c>
      <c r="BP158" s="12">
        <f t="shared" si="281"/>
        <v>0</v>
      </c>
      <c r="BQ158" s="12">
        <f t="shared" si="281"/>
        <v>0</v>
      </c>
      <c r="BR158" s="12">
        <f t="shared" si="281"/>
        <v>0</v>
      </c>
      <c r="BS158" s="12">
        <f t="shared" si="281"/>
        <v>0</v>
      </c>
      <c r="BT158" s="12">
        <f t="shared" si="281"/>
        <v>0</v>
      </c>
      <c r="BU158" s="12">
        <f t="shared" ref="BU158:CZ158" si="282">-IF(AND(BU$6&gt;=$E$32,BU$6&lt;EDATE($E$32,$E$70)),$E$71/$E$70,0)</f>
        <v>0</v>
      </c>
      <c r="BV158" s="12">
        <f t="shared" si="282"/>
        <v>0</v>
      </c>
      <c r="BW158" s="12">
        <f t="shared" si="282"/>
        <v>0</v>
      </c>
      <c r="BX158" s="12">
        <f t="shared" si="282"/>
        <v>0</v>
      </c>
      <c r="BY158" s="12">
        <f t="shared" si="282"/>
        <v>0</v>
      </c>
      <c r="BZ158" s="12">
        <f t="shared" si="282"/>
        <v>0</v>
      </c>
      <c r="CA158" s="12">
        <f t="shared" si="282"/>
        <v>0</v>
      </c>
      <c r="CB158" s="12">
        <f t="shared" si="282"/>
        <v>0</v>
      </c>
      <c r="CC158" s="12">
        <f t="shared" si="282"/>
        <v>0</v>
      </c>
      <c r="CD158" s="12">
        <f t="shared" si="282"/>
        <v>0</v>
      </c>
      <c r="CE158" s="12">
        <f t="shared" si="282"/>
        <v>0</v>
      </c>
      <c r="CF158" s="12">
        <f t="shared" si="282"/>
        <v>0</v>
      </c>
      <c r="CG158" s="12">
        <f t="shared" si="282"/>
        <v>0</v>
      </c>
      <c r="CH158" s="12">
        <f t="shared" si="282"/>
        <v>0</v>
      </c>
      <c r="CI158" s="12">
        <f t="shared" si="282"/>
        <v>0</v>
      </c>
      <c r="CJ158" s="12">
        <f t="shared" si="282"/>
        <v>0</v>
      </c>
      <c r="CK158" s="12">
        <f t="shared" si="282"/>
        <v>0</v>
      </c>
      <c r="CL158" s="12">
        <f t="shared" si="282"/>
        <v>0</v>
      </c>
      <c r="CM158" s="12">
        <f t="shared" si="282"/>
        <v>0</v>
      </c>
      <c r="CN158" s="12">
        <f t="shared" si="282"/>
        <v>0</v>
      </c>
      <c r="CO158" s="12">
        <f t="shared" si="282"/>
        <v>0</v>
      </c>
      <c r="CP158" s="12">
        <f t="shared" si="282"/>
        <v>0</v>
      </c>
      <c r="CQ158" s="12">
        <f t="shared" si="282"/>
        <v>0</v>
      </c>
      <c r="CR158" s="12">
        <f t="shared" si="282"/>
        <v>0</v>
      </c>
      <c r="CS158" s="12">
        <f t="shared" si="282"/>
        <v>0</v>
      </c>
      <c r="CT158" s="12">
        <f t="shared" si="282"/>
        <v>0</v>
      </c>
      <c r="CU158" s="12">
        <f t="shared" si="282"/>
        <v>0</v>
      </c>
      <c r="CV158" s="12">
        <f t="shared" si="282"/>
        <v>0</v>
      </c>
      <c r="CW158" s="12">
        <f t="shared" si="282"/>
        <v>0</v>
      </c>
      <c r="CX158" s="12">
        <f t="shared" si="282"/>
        <v>0</v>
      </c>
      <c r="CY158" s="12">
        <f t="shared" si="282"/>
        <v>0</v>
      </c>
      <c r="CZ158" s="12">
        <f t="shared" si="282"/>
        <v>0</v>
      </c>
      <c r="DA158" s="12">
        <f t="shared" ref="DA158:EF158" si="283">-IF(AND(DA$6&gt;=$E$32,DA$6&lt;EDATE($E$32,$E$70)),$E$71/$E$70,0)</f>
        <v>0</v>
      </c>
      <c r="DB158" s="12">
        <f t="shared" si="283"/>
        <v>0</v>
      </c>
      <c r="DC158" s="12">
        <f t="shared" si="283"/>
        <v>0</v>
      </c>
      <c r="DD158" s="12">
        <f t="shared" si="283"/>
        <v>0</v>
      </c>
      <c r="DE158" s="12">
        <f t="shared" si="283"/>
        <v>0</v>
      </c>
      <c r="DF158" s="12">
        <f t="shared" si="283"/>
        <v>0</v>
      </c>
      <c r="DG158" s="12">
        <f t="shared" si="283"/>
        <v>0</v>
      </c>
      <c r="DH158" s="12">
        <f t="shared" si="283"/>
        <v>0</v>
      </c>
      <c r="DI158" s="12">
        <f t="shared" si="283"/>
        <v>0</v>
      </c>
      <c r="DJ158" s="12">
        <f t="shared" si="283"/>
        <v>0</v>
      </c>
      <c r="DK158" s="12">
        <f t="shared" si="283"/>
        <v>0</v>
      </c>
      <c r="DL158" s="12">
        <f t="shared" si="283"/>
        <v>0</v>
      </c>
      <c r="DM158" s="12">
        <f t="shared" si="283"/>
        <v>0</v>
      </c>
      <c r="DN158" s="12">
        <f t="shared" si="283"/>
        <v>0</v>
      </c>
      <c r="DO158" s="12">
        <f t="shared" si="283"/>
        <v>0</v>
      </c>
      <c r="DP158" s="12">
        <f t="shared" si="283"/>
        <v>0</v>
      </c>
      <c r="DQ158" s="12">
        <f t="shared" si="283"/>
        <v>0</v>
      </c>
      <c r="DR158" s="12">
        <f t="shared" si="283"/>
        <v>0</v>
      </c>
      <c r="DS158" s="12">
        <f t="shared" si="283"/>
        <v>0</v>
      </c>
      <c r="DT158" s="12">
        <f t="shared" si="283"/>
        <v>0</v>
      </c>
      <c r="DU158" s="12">
        <f t="shared" si="283"/>
        <v>0</v>
      </c>
      <c r="DV158" s="12">
        <f t="shared" si="283"/>
        <v>0</v>
      </c>
      <c r="DW158" s="12">
        <f t="shared" si="283"/>
        <v>0</v>
      </c>
      <c r="DX158" s="12">
        <f t="shared" si="283"/>
        <v>0</v>
      </c>
      <c r="DY158" s="12">
        <f t="shared" si="283"/>
        <v>0</v>
      </c>
      <c r="DZ158" s="12">
        <f t="shared" si="283"/>
        <v>0</v>
      </c>
      <c r="EA158" s="12">
        <f t="shared" si="283"/>
        <v>0</v>
      </c>
      <c r="EB158" s="12">
        <f t="shared" si="283"/>
        <v>0</v>
      </c>
      <c r="EC158" s="12">
        <f t="shared" si="283"/>
        <v>0</v>
      </c>
      <c r="ED158" s="12">
        <f t="shared" si="283"/>
        <v>0</v>
      </c>
      <c r="EE158" s="12">
        <f t="shared" si="283"/>
        <v>0</v>
      </c>
      <c r="EF158" s="12">
        <f t="shared" si="283"/>
        <v>0</v>
      </c>
      <c r="EG158" s="12">
        <f t="shared" ref="EG158:FH158" si="284">-IF(AND(EG$6&gt;=$E$32,EG$6&lt;EDATE($E$32,$E$70)),$E$71/$E$70,0)</f>
        <v>0</v>
      </c>
      <c r="EH158" s="12">
        <f t="shared" si="284"/>
        <v>0</v>
      </c>
      <c r="EI158" s="12">
        <f t="shared" si="284"/>
        <v>0</v>
      </c>
      <c r="EJ158" s="12">
        <f t="shared" si="284"/>
        <v>0</v>
      </c>
      <c r="EK158" s="12">
        <f t="shared" si="284"/>
        <v>0</v>
      </c>
      <c r="EL158" s="12">
        <f t="shared" si="284"/>
        <v>0</v>
      </c>
      <c r="EM158" s="12">
        <f t="shared" si="284"/>
        <v>0</v>
      </c>
      <c r="EN158" s="12">
        <f t="shared" si="284"/>
        <v>0</v>
      </c>
      <c r="EO158" s="12">
        <f t="shared" si="284"/>
        <v>0</v>
      </c>
      <c r="EP158" s="12">
        <f t="shared" si="284"/>
        <v>0</v>
      </c>
      <c r="EQ158" s="12">
        <f t="shared" si="284"/>
        <v>0</v>
      </c>
      <c r="ER158" s="12">
        <f t="shared" si="284"/>
        <v>0</v>
      </c>
      <c r="ES158" s="12">
        <f t="shared" si="284"/>
        <v>0</v>
      </c>
      <c r="ET158" s="12">
        <f t="shared" si="284"/>
        <v>0</v>
      </c>
      <c r="EU158" s="12">
        <f t="shared" si="284"/>
        <v>0</v>
      </c>
      <c r="EV158" s="12">
        <f t="shared" si="284"/>
        <v>0</v>
      </c>
      <c r="EW158" s="12">
        <f t="shared" si="284"/>
        <v>0</v>
      </c>
      <c r="EX158" s="12">
        <f t="shared" si="284"/>
        <v>0</v>
      </c>
      <c r="EY158" s="12">
        <f t="shared" si="284"/>
        <v>0</v>
      </c>
      <c r="EZ158" s="12">
        <f t="shared" si="284"/>
        <v>0</v>
      </c>
      <c r="FA158" s="12">
        <f t="shared" si="284"/>
        <v>0</v>
      </c>
      <c r="FB158" s="12">
        <f t="shared" si="284"/>
        <v>0</v>
      </c>
      <c r="FC158" s="12">
        <f t="shared" si="284"/>
        <v>0</v>
      </c>
      <c r="FD158" s="12">
        <f t="shared" si="284"/>
        <v>0</v>
      </c>
      <c r="FE158" s="12">
        <f t="shared" si="284"/>
        <v>0</v>
      </c>
      <c r="FF158" s="12">
        <f t="shared" si="284"/>
        <v>0</v>
      </c>
      <c r="FG158" s="12">
        <f t="shared" si="284"/>
        <v>0</v>
      </c>
      <c r="FH158" s="12">
        <f t="shared" si="284"/>
        <v>0</v>
      </c>
    </row>
    <row r="159" spans="1:164" x14ac:dyDescent="0.2">
      <c r="A159" s="10"/>
      <c r="B159" s="10"/>
      <c r="C159" s="238" t="s">
        <v>2</v>
      </c>
      <c r="D159" s="238"/>
      <c r="E159" s="238"/>
      <c r="F159" s="238"/>
      <c r="G159" s="238"/>
      <c r="H159" s="239">
        <f t="shared" si="244"/>
        <v>-223902.34667110376</v>
      </c>
      <c r="I159" s="239">
        <f t="shared" ref="I159:AN159" si="285">SUM(I152:I158)</f>
        <v>0</v>
      </c>
      <c r="J159" s="239">
        <f t="shared" si="285"/>
        <v>0</v>
      </c>
      <c r="K159" s="239">
        <f t="shared" si="285"/>
        <v>0</v>
      </c>
      <c r="L159" s="239">
        <f t="shared" si="285"/>
        <v>0</v>
      </c>
      <c r="M159" s="239">
        <f t="shared" si="285"/>
        <v>0</v>
      </c>
      <c r="N159" s="239">
        <f t="shared" si="285"/>
        <v>0</v>
      </c>
      <c r="O159" s="239">
        <f t="shared" si="285"/>
        <v>0</v>
      </c>
      <c r="P159" s="239">
        <f t="shared" si="285"/>
        <v>0</v>
      </c>
      <c r="Q159" s="239">
        <f t="shared" si="285"/>
        <v>0</v>
      </c>
      <c r="R159" s="239">
        <f t="shared" si="285"/>
        <v>0</v>
      </c>
      <c r="S159" s="239">
        <f t="shared" si="285"/>
        <v>0</v>
      </c>
      <c r="T159" s="239">
        <f t="shared" si="285"/>
        <v>0</v>
      </c>
      <c r="U159" s="239">
        <f t="shared" si="285"/>
        <v>0</v>
      </c>
      <c r="V159" s="239">
        <f t="shared" si="285"/>
        <v>0</v>
      </c>
      <c r="W159" s="239">
        <f t="shared" si="285"/>
        <v>0</v>
      </c>
      <c r="X159" s="239">
        <f t="shared" si="285"/>
        <v>0</v>
      </c>
      <c r="Y159" s="239">
        <f t="shared" si="285"/>
        <v>0</v>
      </c>
      <c r="Z159" s="239">
        <f t="shared" si="285"/>
        <v>0</v>
      </c>
      <c r="AA159" s="239">
        <f t="shared" si="285"/>
        <v>0</v>
      </c>
      <c r="AB159" s="239">
        <f t="shared" si="285"/>
        <v>0</v>
      </c>
      <c r="AC159" s="239">
        <f t="shared" si="285"/>
        <v>0</v>
      </c>
      <c r="AD159" s="239">
        <f t="shared" si="285"/>
        <v>0</v>
      </c>
      <c r="AE159" s="239">
        <f t="shared" si="285"/>
        <v>0</v>
      </c>
      <c r="AF159" s="239">
        <f t="shared" si="285"/>
        <v>0</v>
      </c>
      <c r="AG159" s="239">
        <f t="shared" si="285"/>
        <v>0</v>
      </c>
      <c r="AH159" s="239">
        <f t="shared" si="285"/>
        <v>0</v>
      </c>
      <c r="AI159" s="239">
        <f t="shared" si="285"/>
        <v>0</v>
      </c>
      <c r="AJ159" s="239">
        <f t="shared" si="285"/>
        <v>0</v>
      </c>
      <c r="AK159" s="239">
        <f t="shared" si="285"/>
        <v>0</v>
      </c>
      <c r="AL159" s="239">
        <f t="shared" si="285"/>
        <v>0</v>
      </c>
      <c r="AM159" s="239">
        <f t="shared" si="285"/>
        <v>-223.02500000000001</v>
      </c>
      <c r="AN159" s="239">
        <f t="shared" si="285"/>
        <v>-223.02500000000001</v>
      </c>
      <c r="AO159" s="239">
        <f t="shared" ref="AO159:BT159" si="286">SUM(AO152:AO158)</f>
        <v>-223.02500000000001</v>
      </c>
      <c r="AP159" s="239">
        <f t="shared" si="286"/>
        <v>-999.50499999999988</v>
      </c>
      <c r="AQ159" s="239">
        <f t="shared" si="286"/>
        <v>-999.50499999999988</v>
      </c>
      <c r="AR159" s="239">
        <f t="shared" si="286"/>
        <v>-999.50499999999988</v>
      </c>
      <c r="AS159" s="239">
        <f t="shared" si="286"/>
        <v>-2037.5451392586524</v>
      </c>
      <c r="AT159" s="239">
        <f t="shared" si="286"/>
        <v>-2037.5451392586524</v>
      </c>
      <c r="AU159" s="239">
        <f t="shared" si="286"/>
        <v>-2037.5451392586524</v>
      </c>
      <c r="AV159" s="239">
        <f t="shared" si="286"/>
        <v>-2037.5451392586524</v>
      </c>
      <c r="AW159" s="239">
        <f t="shared" si="286"/>
        <v>-2037.5451392586524</v>
      </c>
      <c r="AX159" s="239">
        <f t="shared" si="286"/>
        <v>-2037.5451392586524</v>
      </c>
      <c r="AY159" s="239">
        <f t="shared" si="286"/>
        <v>-3081.2134398988119</v>
      </c>
      <c r="AZ159" s="239">
        <f t="shared" si="286"/>
        <v>-4011.9085125306865</v>
      </c>
      <c r="BA159" s="239">
        <f t="shared" si="286"/>
        <v>-4927.2801665378975</v>
      </c>
      <c r="BB159" s="239">
        <f t="shared" si="286"/>
        <v>-5817.2993985253097</v>
      </c>
      <c r="BC159" s="239">
        <f t="shared" si="286"/>
        <v>-6672.2149715387686</v>
      </c>
      <c r="BD159" s="239">
        <f t="shared" si="286"/>
        <v>-7482.6602516577559</v>
      </c>
      <c r="BE159" s="239">
        <f t="shared" si="286"/>
        <v>-7201.7156915380583</v>
      </c>
      <c r="BF159" s="239">
        <f t="shared" si="286"/>
        <v>-7897.1666720994945</v>
      </c>
      <c r="BG159" s="239">
        <f t="shared" si="286"/>
        <v>-8523.3535476079123</v>
      </c>
      <c r="BH159" s="239">
        <f t="shared" si="286"/>
        <v>-8296.9356836172101</v>
      </c>
      <c r="BI159" s="239">
        <f t="shared" si="286"/>
        <v>-8764.8464842573703</v>
      </c>
      <c r="BJ159" s="239">
        <f t="shared" si="286"/>
        <v>-9145.4794208799467</v>
      </c>
      <c r="BK159" s="239">
        <f t="shared" si="286"/>
        <v>-9434.6641993787416</v>
      </c>
      <c r="BL159" s="239">
        <f t="shared" si="286"/>
        <v>-9629.232450804715</v>
      </c>
      <c r="BM159" s="239">
        <f t="shared" si="286"/>
        <v>-9727.0524446792206</v>
      </c>
      <c r="BN159" s="239">
        <f t="shared" si="286"/>
        <v>-9727.0524446792206</v>
      </c>
      <c r="BO159" s="239">
        <f t="shared" si="286"/>
        <v>-9629.232450804715</v>
      </c>
      <c r="BP159" s="239">
        <f t="shared" si="286"/>
        <v>-9434.6641993787416</v>
      </c>
      <c r="BQ159" s="239">
        <f t="shared" si="286"/>
        <v>-9145.4794208799467</v>
      </c>
      <c r="BR159" s="239">
        <f t="shared" si="286"/>
        <v>-8764.8464842573703</v>
      </c>
      <c r="BS159" s="239">
        <f t="shared" si="286"/>
        <v>-8296.9356836172137</v>
      </c>
      <c r="BT159" s="239">
        <f t="shared" si="286"/>
        <v>-7746.8735476079137</v>
      </c>
      <c r="BU159" s="239">
        <f t="shared" ref="BU159:CZ159" si="287">SUM(BU152:BU158)</f>
        <v>-7120.6866720994958</v>
      </c>
      <c r="BV159" s="239">
        <f t="shared" si="287"/>
        <v>-6425.2356915380578</v>
      </c>
      <c r="BW159" s="239">
        <f t="shared" si="287"/>
        <v>-5668.1401123991063</v>
      </c>
      <c r="BX159" s="239">
        <f t="shared" si="287"/>
        <v>-4857.6948322801172</v>
      </c>
      <c r="BY159" s="239">
        <f t="shared" si="287"/>
        <v>-4002.779259266656</v>
      </c>
      <c r="BZ159" s="239">
        <f t="shared" si="287"/>
        <v>-3112.7600272792438</v>
      </c>
      <c r="CA159" s="239">
        <f t="shared" si="287"/>
        <v>-2197.3883732720346</v>
      </c>
      <c r="CB159" s="239">
        <f t="shared" si="287"/>
        <v>-1266.6933006401589</v>
      </c>
      <c r="CC159" s="239">
        <f t="shared" si="287"/>
        <v>0</v>
      </c>
      <c r="CD159" s="239">
        <f t="shared" si="287"/>
        <v>0</v>
      </c>
      <c r="CE159" s="239">
        <f t="shared" si="287"/>
        <v>0</v>
      </c>
      <c r="CF159" s="239">
        <f t="shared" si="287"/>
        <v>0</v>
      </c>
      <c r="CG159" s="239">
        <f t="shared" si="287"/>
        <v>0</v>
      </c>
      <c r="CH159" s="239">
        <f t="shared" si="287"/>
        <v>0</v>
      </c>
      <c r="CI159" s="239">
        <f t="shared" si="287"/>
        <v>0</v>
      </c>
      <c r="CJ159" s="239">
        <f t="shared" si="287"/>
        <v>0</v>
      </c>
      <c r="CK159" s="239">
        <f t="shared" si="287"/>
        <v>0</v>
      </c>
      <c r="CL159" s="239">
        <f t="shared" si="287"/>
        <v>0</v>
      </c>
      <c r="CM159" s="239">
        <f t="shared" si="287"/>
        <v>0</v>
      </c>
      <c r="CN159" s="239">
        <f t="shared" si="287"/>
        <v>0</v>
      </c>
      <c r="CO159" s="239">
        <f t="shared" si="287"/>
        <v>0</v>
      </c>
      <c r="CP159" s="239">
        <f t="shared" si="287"/>
        <v>0</v>
      </c>
      <c r="CQ159" s="239">
        <f t="shared" si="287"/>
        <v>0</v>
      </c>
      <c r="CR159" s="239">
        <f t="shared" si="287"/>
        <v>0</v>
      </c>
      <c r="CS159" s="239">
        <f t="shared" si="287"/>
        <v>0</v>
      </c>
      <c r="CT159" s="239">
        <f t="shared" si="287"/>
        <v>0</v>
      </c>
      <c r="CU159" s="239">
        <f t="shared" si="287"/>
        <v>0</v>
      </c>
      <c r="CV159" s="239">
        <f t="shared" si="287"/>
        <v>0</v>
      </c>
      <c r="CW159" s="239">
        <f t="shared" si="287"/>
        <v>0</v>
      </c>
      <c r="CX159" s="239">
        <f t="shared" si="287"/>
        <v>0</v>
      </c>
      <c r="CY159" s="239">
        <f t="shared" si="287"/>
        <v>0</v>
      </c>
      <c r="CZ159" s="239">
        <f t="shared" si="287"/>
        <v>0</v>
      </c>
      <c r="DA159" s="239">
        <f t="shared" ref="DA159:EF159" si="288">SUM(DA152:DA158)</f>
        <v>0</v>
      </c>
      <c r="DB159" s="239">
        <f t="shared" si="288"/>
        <v>0</v>
      </c>
      <c r="DC159" s="239">
        <f t="shared" si="288"/>
        <v>0</v>
      </c>
      <c r="DD159" s="239">
        <f t="shared" si="288"/>
        <v>0</v>
      </c>
      <c r="DE159" s="239">
        <f t="shared" si="288"/>
        <v>0</v>
      </c>
      <c r="DF159" s="239">
        <f t="shared" si="288"/>
        <v>0</v>
      </c>
      <c r="DG159" s="239">
        <f t="shared" si="288"/>
        <v>0</v>
      </c>
      <c r="DH159" s="239">
        <f t="shared" si="288"/>
        <v>0</v>
      </c>
      <c r="DI159" s="239">
        <f t="shared" si="288"/>
        <v>0</v>
      </c>
      <c r="DJ159" s="239">
        <f t="shared" si="288"/>
        <v>0</v>
      </c>
      <c r="DK159" s="239">
        <f t="shared" si="288"/>
        <v>0</v>
      </c>
      <c r="DL159" s="239">
        <f t="shared" si="288"/>
        <v>0</v>
      </c>
      <c r="DM159" s="239">
        <f t="shared" si="288"/>
        <v>0</v>
      </c>
      <c r="DN159" s="239">
        <f t="shared" si="288"/>
        <v>0</v>
      </c>
      <c r="DO159" s="239">
        <f t="shared" si="288"/>
        <v>0</v>
      </c>
      <c r="DP159" s="239">
        <f t="shared" si="288"/>
        <v>0</v>
      </c>
      <c r="DQ159" s="239">
        <f t="shared" si="288"/>
        <v>0</v>
      </c>
      <c r="DR159" s="239">
        <f t="shared" si="288"/>
        <v>0</v>
      </c>
      <c r="DS159" s="239">
        <f t="shared" si="288"/>
        <v>0</v>
      </c>
      <c r="DT159" s="239">
        <f t="shared" si="288"/>
        <v>0</v>
      </c>
      <c r="DU159" s="239">
        <f t="shared" si="288"/>
        <v>0</v>
      </c>
      <c r="DV159" s="239">
        <f t="shared" si="288"/>
        <v>0</v>
      </c>
      <c r="DW159" s="239">
        <f t="shared" si="288"/>
        <v>0</v>
      </c>
      <c r="DX159" s="239">
        <f t="shared" si="288"/>
        <v>0</v>
      </c>
      <c r="DY159" s="239">
        <f t="shared" si="288"/>
        <v>0</v>
      </c>
      <c r="DZ159" s="239">
        <f t="shared" si="288"/>
        <v>0</v>
      </c>
      <c r="EA159" s="239">
        <f t="shared" si="288"/>
        <v>0</v>
      </c>
      <c r="EB159" s="239">
        <f t="shared" si="288"/>
        <v>0</v>
      </c>
      <c r="EC159" s="239">
        <f t="shared" si="288"/>
        <v>0</v>
      </c>
      <c r="ED159" s="239">
        <f t="shared" si="288"/>
        <v>0</v>
      </c>
      <c r="EE159" s="239">
        <f t="shared" si="288"/>
        <v>0</v>
      </c>
      <c r="EF159" s="239">
        <f t="shared" si="288"/>
        <v>0</v>
      </c>
      <c r="EG159" s="239">
        <f t="shared" ref="EG159:FH159" si="289">SUM(EG152:EG158)</f>
        <v>0</v>
      </c>
      <c r="EH159" s="239">
        <f t="shared" si="289"/>
        <v>0</v>
      </c>
      <c r="EI159" s="239">
        <f t="shared" si="289"/>
        <v>0</v>
      </c>
      <c r="EJ159" s="239">
        <f t="shared" si="289"/>
        <v>0</v>
      </c>
      <c r="EK159" s="239">
        <f t="shared" si="289"/>
        <v>0</v>
      </c>
      <c r="EL159" s="239">
        <f t="shared" si="289"/>
        <v>0</v>
      </c>
      <c r="EM159" s="239">
        <f t="shared" si="289"/>
        <v>0</v>
      </c>
      <c r="EN159" s="239">
        <f t="shared" si="289"/>
        <v>0</v>
      </c>
      <c r="EO159" s="239">
        <f t="shared" si="289"/>
        <v>0</v>
      </c>
      <c r="EP159" s="239">
        <f t="shared" si="289"/>
        <v>0</v>
      </c>
      <c r="EQ159" s="239">
        <f t="shared" si="289"/>
        <v>0</v>
      </c>
      <c r="ER159" s="239">
        <f t="shared" si="289"/>
        <v>0</v>
      </c>
      <c r="ES159" s="239">
        <f t="shared" si="289"/>
        <v>0</v>
      </c>
      <c r="ET159" s="239">
        <f t="shared" si="289"/>
        <v>0</v>
      </c>
      <c r="EU159" s="239">
        <f t="shared" si="289"/>
        <v>0</v>
      </c>
      <c r="EV159" s="239">
        <f t="shared" si="289"/>
        <v>0</v>
      </c>
      <c r="EW159" s="239">
        <f t="shared" si="289"/>
        <v>0</v>
      </c>
      <c r="EX159" s="239">
        <f t="shared" si="289"/>
        <v>0</v>
      </c>
      <c r="EY159" s="239">
        <f t="shared" si="289"/>
        <v>0</v>
      </c>
      <c r="EZ159" s="239">
        <f t="shared" si="289"/>
        <v>0</v>
      </c>
      <c r="FA159" s="239">
        <f t="shared" si="289"/>
        <v>0</v>
      </c>
      <c r="FB159" s="239">
        <f t="shared" si="289"/>
        <v>0</v>
      </c>
      <c r="FC159" s="239">
        <f t="shared" si="289"/>
        <v>0</v>
      </c>
      <c r="FD159" s="239">
        <f t="shared" si="289"/>
        <v>0</v>
      </c>
      <c r="FE159" s="239">
        <f t="shared" si="289"/>
        <v>0</v>
      </c>
      <c r="FF159" s="239">
        <f t="shared" si="289"/>
        <v>0</v>
      </c>
      <c r="FG159" s="239">
        <f t="shared" si="289"/>
        <v>0</v>
      </c>
      <c r="FH159" s="239">
        <f t="shared" si="289"/>
        <v>0</v>
      </c>
    </row>
    <row r="160" spans="1:164" x14ac:dyDescent="0.2">
      <c r="A160" s="10"/>
      <c r="B160" s="31" t="s">
        <v>915</v>
      </c>
      <c r="C160" s="31"/>
      <c r="D160" s="31"/>
      <c r="E160" s="31"/>
      <c r="F160" s="31"/>
      <c r="G160" s="31"/>
      <c r="H160" s="32">
        <f t="shared" si="244"/>
        <v>200987.50932889662</v>
      </c>
      <c r="I160" s="32">
        <f t="shared" ref="I160:AN160" si="290">I149+I159</f>
        <v>0</v>
      </c>
      <c r="J160" s="32">
        <f t="shared" si="290"/>
        <v>0</v>
      </c>
      <c r="K160" s="32">
        <f t="shared" si="290"/>
        <v>0</v>
      </c>
      <c r="L160" s="32">
        <f t="shared" si="290"/>
        <v>0</v>
      </c>
      <c r="M160" s="32">
        <f t="shared" si="290"/>
        <v>0</v>
      </c>
      <c r="N160" s="32">
        <f t="shared" si="290"/>
        <v>0</v>
      </c>
      <c r="O160" s="32">
        <f t="shared" si="290"/>
        <v>0</v>
      </c>
      <c r="P160" s="32">
        <f t="shared" si="290"/>
        <v>0</v>
      </c>
      <c r="Q160" s="32">
        <f t="shared" si="290"/>
        <v>0</v>
      </c>
      <c r="R160" s="32">
        <f t="shared" si="290"/>
        <v>0</v>
      </c>
      <c r="S160" s="32">
        <f t="shared" si="290"/>
        <v>0</v>
      </c>
      <c r="T160" s="32">
        <f t="shared" si="290"/>
        <v>0</v>
      </c>
      <c r="U160" s="32">
        <f t="shared" si="290"/>
        <v>0</v>
      </c>
      <c r="V160" s="32">
        <f t="shared" si="290"/>
        <v>0</v>
      </c>
      <c r="W160" s="32">
        <f t="shared" si="290"/>
        <v>0</v>
      </c>
      <c r="X160" s="32">
        <f t="shared" si="290"/>
        <v>0</v>
      </c>
      <c r="Y160" s="32">
        <f t="shared" si="290"/>
        <v>0</v>
      </c>
      <c r="Z160" s="32">
        <f t="shared" si="290"/>
        <v>0</v>
      </c>
      <c r="AA160" s="32">
        <f t="shared" si="290"/>
        <v>0</v>
      </c>
      <c r="AB160" s="32">
        <f t="shared" si="290"/>
        <v>0</v>
      </c>
      <c r="AC160" s="32">
        <f t="shared" si="290"/>
        <v>0</v>
      </c>
      <c r="AD160" s="32">
        <f t="shared" si="290"/>
        <v>0</v>
      </c>
      <c r="AE160" s="32">
        <f t="shared" si="290"/>
        <v>0</v>
      </c>
      <c r="AF160" s="32">
        <f t="shared" si="290"/>
        <v>0</v>
      </c>
      <c r="AG160" s="32">
        <f t="shared" si="290"/>
        <v>0</v>
      </c>
      <c r="AH160" s="32">
        <f t="shared" si="290"/>
        <v>0</v>
      </c>
      <c r="AI160" s="32">
        <f t="shared" si="290"/>
        <v>0</v>
      </c>
      <c r="AJ160" s="32">
        <f t="shared" si="290"/>
        <v>0</v>
      </c>
      <c r="AK160" s="32">
        <f t="shared" si="290"/>
        <v>0</v>
      </c>
      <c r="AL160" s="32">
        <f t="shared" si="290"/>
        <v>0</v>
      </c>
      <c r="AM160" s="32">
        <f t="shared" si="290"/>
        <v>-223.02500000000001</v>
      </c>
      <c r="AN160" s="32">
        <f t="shared" si="290"/>
        <v>-223.02500000000001</v>
      </c>
      <c r="AO160" s="32">
        <f t="shared" ref="AO160:BT160" si="291">AO149+AO159</f>
        <v>-223.02500000000001</v>
      </c>
      <c r="AP160" s="32">
        <f t="shared" si="291"/>
        <v>-999.50499999999988</v>
      </c>
      <c r="AQ160" s="32">
        <f t="shared" si="291"/>
        <v>-999.50499999999988</v>
      </c>
      <c r="AR160" s="32">
        <f t="shared" si="291"/>
        <v>-999.50499999999988</v>
      </c>
      <c r="AS160" s="32">
        <f t="shared" si="291"/>
        <v>1068.3748607413463</v>
      </c>
      <c r="AT160" s="32">
        <f t="shared" si="291"/>
        <v>1196.1612835984897</v>
      </c>
      <c r="AU160" s="32">
        <f t="shared" si="291"/>
        <v>1327.7061306573132</v>
      </c>
      <c r="AV160" s="32">
        <f t="shared" si="291"/>
        <v>1463.2371852027677</v>
      </c>
      <c r="AW160" s="32">
        <f t="shared" si="291"/>
        <v>1603.0035852027677</v>
      </c>
      <c r="AX160" s="32">
        <f t="shared" si="291"/>
        <v>1747.2785787511548</v>
      </c>
      <c r="AY160" s="32">
        <f t="shared" si="291"/>
        <v>-1651.9194498890042</v>
      </c>
      <c r="AZ160" s="32">
        <f t="shared" si="291"/>
        <v>-2551.7695239001896</v>
      </c>
      <c r="BA160" s="32">
        <f t="shared" si="291"/>
        <v>-3435.1945721931143</v>
      </c>
      <c r="BB160" s="32">
        <f t="shared" si="291"/>
        <v>-4292.0839908471935</v>
      </c>
      <c r="BC160" s="32">
        <f t="shared" si="291"/>
        <v>-5112.5955269375754</v>
      </c>
      <c r="BD160" s="32">
        <f t="shared" si="291"/>
        <v>-5887.2606086565629</v>
      </c>
      <c r="BE160" s="32">
        <f t="shared" si="291"/>
        <v>-5569.0450085368648</v>
      </c>
      <c r="BF160" s="32">
        <f t="shared" si="291"/>
        <v>-6225.6044690983017</v>
      </c>
      <c r="BG160" s="32">
        <f t="shared" si="291"/>
        <v>-6811.1320282430825</v>
      </c>
      <c r="BH160" s="32">
        <f t="shared" si="291"/>
        <v>-6542.1186899666664</v>
      </c>
      <c r="BI160" s="32">
        <f t="shared" si="291"/>
        <v>-6965.3042426068259</v>
      </c>
      <c r="BJ160" s="32">
        <f t="shared" si="291"/>
        <v>-7298.8579708083507</v>
      </c>
      <c r="BK160" s="32">
        <f t="shared" si="291"/>
        <v>-7538.3480293071452</v>
      </c>
      <c r="BL160" s="32">
        <f t="shared" si="291"/>
        <v>-7680.298341909589</v>
      </c>
      <c r="BM160" s="32">
        <f t="shared" si="291"/>
        <v>-7722.2117757840952</v>
      </c>
      <c r="BN160" s="32">
        <f t="shared" si="291"/>
        <v>-7662.5781117840943</v>
      </c>
      <c r="BO160" s="32">
        <f t="shared" si="291"/>
        <v>-7500.8649064810179</v>
      </c>
      <c r="BP160" s="32">
        <f t="shared" si="291"/>
        <v>-7237.4885812088905</v>
      </c>
      <c r="BQ160" s="32">
        <f t="shared" si="291"/>
        <v>-6873.7617227100964</v>
      </c>
      <c r="BR160" s="32">
        <f t="shared" si="291"/>
        <v>-6411.8101533602467</v>
      </c>
      <c r="BS160" s="32">
        <f t="shared" si="291"/>
        <v>-5854.4488567200897</v>
      </c>
      <c r="BT160" s="32">
        <f t="shared" si="291"/>
        <v>-5204.9972807107897</v>
      </c>
      <c r="BU160" s="32">
        <f t="shared" ref="BU160:CZ160" si="292">BU149+BU159</f>
        <v>-4466.997285202372</v>
      </c>
      <c r="BV160" s="32">
        <f t="shared" si="292"/>
        <v>-3643.7598817837911</v>
      </c>
      <c r="BW160" s="32">
        <f t="shared" si="292"/>
        <v>-2737.5801426448402</v>
      </c>
      <c r="BX160" s="32">
        <f t="shared" si="292"/>
        <v>-1748.2338705258508</v>
      </c>
      <c r="BY160" s="32">
        <f t="shared" si="292"/>
        <v>-669.69205751238997</v>
      </c>
      <c r="BZ160" s="32">
        <f t="shared" si="292"/>
        <v>518.4954944750225</v>
      </c>
      <c r="CA160" s="32">
        <f t="shared" si="292"/>
        <v>1881.1196284822322</v>
      </c>
      <c r="CB160" s="32">
        <f t="shared" si="292"/>
        <v>3706.3196611141075</v>
      </c>
      <c r="CC160" s="32">
        <f t="shared" si="292"/>
        <v>17890.099200000022</v>
      </c>
      <c r="CD160" s="32">
        <f t="shared" si="292"/>
        <v>2683.5148799999997</v>
      </c>
      <c r="CE160" s="32">
        <f t="shared" si="292"/>
        <v>2683.5148799999997</v>
      </c>
      <c r="CF160" s="32">
        <f t="shared" si="292"/>
        <v>2683.5148799999997</v>
      </c>
      <c r="CG160" s="32">
        <f t="shared" si="292"/>
        <v>2683.5148799999997</v>
      </c>
      <c r="CH160" s="32">
        <f t="shared" si="292"/>
        <v>2683.5148799999997</v>
      </c>
      <c r="CI160" s="32">
        <f t="shared" si="292"/>
        <v>2683.5148799999997</v>
      </c>
      <c r="CJ160" s="32">
        <f t="shared" si="292"/>
        <v>2683.5148799999997</v>
      </c>
      <c r="CK160" s="32">
        <f t="shared" si="292"/>
        <v>2683.5148799999997</v>
      </c>
      <c r="CL160" s="32">
        <f t="shared" si="292"/>
        <v>2683.5148799999997</v>
      </c>
      <c r="CM160" s="32">
        <f t="shared" si="292"/>
        <v>2683.5148799999997</v>
      </c>
      <c r="CN160" s="32">
        <f t="shared" si="292"/>
        <v>290714.11200000037</v>
      </c>
      <c r="CO160" s="32">
        <f t="shared" si="292"/>
        <v>0</v>
      </c>
      <c r="CP160" s="32">
        <f t="shared" si="292"/>
        <v>0</v>
      </c>
      <c r="CQ160" s="32">
        <f t="shared" si="292"/>
        <v>0</v>
      </c>
      <c r="CR160" s="32">
        <f t="shared" si="292"/>
        <v>0</v>
      </c>
      <c r="CS160" s="32">
        <f t="shared" si="292"/>
        <v>0</v>
      </c>
      <c r="CT160" s="32">
        <f t="shared" si="292"/>
        <v>0</v>
      </c>
      <c r="CU160" s="32">
        <f t="shared" si="292"/>
        <v>0</v>
      </c>
      <c r="CV160" s="32">
        <f t="shared" si="292"/>
        <v>0</v>
      </c>
      <c r="CW160" s="32">
        <f t="shared" si="292"/>
        <v>0</v>
      </c>
      <c r="CX160" s="32">
        <f t="shared" si="292"/>
        <v>0</v>
      </c>
      <c r="CY160" s="32">
        <f t="shared" si="292"/>
        <v>0</v>
      </c>
      <c r="CZ160" s="32">
        <f t="shared" si="292"/>
        <v>0</v>
      </c>
      <c r="DA160" s="32">
        <f t="shared" ref="DA160:EF160" si="293">DA149+DA159</f>
        <v>0</v>
      </c>
      <c r="DB160" s="32">
        <f t="shared" si="293"/>
        <v>0</v>
      </c>
      <c r="DC160" s="32">
        <f t="shared" si="293"/>
        <v>0</v>
      </c>
      <c r="DD160" s="32">
        <f t="shared" si="293"/>
        <v>0</v>
      </c>
      <c r="DE160" s="32">
        <f t="shared" si="293"/>
        <v>0</v>
      </c>
      <c r="DF160" s="32">
        <f t="shared" si="293"/>
        <v>0</v>
      </c>
      <c r="DG160" s="32">
        <f t="shared" si="293"/>
        <v>0</v>
      </c>
      <c r="DH160" s="32">
        <f t="shared" si="293"/>
        <v>0</v>
      </c>
      <c r="DI160" s="32">
        <f t="shared" si="293"/>
        <v>0</v>
      </c>
      <c r="DJ160" s="32">
        <f t="shared" si="293"/>
        <v>0</v>
      </c>
      <c r="DK160" s="32">
        <f t="shared" si="293"/>
        <v>0</v>
      </c>
      <c r="DL160" s="32">
        <f t="shared" si="293"/>
        <v>0</v>
      </c>
      <c r="DM160" s="32">
        <f t="shared" si="293"/>
        <v>0</v>
      </c>
      <c r="DN160" s="32">
        <f t="shared" si="293"/>
        <v>0</v>
      </c>
      <c r="DO160" s="32">
        <f t="shared" si="293"/>
        <v>0</v>
      </c>
      <c r="DP160" s="32">
        <f t="shared" si="293"/>
        <v>0</v>
      </c>
      <c r="DQ160" s="32">
        <f t="shared" si="293"/>
        <v>0</v>
      </c>
      <c r="DR160" s="32">
        <f t="shared" si="293"/>
        <v>0</v>
      </c>
      <c r="DS160" s="32">
        <f t="shared" si="293"/>
        <v>0</v>
      </c>
      <c r="DT160" s="32">
        <f t="shared" si="293"/>
        <v>0</v>
      </c>
      <c r="DU160" s="32">
        <f t="shared" si="293"/>
        <v>0</v>
      </c>
      <c r="DV160" s="32">
        <f t="shared" si="293"/>
        <v>0</v>
      </c>
      <c r="DW160" s="32">
        <f t="shared" si="293"/>
        <v>0</v>
      </c>
      <c r="DX160" s="32">
        <f t="shared" si="293"/>
        <v>0</v>
      </c>
      <c r="DY160" s="32">
        <f t="shared" si="293"/>
        <v>0</v>
      </c>
      <c r="DZ160" s="32">
        <f t="shared" si="293"/>
        <v>0</v>
      </c>
      <c r="EA160" s="32">
        <f t="shared" si="293"/>
        <v>0</v>
      </c>
      <c r="EB160" s="32">
        <f t="shared" si="293"/>
        <v>0</v>
      </c>
      <c r="EC160" s="32">
        <f t="shared" si="293"/>
        <v>0</v>
      </c>
      <c r="ED160" s="32">
        <f t="shared" si="293"/>
        <v>0</v>
      </c>
      <c r="EE160" s="32">
        <f t="shared" si="293"/>
        <v>0</v>
      </c>
      <c r="EF160" s="32">
        <f t="shared" si="293"/>
        <v>0</v>
      </c>
      <c r="EG160" s="32">
        <f t="shared" ref="EG160:FH160" si="294">EG149+EG159</f>
        <v>0</v>
      </c>
      <c r="EH160" s="32">
        <f t="shared" si="294"/>
        <v>0</v>
      </c>
      <c r="EI160" s="32">
        <f t="shared" si="294"/>
        <v>0</v>
      </c>
      <c r="EJ160" s="32">
        <f t="shared" si="294"/>
        <v>0</v>
      </c>
      <c r="EK160" s="32">
        <f t="shared" si="294"/>
        <v>0</v>
      </c>
      <c r="EL160" s="32">
        <f t="shared" si="294"/>
        <v>0</v>
      </c>
      <c r="EM160" s="32">
        <f t="shared" si="294"/>
        <v>0</v>
      </c>
      <c r="EN160" s="32">
        <f t="shared" si="294"/>
        <v>0</v>
      </c>
      <c r="EO160" s="32">
        <f t="shared" si="294"/>
        <v>0</v>
      </c>
      <c r="EP160" s="32">
        <f t="shared" si="294"/>
        <v>0</v>
      </c>
      <c r="EQ160" s="32">
        <f t="shared" si="294"/>
        <v>0</v>
      </c>
      <c r="ER160" s="32">
        <f t="shared" si="294"/>
        <v>0</v>
      </c>
      <c r="ES160" s="32">
        <f t="shared" si="294"/>
        <v>0</v>
      </c>
      <c r="ET160" s="32">
        <f t="shared" si="294"/>
        <v>0</v>
      </c>
      <c r="EU160" s="32">
        <f t="shared" si="294"/>
        <v>0</v>
      </c>
      <c r="EV160" s="32">
        <f t="shared" si="294"/>
        <v>0</v>
      </c>
      <c r="EW160" s="32">
        <f t="shared" si="294"/>
        <v>0</v>
      </c>
      <c r="EX160" s="32">
        <f t="shared" si="294"/>
        <v>0</v>
      </c>
      <c r="EY160" s="32">
        <f t="shared" si="294"/>
        <v>0</v>
      </c>
      <c r="EZ160" s="32">
        <f t="shared" si="294"/>
        <v>0</v>
      </c>
      <c r="FA160" s="32">
        <f t="shared" si="294"/>
        <v>0</v>
      </c>
      <c r="FB160" s="32">
        <f t="shared" si="294"/>
        <v>0</v>
      </c>
      <c r="FC160" s="32">
        <f t="shared" si="294"/>
        <v>0</v>
      </c>
      <c r="FD160" s="32">
        <f t="shared" si="294"/>
        <v>0</v>
      </c>
      <c r="FE160" s="32">
        <f t="shared" si="294"/>
        <v>0</v>
      </c>
      <c r="FF160" s="32">
        <f t="shared" si="294"/>
        <v>0</v>
      </c>
      <c r="FG160" s="32">
        <f t="shared" si="294"/>
        <v>0</v>
      </c>
      <c r="FH160" s="32">
        <f t="shared" si="294"/>
        <v>0</v>
      </c>
    </row>
    <row r="161" spans="1:164" x14ac:dyDescent="0.2">
      <c r="A161" s="10"/>
      <c r="B161" s="10"/>
      <c r="C161" s="10" t="s">
        <v>916</v>
      </c>
      <c r="D161" s="10"/>
      <c r="E161" s="10"/>
      <c r="F161" s="10"/>
      <c r="G161" s="10"/>
      <c r="H161" s="12"/>
      <c r="I161" s="12">
        <f>I160</f>
        <v>0</v>
      </c>
      <c r="J161" s="12">
        <f t="shared" ref="J161:AO161" si="295">I161+J160</f>
        <v>0</v>
      </c>
      <c r="K161" s="12">
        <f t="shared" si="295"/>
        <v>0</v>
      </c>
      <c r="L161" s="12">
        <f t="shared" si="295"/>
        <v>0</v>
      </c>
      <c r="M161" s="12">
        <f t="shared" si="295"/>
        <v>0</v>
      </c>
      <c r="N161" s="12">
        <f t="shared" si="295"/>
        <v>0</v>
      </c>
      <c r="O161" s="12">
        <f t="shared" si="295"/>
        <v>0</v>
      </c>
      <c r="P161" s="12">
        <f t="shared" si="295"/>
        <v>0</v>
      </c>
      <c r="Q161" s="12">
        <f t="shared" si="295"/>
        <v>0</v>
      </c>
      <c r="R161" s="12">
        <f t="shared" si="295"/>
        <v>0</v>
      </c>
      <c r="S161" s="12">
        <f t="shared" si="295"/>
        <v>0</v>
      </c>
      <c r="T161" s="12">
        <f t="shared" si="295"/>
        <v>0</v>
      </c>
      <c r="U161" s="12">
        <f t="shared" si="295"/>
        <v>0</v>
      </c>
      <c r="V161" s="12">
        <f t="shared" si="295"/>
        <v>0</v>
      </c>
      <c r="W161" s="12">
        <f t="shared" si="295"/>
        <v>0</v>
      </c>
      <c r="X161" s="12">
        <f t="shared" si="295"/>
        <v>0</v>
      </c>
      <c r="Y161" s="12">
        <f t="shared" si="295"/>
        <v>0</v>
      </c>
      <c r="Z161" s="12">
        <f t="shared" si="295"/>
        <v>0</v>
      </c>
      <c r="AA161" s="12">
        <f t="shared" si="295"/>
        <v>0</v>
      </c>
      <c r="AB161" s="12">
        <f t="shared" si="295"/>
        <v>0</v>
      </c>
      <c r="AC161" s="12">
        <f t="shared" si="295"/>
        <v>0</v>
      </c>
      <c r="AD161" s="12">
        <f t="shared" si="295"/>
        <v>0</v>
      </c>
      <c r="AE161" s="12">
        <f t="shared" si="295"/>
        <v>0</v>
      </c>
      <c r="AF161" s="12">
        <f t="shared" si="295"/>
        <v>0</v>
      </c>
      <c r="AG161" s="12">
        <f t="shared" si="295"/>
        <v>0</v>
      </c>
      <c r="AH161" s="12">
        <f t="shared" si="295"/>
        <v>0</v>
      </c>
      <c r="AI161" s="12">
        <f t="shared" si="295"/>
        <v>0</v>
      </c>
      <c r="AJ161" s="12">
        <f t="shared" si="295"/>
        <v>0</v>
      </c>
      <c r="AK161" s="12">
        <f t="shared" si="295"/>
        <v>0</v>
      </c>
      <c r="AL161" s="12">
        <f t="shared" si="295"/>
        <v>0</v>
      </c>
      <c r="AM161" s="12">
        <f t="shared" si="295"/>
        <v>-223.02500000000001</v>
      </c>
      <c r="AN161" s="12">
        <f t="shared" si="295"/>
        <v>-446.05</v>
      </c>
      <c r="AO161" s="12">
        <f t="shared" si="295"/>
        <v>-669.07500000000005</v>
      </c>
      <c r="AP161" s="12">
        <f t="shared" ref="AP161:BU161" si="296">AO161+AP160</f>
        <v>-1668.58</v>
      </c>
      <c r="AQ161" s="12">
        <f t="shared" si="296"/>
        <v>-2668.085</v>
      </c>
      <c r="AR161" s="12">
        <f t="shared" si="296"/>
        <v>-3667.59</v>
      </c>
      <c r="AS161" s="12">
        <f t="shared" si="296"/>
        <v>-2599.2151392586538</v>
      </c>
      <c r="AT161" s="12">
        <f t="shared" si="296"/>
        <v>-1403.0538556601641</v>
      </c>
      <c r="AU161" s="12">
        <f t="shared" si="296"/>
        <v>-75.347725002850893</v>
      </c>
      <c r="AV161" s="12">
        <f t="shared" si="296"/>
        <v>1387.8894601999168</v>
      </c>
      <c r="AW161" s="12">
        <f t="shared" si="296"/>
        <v>2990.8930454026845</v>
      </c>
      <c r="AX161" s="12">
        <f t="shared" si="296"/>
        <v>4738.1716241538397</v>
      </c>
      <c r="AY161" s="12">
        <f t="shared" si="296"/>
        <v>3086.2521742648355</v>
      </c>
      <c r="AZ161" s="12">
        <f t="shared" si="296"/>
        <v>534.48265036464591</v>
      </c>
      <c r="BA161" s="12">
        <f t="shared" si="296"/>
        <v>-2900.7119218284683</v>
      </c>
      <c r="BB161" s="12">
        <f t="shared" si="296"/>
        <v>-7192.7959126756614</v>
      </c>
      <c r="BC161" s="12">
        <f t="shared" si="296"/>
        <v>-12305.391439613237</v>
      </c>
      <c r="BD161" s="12">
        <f t="shared" si="296"/>
        <v>-18192.6520482698</v>
      </c>
      <c r="BE161" s="12">
        <f t="shared" si="296"/>
        <v>-23761.697056806664</v>
      </c>
      <c r="BF161" s="12">
        <f t="shared" si="296"/>
        <v>-29987.301525904964</v>
      </c>
      <c r="BG161" s="12">
        <f t="shared" si="296"/>
        <v>-36798.433554148047</v>
      </c>
      <c r="BH161" s="12">
        <f t="shared" si="296"/>
        <v>-43340.552244114711</v>
      </c>
      <c r="BI161" s="12">
        <f t="shared" si="296"/>
        <v>-50305.856486721539</v>
      </c>
      <c r="BJ161" s="12">
        <f t="shared" si="296"/>
        <v>-57604.714457529888</v>
      </c>
      <c r="BK161" s="12">
        <f t="shared" si="296"/>
        <v>-65143.062486837036</v>
      </c>
      <c r="BL161" s="12">
        <f t="shared" si="296"/>
        <v>-72823.36082874662</v>
      </c>
      <c r="BM161" s="12">
        <f t="shared" si="296"/>
        <v>-80545.572604530709</v>
      </c>
      <c r="BN161" s="12">
        <f t="shared" si="296"/>
        <v>-88208.150716314805</v>
      </c>
      <c r="BO161" s="12">
        <f t="shared" si="296"/>
        <v>-95709.015622795821</v>
      </c>
      <c r="BP161" s="12">
        <f t="shared" si="296"/>
        <v>-102946.50420400471</v>
      </c>
      <c r="BQ161" s="12">
        <f t="shared" si="296"/>
        <v>-109820.26592671481</v>
      </c>
      <c r="BR161" s="12">
        <f t="shared" si="296"/>
        <v>-116232.07608007506</v>
      </c>
      <c r="BS161" s="12">
        <f t="shared" si="296"/>
        <v>-122086.52493679515</v>
      </c>
      <c r="BT161" s="12">
        <f t="shared" si="296"/>
        <v>-127291.52221750593</v>
      </c>
      <c r="BU161" s="12">
        <f t="shared" si="296"/>
        <v>-131758.51950270831</v>
      </c>
      <c r="BV161" s="12">
        <f t="shared" ref="BV161:DA161" si="297">BU161+BV160</f>
        <v>-135402.27938449211</v>
      </c>
      <c r="BW161" s="12">
        <f t="shared" si="297"/>
        <v>-138139.85952713696</v>
      </c>
      <c r="BX161" s="12">
        <f t="shared" si="297"/>
        <v>-139888.0933976628</v>
      </c>
      <c r="BY161" s="12">
        <f t="shared" si="297"/>
        <v>-140557.78545517518</v>
      </c>
      <c r="BZ161" s="12">
        <f t="shared" si="297"/>
        <v>-140039.28996070015</v>
      </c>
      <c r="CA161" s="12">
        <f t="shared" si="297"/>
        <v>-138158.17033221791</v>
      </c>
      <c r="CB161" s="12">
        <f t="shared" si="297"/>
        <v>-134451.85067110381</v>
      </c>
      <c r="CC161" s="12">
        <f t="shared" si="297"/>
        <v>-116561.75147110378</v>
      </c>
      <c r="CD161" s="12">
        <f t="shared" si="297"/>
        <v>-113878.23659110378</v>
      </c>
      <c r="CE161" s="12">
        <f t="shared" si="297"/>
        <v>-111194.72171110378</v>
      </c>
      <c r="CF161" s="12">
        <f t="shared" si="297"/>
        <v>-108511.20683110377</v>
      </c>
      <c r="CG161" s="12">
        <f t="shared" si="297"/>
        <v>-105827.69195110377</v>
      </c>
      <c r="CH161" s="12">
        <f t="shared" si="297"/>
        <v>-103144.17707110377</v>
      </c>
      <c r="CI161" s="12">
        <f t="shared" si="297"/>
        <v>-100460.66219110377</v>
      </c>
      <c r="CJ161" s="12">
        <f t="shared" si="297"/>
        <v>-97777.147311103763</v>
      </c>
      <c r="CK161" s="12">
        <f t="shared" si="297"/>
        <v>-95093.632431103761</v>
      </c>
      <c r="CL161" s="12">
        <f t="shared" si="297"/>
        <v>-92410.117551103758</v>
      </c>
      <c r="CM161" s="12">
        <f t="shared" si="297"/>
        <v>-89726.602671103756</v>
      </c>
      <c r="CN161" s="12">
        <f t="shared" si="297"/>
        <v>200987.50932889662</v>
      </c>
      <c r="CO161" s="12">
        <f t="shared" si="297"/>
        <v>200987.50932889662</v>
      </c>
      <c r="CP161" s="12">
        <f t="shared" si="297"/>
        <v>200987.50932889662</v>
      </c>
      <c r="CQ161" s="12">
        <f t="shared" si="297"/>
        <v>200987.50932889662</v>
      </c>
      <c r="CR161" s="12">
        <f t="shared" si="297"/>
        <v>200987.50932889662</v>
      </c>
      <c r="CS161" s="12">
        <f t="shared" si="297"/>
        <v>200987.50932889662</v>
      </c>
      <c r="CT161" s="12">
        <f t="shared" si="297"/>
        <v>200987.50932889662</v>
      </c>
      <c r="CU161" s="12">
        <f t="shared" si="297"/>
        <v>200987.50932889662</v>
      </c>
      <c r="CV161" s="12">
        <f t="shared" si="297"/>
        <v>200987.50932889662</v>
      </c>
      <c r="CW161" s="12">
        <f t="shared" si="297"/>
        <v>200987.50932889662</v>
      </c>
      <c r="CX161" s="12">
        <f t="shared" si="297"/>
        <v>200987.50932889662</v>
      </c>
      <c r="CY161" s="12">
        <f t="shared" si="297"/>
        <v>200987.50932889662</v>
      </c>
      <c r="CZ161" s="12">
        <f t="shared" si="297"/>
        <v>200987.50932889662</v>
      </c>
      <c r="DA161" s="12">
        <f t="shared" si="297"/>
        <v>200987.50932889662</v>
      </c>
      <c r="DB161" s="12">
        <f t="shared" ref="DB161:EG161" si="298">DA161+DB160</f>
        <v>200987.50932889662</v>
      </c>
      <c r="DC161" s="12">
        <f t="shared" si="298"/>
        <v>200987.50932889662</v>
      </c>
      <c r="DD161" s="12">
        <f t="shared" si="298"/>
        <v>200987.50932889662</v>
      </c>
      <c r="DE161" s="12">
        <f t="shared" si="298"/>
        <v>200987.50932889662</v>
      </c>
      <c r="DF161" s="12">
        <f t="shared" si="298"/>
        <v>200987.50932889662</v>
      </c>
      <c r="DG161" s="12">
        <f t="shared" si="298"/>
        <v>200987.50932889662</v>
      </c>
      <c r="DH161" s="12">
        <f t="shared" si="298"/>
        <v>200987.50932889662</v>
      </c>
      <c r="DI161" s="12">
        <f t="shared" si="298"/>
        <v>200987.50932889662</v>
      </c>
      <c r="DJ161" s="12">
        <f t="shared" si="298"/>
        <v>200987.50932889662</v>
      </c>
      <c r="DK161" s="12">
        <f t="shared" si="298"/>
        <v>200987.50932889662</v>
      </c>
      <c r="DL161" s="12">
        <f t="shared" si="298"/>
        <v>200987.50932889662</v>
      </c>
      <c r="DM161" s="12">
        <f t="shared" si="298"/>
        <v>200987.50932889662</v>
      </c>
      <c r="DN161" s="12">
        <f t="shared" si="298"/>
        <v>200987.50932889662</v>
      </c>
      <c r="DO161" s="12">
        <f t="shared" si="298"/>
        <v>200987.50932889662</v>
      </c>
      <c r="DP161" s="12">
        <f t="shared" si="298"/>
        <v>200987.50932889662</v>
      </c>
      <c r="DQ161" s="12">
        <f t="shared" si="298"/>
        <v>200987.50932889662</v>
      </c>
      <c r="DR161" s="12">
        <f t="shared" si="298"/>
        <v>200987.50932889662</v>
      </c>
      <c r="DS161" s="12">
        <f t="shared" si="298"/>
        <v>200987.50932889662</v>
      </c>
      <c r="DT161" s="12">
        <f t="shared" si="298"/>
        <v>200987.50932889662</v>
      </c>
      <c r="DU161" s="12">
        <f t="shared" si="298"/>
        <v>200987.50932889662</v>
      </c>
      <c r="DV161" s="12">
        <f t="shared" si="298"/>
        <v>200987.50932889662</v>
      </c>
      <c r="DW161" s="12">
        <f t="shared" si="298"/>
        <v>200987.50932889662</v>
      </c>
      <c r="DX161" s="12">
        <f t="shared" si="298"/>
        <v>200987.50932889662</v>
      </c>
      <c r="DY161" s="12">
        <f t="shared" si="298"/>
        <v>200987.50932889662</v>
      </c>
      <c r="DZ161" s="12">
        <f t="shared" si="298"/>
        <v>200987.50932889662</v>
      </c>
      <c r="EA161" s="12">
        <f t="shared" si="298"/>
        <v>200987.50932889662</v>
      </c>
      <c r="EB161" s="12">
        <f t="shared" si="298"/>
        <v>200987.50932889662</v>
      </c>
      <c r="EC161" s="12">
        <f t="shared" si="298"/>
        <v>200987.50932889662</v>
      </c>
      <c r="ED161" s="12">
        <f t="shared" si="298"/>
        <v>200987.50932889662</v>
      </c>
      <c r="EE161" s="12">
        <f t="shared" si="298"/>
        <v>200987.50932889662</v>
      </c>
      <c r="EF161" s="12">
        <f t="shared" si="298"/>
        <v>200987.50932889662</v>
      </c>
      <c r="EG161" s="12">
        <f t="shared" si="298"/>
        <v>200987.50932889662</v>
      </c>
      <c r="EH161" s="12">
        <f t="shared" ref="EH161:FH161" si="299">EG161+EH160</f>
        <v>200987.50932889662</v>
      </c>
      <c r="EI161" s="12">
        <f t="shared" si="299"/>
        <v>200987.50932889662</v>
      </c>
      <c r="EJ161" s="12">
        <f t="shared" si="299"/>
        <v>200987.50932889662</v>
      </c>
      <c r="EK161" s="12">
        <f t="shared" si="299"/>
        <v>200987.50932889662</v>
      </c>
      <c r="EL161" s="12">
        <f t="shared" si="299"/>
        <v>200987.50932889662</v>
      </c>
      <c r="EM161" s="12">
        <f t="shared" si="299"/>
        <v>200987.50932889662</v>
      </c>
      <c r="EN161" s="12">
        <f t="shared" si="299"/>
        <v>200987.50932889662</v>
      </c>
      <c r="EO161" s="12">
        <f t="shared" si="299"/>
        <v>200987.50932889662</v>
      </c>
      <c r="EP161" s="12">
        <f t="shared" si="299"/>
        <v>200987.50932889662</v>
      </c>
      <c r="EQ161" s="12">
        <f t="shared" si="299"/>
        <v>200987.50932889662</v>
      </c>
      <c r="ER161" s="12">
        <f t="shared" si="299"/>
        <v>200987.50932889662</v>
      </c>
      <c r="ES161" s="12">
        <f t="shared" si="299"/>
        <v>200987.50932889662</v>
      </c>
      <c r="ET161" s="12">
        <f t="shared" si="299"/>
        <v>200987.50932889662</v>
      </c>
      <c r="EU161" s="12">
        <f t="shared" si="299"/>
        <v>200987.50932889662</v>
      </c>
      <c r="EV161" s="12">
        <f t="shared" si="299"/>
        <v>200987.50932889662</v>
      </c>
      <c r="EW161" s="12">
        <f t="shared" si="299"/>
        <v>200987.50932889662</v>
      </c>
      <c r="EX161" s="12">
        <f t="shared" si="299"/>
        <v>200987.50932889662</v>
      </c>
      <c r="EY161" s="12">
        <f t="shared" si="299"/>
        <v>200987.50932889662</v>
      </c>
      <c r="EZ161" s="12">
        <f t="shared" si="299"/>
        <v>200987.50932889662</v>
      </c>
      <c r="FA161" s="12">
        <f t="shared" si="299"/>
        <v>200987.50932889662</v>
      </c>
      <c r="FB161" s="12">
        <f t="shared" si="299"/>
        <v>200987.50932889662</v>
      </c>
      <c r="FC161" s="12">
        <f t="shared" si="299"/>
        <v>200987.50932889662</v>
      </c>
      <c r="FD161" s="12">
        <f t="shared" si="299"/>
        <v>200987.50932889662</v>
      </c>
      <c r="FE161" s="12">
        <f t="shared" si="299"/>
        <v>200987.50932889662</v>
      </c>
      <c r="FF161" s="12">
        <f t="shared" si="299"/>
        <v>200987.50932889662</v>
      </c>
      <c r="FG161" s="12">
        <f t="shared" si="299"/>
        <v>200987.50932889662</v>
      </c>
      <c r="FH161" s="12">
        <f t="shared" si="299"/>
        <v>200987.50932889662</v>
      </c>
    </row>
    <row r="162" spans="1:164" x14ac:dyDescent="0.2">
      <c r="A162" s="10"/>
      <c r="B162" s="10"/>
      <c r="C162" s="201" t="s">
        <v>764</v>
      </c>
      <c r="D162" s="194"/>
      <c r="E162" s="194"/>
      <c r="F162" s="194"/>
      <c r="G162" s="194"/>
      <c r="H162" s="216"/>
      <c r="I162" s="216">
        <f>SUM($I151:I151)*$E$29</f>
        <v>0</v>
      </c>
      <c r="J162" s="216">
        <f>SUM($I151:J151)*$E$29</f>
        <v>0</v>
      </c>
      <c r="K162" s="216">
        <f>SUM($I151:K151)*$E$29</f>
        <v>0</v>
      </c>
      <c r="L162" s="216">
        <f>SUM($I151:L151)*$E$29</f>
        <v>0</v>
      </c>
      <c r="M162" s="216">
        <f>SUM($I151:M151)*$E$29</f>
        <v>0</v>
      </c>
      <c r="N162" s="216">
        <f>SUM($I151:N151)*$E$29</f>
        <v>0</v>
      </c>
      <c r="O162" s="216">
        <f>SUM($I151:O151)*$E$29</f>
        <v>0</v>
      </c>
      <c r="P162" s="216">
        <f>SUM($I151:P151)*$E$29</f>
        <v>0</v>
      </c>
      <c r="Q162" s="216">
        <f>SUM($I151:Q151)*$E$29</f>
        <v>0</v>
      </c>
      <c r="R162" s="216">
        <f>SUM($I151:R151)*$E$29</f>
        <v>0</v>
      </c>
      <c r="S162" s="216">
        <f>SUM($I151:S151)*$E$29</f>
        <v>0</v>
      </c>
      <c r="T162" s="216">
        <f>SUM($I151:T151)*$E$29</f>
        <v>0</v>
      </c>
      <c r="U162" s="216">
        <f>SUM($I151:U151)*$E$29</f>
        <v>0</v>
      </c>
      <c r="V162" s="216">
        <f>SUM($I151:V151)*$E$29</f>
        <v>0</v>
      </c>
      <c r="W162" s="216">
        <f>SUM($I151:W151)*$E$29</f>
        <v>0</v>
      </c>
      <c r="X162" s="216">
        <f>SUM($I151:X151)*$E$29</f>
        <v>0</v>
      </c>
      <c r="Y162" s="216">
        <f>SUM($I151:Y151)*$E$29</f>
        <v>0</v>
      </c>
      <c r="Z162" s="216">
        <f>SUM($I151:Z151)*$E$29</f>
        <v>0</v>
      </c>
      <c r="AA162" s="216">
        <f>SUM($I151:AA151)*$E$29</f>
        <v>0</v>
      </c>
      <c r="AB162" s="216">
        <f>SUM($I151:AB151)*$E$29</f>
        <v>0</v>
      </c>
      <c r="AC162" s="216">
        <f>SUM($I151:AC151)*$E$29</f>
        <v>0</v>
      </c>
      <c r="AD162" s="216">
        <f>SUM($I151:AD151)*$E$29</f>
        <v>0</v>
      </c>
      <c r="AE162" s="216">
        <f>SUM($I151:AE151)*$E$29</f>
        <v>0</v>
      </c>
      <c r="AF162" s="216">
        <f>SUM($I151:AF151)*$E$29</f>
        <v>0</v>
      </c>
      <c r="AG162" s="216">
        <f>SUM($I151:AG151)*$E$29</f>
        <v>0</v>
      </c>
      <c r="AH162" s="216">
        <f>SUM($I151:AH151)*$E$29</f>
        <v>0</v>
      </c>
      <c r="AI162" s="216">
        <f>SUM($I151:AI151)*$E$29</f>
        <v>0</v>
      </c>
      <c r="AJ162" s="216">
        <f>SUM($I151:AJ151)*$E$29</f>
        <v>0</v>
      </c>
      <c r="AK162" s="216">
        <f>SUM($I151:AK151)*$E$29</f>
        <v>0</v>
      </c>
      <c r="AL162" s="216">
        <f>SUM($I151:AL151)*$E$29</f>
        <v>0</v>
      </c>
      <c r="AM162" s="216">
        <f>SUM($I151:AM151)*$E$29</f>
        <v>0</v>
      </c>
      <c r="AN162" s="216">
        <f>SUM($I151:AN151)*$E$29</f>
        <v>0</v>
      </c>
      <c r="AO162" s="216">
        <f>SUM($I151:AO151)*$E$29</f>
        <v>0</v>
      </c>
      <c r="AP162" s="216">
        <f>SUM($I151:AP151)*$E$29</f>
        <v>0</v>
      </c>
      <c r="AQ162" s="216">
        <f>SUM($I151:AQ151)*$E$29</f>
        <v>0</v>
      </c>
      <c r="AR162" s="216">
        <f>SUM($I151:AR151)*$E$29</f>
        <v>0</v>
      </c>
      <c r="AS162" s="216">
        <f>SUM($I151:AS151)*$E$29</f>
        <v>0</v>
      </c>
      <c r="AT162" s="216">
        <f>SUM($I151:AT151)*$E$29</f>
        <v>0</v>
      </c>
      <c r="AU162" s="216">
        <f>SUM($I151:AU151)*$E$29</f>
        <v>0</v>
      </c>
      <c r="AV162" s="216">
        <f>SUM($I151:AV151)*$E$29</f>
        <v>0</v>
      </c>
      <c r="AW162" s="216">
        <f>SUM($I151:AW151)*$E$29</f>
        <v>0</v>
      </c>
      <c r="AX162" s="216">
        <f>SUM($I151:AX151)*$E$29</f>
        <v>0</v>
      </c>
      <c r="AY162" s="216">
        <f>SUM($I151:AY151)*$E$29</f>
        <v>366.52628564725165</v>
      </c>
      <c r="AZ162" s="216">
        <f>SUM($I151:AZ151)*$E$29</f>
        <v>1462.0894039028992</v>
      </c>
      <c r="BA162" s="216">
        <f>SUM($I151:BA151)*$E$29</f>
        <v>3274.6861359820118</v>
      </c>
      <c r="BB162" s="216">
        <f>SUM($I151:BB151)*$E$29</f>
        <v>5784.4572927776799</v>
      </c>
      <c r="BC162" s="216">
        <f>SUM($I151:BC151)*$E$29</f>
        <v>8963.9052962926708</v>
      </c>
      <c r="BD162" s="216">
        <f>SUM($I151:BD151)*$E$29</f>
        <v>12778.195448858203</v>
      </c>
      <c r="BE162" s="216">
        <f>SUM($I151:BE151)*$E$29</f>
        <v>17185.537589371244</v>
      </c>
      <c r="BF162" s="216">
        <f>SUM($I151:BF151)*$E$29</f>
        <v>22137.643955044692</v>
      </c>
      <c r="BG162" s="216">
        <f>SUM($I151:BG151)*$E$29</f>
        <v>27580.258232241355</v>
      </c>
      <c r="BH162" s="216">
        <f>SUM($I151:BH151)*$E$29</f>
        <v>33453.75</v>
      </c>
      <c r="BI162" s="216">
        <f>SUM($I151:BI151)*$E$29</f>
        <v>39693.768053405904</v>
      </c>
      <c r="BJ162" s="216">
        <f>SUM($I151:BJ151)*$E$29</f>
        <v>46231.945448858212</v>
      </c>
      <c r="BK162" s="216">
        <f>SUM($I151:BK151)*$E$29</f>
        <v>52996.64854661077</v>
      </c>
      <c r="BL162" s="216">
        <f>SUM($I151:BL151)*$E$29</f>
        <v>59913.761843919478</v>
      </c>
      <c r="BM162" s="216">
        <f>SUM($I151:BM151)*$E$29</f>
        <v>66907.5</v>
      </c>
      <c r="BN162" s="216">
        <f>SUM($I151:BN151)*$E$29</f>
        <v>73901.238156080522</v>
      </c>
      <c r="BO162" s="216">
        <f>SUM($I151:BO151)*$E$29</f>
        <v>80818.35145338923</v>
      </c>
      <c r="BP162" s="216">
        <f>SUM($I151:BP151)*$E$29</f>
        <v>87583.054551141802</v>
      </c>
      <c r="BQ162" s="216">
        <f>SUM($I151:BQ151)*$E$29</f>
        <v>94121.231946594096</v>
      </c>
      <c r="BR162" s="216">
        <f>SUM($I151:BR151)*$E$29</f>
        <v>100361.25</v>
      </c>
      <c r="BS162" s="216">
        <f>SUM($I151:BS151)*$E$29</f>
        <v>106234.74176775865</v>
      </c>
      <c r="BT162" s="216">
        <f>SUM($I151:BT151)*$E$29</f>
        <v>111677.3560449553</v>
      </c>
      <c r="BU162" s="216">
        <f>SUM($I151:BU151)*$E$29</f>
        <v>116629.46241062875</v>
      </c>
      <c r="BV162" s="216">
        <f>SUM($I151:BV151)*$E$29</f>
        <v>121036.8045511418</v>
      </c>
      <c r="BW162" s="216">
        <f>SUM($I151:BW151)*$E$29</f>
        <v>124851.09470370732</v>
      </c>
      <c r="BX162" s="216">
        <f>SUM($I151:BX151)*$E$29</f>
        <v>128030.54270722231</v>
      </c>
      <c r="BY162" s="216">
        <f>SUM($I151:BY151)*$E$29</f>
        <v>130540.31386401798</v>
      </c>
      <c r="BZ162" s="216">
        <f>SUM($I151:BZ151)*$E$29</f>
        <v>132352.91059609709</v>
      </c>
      <c r="CA162" s="216">
        <f>SUM($I151:CA151)*$E$29</f>
        <v>133448.47371435273</v>
      </c>
      <c r="CB162" s="216">
        <f>SUM($I151:CB151)*$E$29</f>
        <v>133814.99999999997</v>
      </c>
      <c r="CC162" s="216">
        <f>SUM($I151:CC151)*$E$29</f>
        <v>133814.99999999997</v>
      </c>
      <c r="CD162" s="216">
        <f>SUM($I151:CD151)*$E$29</f>
        <v>133814.99999999997</v>
      </c>
      <c r="CE162" s="216">
        <f>SUM($I151:CE151)*$E$29</f>
        <v>133814.99999999997</v>
      </c>
      <c r="CF162" s="216">
        <f>SUM($I151:CF151)*$E$29</f>
        <v>133814.99999999997</v>
      </c>
      <c r="CG162" s="216">
        <f>SUM($I151:CG151)*$E$29</f>
        <v>133814.99999999997</v>
      </c>
      <c r="CH162" s="216">
        <f>SUM($I151:CH151)*$E$29</f>
        <v>133814.99999999997</v>
      </c>
      <c r="CI162" s="216">
        <f>SUM($I151:CI151)*$E$29</f>
        <v>133814.99999999997</v>
      </c>
      <c r="CJ162" s="216">
        <f>SUM($I151:CJ151)*$E$29</f>
        <v>133814.99999999997</v>
      </c>
      <c r="CK162" s="216">
        <f>SUM($I151:CK151)*$E$29</f>
        <v>133814.99999999997</v>
      </c>
      <c r="CL162" s="216">
        <f>SUM($I151:CL151)*$E$29</f>
        <v>133814.99999999997</v>
      </c>
      <c r="CM162" s="216">
        <f>SUM($I151:CM151)*$E$29</f>
        <v>133814.99999999997</v>
      </c>
      <c r="CN162" s="216">
        <f>SUM($I151:CN151)*$E$29</f>
        <v>133814.99999999997</v>
      </c>
      <c r="CO162" s="216">
        <f>SUM($I151:CO151)*$E$29</f>
        <v>133814.99999999997</v>
      </c>
      <c r="CP162" s="216">
        <f>SUM($I151:CP151)*$E$29</f>
        <v>133814.99999999997</v>
      </c>
      <c r="CQ162" s="216">
        <f>SUM($I151:CQ151)*$E$29</f>
        <v>133814.99999999997</v>
      </c>
      <c r="CR162" s="216">
        <f>SUM($I151:CR151)*$E$29</f>
        <v>133814.99999999997</v>
      </c>
      <c r="CS162" s="216">
        <f>SUM($I151:CS151)*$E$29</f>
        <v>133814.99999999997</v>
      </c>
      <c r="CT162" s="216">
        <f>SUM($I151:CT151)*$E$29</f>
        <v>133814.99999999997</v>
      </c>
      <c r="CU162" s="216">
        <f>SUM($I151:CU151)*$E$29</f>
        <v>133814.99999999997</v>
      </c>
      <c r="CV162" s="216">
        <f>SUM($I151:CV151)*$E$29</f>
        <v>133814.99999999997</v>
      </c>
      <c r="CW162" s="216">
        <f>SUM($I151:CW151)*$E$29</f>
        <v>133814.99999999997</v>
      </c>
      <c r="CX162" s="216">
        <f>SUM($I151:CX151)*$E$29</f>
        <v>133814.99999999997</v>
      </c>
      <c r="CY162" s="216">
        <f>SUM($I151:CY151)*$E$29</f>
        <v>133814.99999999997</v>
      </c>
      <c r="CZ162" s="216">
        <f>SUM($I151:CZ151)*$E$29</f>
        <v>133814.99999999997</v>
      </c>
      <c r="DA162" s="216">
        <f>SUM($I151:DA151)*$E$29</f>
        <v>133814.99999999997</v>
      </c>
      <c r="DB162" s="216">
        <f>SUM($I151:DB151)*$E$29</f>
        <v>133814.99999999997</v>
      </c>
      <c r="DC162" s="216">
        <f>SUM($I151:DC151)*$E$29</f>
        <v>133814.99999999997</v>
      </c>
      <c r="DD162" s="216">
        <f>SUM($I151:DD151)*$E$29</f>
        <v>133814.99999999997</v>
      </c>
      <c r="DE162" s="216">
        <f>SUM($I151:DE151)*$E$29</f>
        <v>133814.99999999997</v>
      </c>
      <c r="DF162" s="216">
        <f>SUM($I151:DF151)*$E$29</f>
        <v>133814.99999999997</v>
      </c>
      <c r="DG162" s="216">
        <f>SUM($I151:DG151)*$E$29</f>
        <v>133814.99999999997</v>
      </c>
      <c r="DH162" s="216">
        <f>SUM($I151:DH151)*$E$29</f>
        <v>133814.99999999997</v>
      </c>
      <c r="DI162" s="216">
        <f>SUM($I151:DI151)*$E$29</f>
        <v>133814.99999999997</v>
      </c>
      <c r="DJ162" s="216">
        <f>SUM($I151:DJ151)*$E$29</f>
        <v>133814.99999999997</v>
      </c>
      <c r="DK162" s="216">
        <f>SUM($I151:DK151)*$E$29</f>
        <v>133814.99999999997</v>
      </c>
      <c r="DL162" s="216">
        <f>SUM($I151:DL151)*$E$29</f>
        <v>133814.99999999997</v>
      </c>
      <c r="DM162" s="216">
        <f>SUM($I151:DM151)*$E$29</f>
        <v>133814.99999999997</v>
      </c>
      <c r="DN162" s="216">
        <f>SUM($I151:DN151)*$E$29</f>
        <v>133814.99999999997</v>
      </c>
      <c r="DO162" s="216">
        <f>SUM($I151:DO151)*$E$29</f>
        <v>133814.99999999997</v>
      </c>
      <c r="DP162" s="216">
        <f>SUM($I151:DP151)*$E$29</f>
        <v>133814.99999999997</v>
      </c>
      <c r="DQ162" s="216">
        <f>SUM($I151:DQ151)*$E$29</f>
        <v>133814.99999999997</v>
      </c>
      <c r="DR162" s="216">
        <f>SUM($I151:DR151)*$E$29</f>
        <v>133814.99999999997</v>
      </c>
      <c r="DS162" s="216">
        <f>SUM($I151:DS151)*$E$29</f>
        <v>133814.99999999997</v>
      </c>
      <c r="DT162" s="216">
        <f>SUM($I151:DT151)*$E$29</f>
        <v>133814.99999999997</v>
      </c>
      <c r="DU162" s="216">
        <f>SUM($I151:DU151)*$E$29</f>
        <v>133814.99999999997</v>
      </c>
      <c r="DV162" s="216">
        <f>SUM($I151:DV151)*$E$29</f>
        <v>133814.99999999997</v>
      </c>
      <c r="DW162" s="216">
        <f>SUM($I151:DW151)*$E$29</f>
        <v>133814.99999999997</v>
      </c>
      <c r="DX162" s="216">
        <f>SUM($I151:DX151)*$E$29</f>
        <v>133814.99999999997</v>
      </c>
      <c r="DY162" s="216">
        <f>SUM($I151:DY151)*$E$29</f>
        <v>133814.99999999997</v>
      </c>
      <c r="DZ162" s="216">
        <f>SUM($I151:DZ151)*$E$29</f>
        <v>133814.99999999997</v>
      </c>
      <c r="EA162" s="216">
        <f>SUM($I151:EA151)*$E$29</f>
        <v>133814.99999999997</v>
      </c>
      <c r="EB162" s="216">
        <f>SUM($I151:EB151)*$E$29</f>
        <v>133814.99999999997</v>
      </c>
      <c r="EC162" s="216">
        <f>SUM($I151:EC151)*$E$29</f>
        <v>133814.99999999997</v>
      </c>
      <c r="ED162" s="216">
        <f>SUM($I151:ED151)*$E$29</f>
        <v>133814.99999999997</v>
      </c>
      <c r="EE162" s="216">
        <f>SUM($I151:EE151)*$E$29</f>
        <v>133814.99999999997</v>
      </c>
      <c r="EF162" s="216">
        <f>SUM($I151:EF151)*$E$29</f>
        <v>133814.99999999997</v>
      </c>
      <c r="EG162" s="216">
        <f>SUM($I151:EG151)*$E$29</f>
        <v>133814.99999999997</v>
      </c>
      <c r="EH162" s="216">
        <f>SUM($I151:EH151)*$E$29</f>
        <v>133814.99999999997</v>
      </c>
      <c r="EI162" s="216">
        <f>SUM($I151:EI151)*$E$29</f>
        <v>133814.99999999997</v>
      </c>
      <c r="EJ162" s="216">
        <f>SUM($I151:EJ151)*$E$29</f>
        <v>133814.99999999997</v>
      </c>
      <c r="EK162" s="216">
        <f>SUM($I151:EK151)*$E$29</f>
        <v>133814.99999999997</v>
      </c>
      <c r="EL162" s="216">
        <f>SUM($I151:EL151)*$E$29</f>
        <v>133814.99999999997</v>
      </c>
      <c r="EM162" s="216">
        <f>SUM($I151:EM151)*$E$29</f>
        <v>133814.99999999997</v>
      </c>
      <c r="EN162" s="216">
        <f>SUM($I151:EN151)*$E$29</f>
        <v>133814.99999999997</v>
      </c>
      <c r="EO162" s="216">
        <f>SUM($I151:EO151)*$E$29</f>
        <v>133814.99999999997</v>
      </c>
      <c r="EP162" s="216">
        <f>SUM($I151:EP151)*$E$29</f>
        <v>133814.99999999997</v>
      </c>
      <c r="EQ162" s="216">
        <f>SUM($I151:EQ151)*$E$29</f>
        <v>133814.99999999997</v>
      </c>
      <c r="ER162" s="216">
        <f>SUM($I151:ER151)*$E$29</f>
        <v>133814.99999999997</v>
      </c>
      <c r="ES162" s="216">
        <f>SUM($I151:ES151)*$E$29</f>
        <v>133814.99999999997</v>
      </c>
      <c r="ET162" s="216">
        <f>SUM($I151:ET151)*$E$29</f>
        <v>133814.99999999997</v>
      </c>
      <c r="EU162" s="216">
        <f>SUM($I151:EU151)*$E$29</f>
        <v>133814.99999999997</v>
      </c>
      <c r="EV162" s="216">
        <f>SUM($I151:EV151)*$E$29</f>
        <v>133814.99999999997</v>
      </c>
      <c r="EW162" s="216">
        <f>SUM($I151:EW151)*$E$29</f>
        <v>133814.99999999997</v>
      </c>
      <c r="EX162" s="216">
        <f>SUM($I151:EX151)*$E$29</f>
        <v>133814.99999999997</v>
      </c>
      <c r="EY162" s="216">
        <f>SUM($I151:EY151)*$E$29</f>
        <v>133814.99999999997</v>
      </c>
      <c r="EZ162" s="216">
        <f>SUM($I151:EZ151)*$E$29</f>
        <v>133814.99999999997</v>
      </c>
      <c r="FA162" s="216">
        <f>SUM($I151:FA151)*$E$29</f>
        <v>133814.99999999997</v>
      </c>
      <c r="FB162" s="216">
        <f>SUM($I151:FB151)*$E$29</f>
        <v>133814.99999999997</v>
      </c>
      <c r="FC162" s="216">
        <f>SUM($I151:FC151)*$E$29</f>
        <v>133814.99999999997</v>
      </c>
      <c r="FD162" s="216">
        <f>SUM($I151:FD151)*$E$29</f>
        <v>133814.99999999997</v>
      </c>
      <c r="FE162" s="216">
        <f>SUM($I151:FE151)*$E$29</f>
        <v>133814.99999999997</v>
      </c>
      <c r="FF162" s="216">
        <f>SUM($I151:FF151)*$E$29</f>
        <v>133814.99999999997</v>
      </c>
      <c r="FG162" s="216">
        <f>SUM($I151:FG151)*$E$29</f>
        <v>133814.99999999997</v>
      </c>
      <c r="FH162" s="216">
        <f>SUM($I151:FH151)*$E$29</f>
        <v>133814.99999999997</v>
      </c>
    </row>
    <row r="163" spans="1:164" x14ac:dyDescent="0.2">
      <c r="A163" s="10"/>
      <c r="B163" s="10"/>
      <c r="C163" s="201" t="s">
        <v>765</v>
      </c>
      <c r="D163" s="194"/>
      <c r="E163" s="194"/>
      <c r="F163" s="194"/>
      <c r="G163" s="194"/>
      <c r="H163" s="216"/>
      <c r="I163" s="216">
        <f t="shared" ref="I163:AN163" si="300">IF(I$6&lt;$E$76,MAX(0,I162-(1-$E$74)*$E$29),0)</f>
        <v>0</v>
      </c>
      <c r="J163" s="216">
        <f t="shared" si="300"/>
        <v>0</v>
      </c>
      <c r="K163" s="216">
        <f t="shared" si="300"/>
        <v>0</v>
      </c>
      <c r="L163" s="216">
        <f t="shared" si="300"/>
        <v>0</v>
      </c>
      <c r="M163" s="216">
        <f t="shared" si="300"/>
        <v>0</v>
      </c>
      <c r="N163" s="216">
        <f t="shared" si="300"/>
        <v>0</v>
      </c>
      <c r="O163" s="216">
        <f t="shared" si="300"/>
        <v>0</v>
      </c>
      <c r="P163" s="216">
        <f t="shared" si="300"/>
        <v>0</v>
      </c>
      <c r="Q163" s="216">
        <f t="shared" si="300"/>
        <v>0</v>
      </c>
      <c r="R163" s="216">
        <f t="shared" si="300"/>
        <v>0</v>
      </c>
      <c r="S163" s="216">
        <f t="shared" si="300"/>
        <v>0</v>
      </c>
      <c r="T163" s="216">
        <f t="shared" si="300"/>
        <v>0</v>
      </c>
      <c r="U163" s="216">
        <f t="shared" si="300"/>
        <v>0</v>
      </c>
      <c r="V163" s="216">
        <f t="shared" si="300"/>
        <v>0</v>
      </c>
      <c r="W163" s="216">
        <f t="shared" si="300"/>
        <v>0</v>
      </c>
      <c r="X163" s="216">
        <f t="shared" si="300"/>
        <v>0</v>
      </c>
      <c r="Y163" s="216">
        <f t="shared" si="300"/>
        <v>0</v>
      </c>
      <c r="Z163" s="216">
        <f t="shared" si="300"/>
        <v>0</v>
      </c>
      <c r="AA163" s="216">
        <f t="shared" si="300"/>
        <v>0</v>
      </c>
      <c r="AB163" s="216">
        <f t="shared" si="300"/>
        <v>0</v>
      </c>
      <c r="AC163" s="216">
        <f t="shared" si="300"/>
        <v>0</v>
      </c>
      <c r="AD163" s="216">
        <f t="shared" si="300"/>
        <v>0</v>
      </c>
      <c r="AE163" s="216">
        <f t="shared" si="300"/>
        <v>0</v>
      </c>
      <c r="AF163" s="216">
        <f t="shared" si="300"/>
        <v>0</v>
      </c>
      <c r="AG163" s="216">
        <f t="shared" si="300"/>
        <v>0</v>
      </c>
      <c r="AH163" s="216">
        <f t="shared" si="300"/>
        <v>0</v>
      </c>
      <c r="AI163" s="216">
        <f t="shared" si="300"/>
        <v>0</v>
      </c>
      <c r="AJ163" s="216">
        <f t="shared" si="300"/>
        <v>0</v>
      </c>
      <c r="AK163" s="216">
        <f t="shared" si="300"/>
        <v>0</v>
      </c>
      <c r="AL163" s="216">
        <f t="shared" si="300"/>
        <v>0</v>
      </c>
      <c r="AM163" s="216">
        <f t="shared" si="300"/>
        <v>0</v>
      </c>
      <c r="AN163" s="216">
        <f t="shared" si="300"/>
        <v>0</v>
      </c>
      <c r="AO163" s="216">
        <f t="shared" ref="AO163:BT163" si="301">IF(AO$6&lt;$E$76,MAX(0,AO162-(1-$E$74)*$E$29),0)</f>
        <v>0</v>
      </c>
      <c r="AP163" s="216">
        <f t="shared" si="301"/>
        <v>0</v>
      </c>
      <c r="AQ163" s="216">
        <f t="shared" si="301"/>
        <v>0</v>
      </c>
      <c r="AR163" s="216">
        <f t="shared" si="301"/>
        <v>0</v>
      </c>
      <c r="AS163" s="216">
        <f t="shared" si="301"/>
        <v>0</v>
      </c>
      <c r="AT163" s="216">
        <f t="shared" si="301"/>
        <v>0</v>
      </c>
      <c r="AU163" s="216">
        <f t="shared" si="301"/>
        <v>0</v>
      </c>
      <c r="AV163" s="216">
        <f t="shared" si="301"/>
        <v>0</v>
      </c>
      <c r="AW163" s="216">
        <f t="shared" si="301"/>
        <v>0</v>
      </c>
      <c r="AX163" s="216">
        <f t="shared" si="301"/>
        <v>0</v>
      </c>
      <c r="AY163" s="216">
        <f t="shared" si="301"/>
        <v>0</v>
      </c>
      <c r="AZ163" s="216">
        <f t="shared" si="301"/>
        <v>0</v>
      </c>
      <c r="BA163" s="216">
        <f t="shared" si="301"/>
        <v>0</v>
      </c>
      <c r="BB163" s="216">
        <f t="shared" si="301"/>
        <v>0</v>
      </c>
      <c r="BC163" s="216">
        <f t="shared" si="301"/>
        <v>0</v>
      </c>
      <c r="BD163" s="216">
        <f t="shared" si="301"/>
        <v>0</v>
      </c>
      <c r="BE163" s="216">
        <f t="shared" si="301"/>
        <v>0</v>
      </c>
      <c r="BF163" s="216">
        <f t="shared" si="301"/>
        <v>0</v>
      </c>
      <c r="BG163" s="216">
        <f t="shared" si="301"/>
        <v>0</v>
      </c>
      <c r="BH163" s="216">
        <f t="shared" si="301"/>
        <v>0</v>
      </c>
      <c r="BI163" s="216">
        <f t="shared" si="301"/>
        <v>0</v>
      </c>
      <c r="BJ163" s="216">
        <f t="shared" si="301"/>
        <v>0</v>
      </c>
      <c r="BK163" s="216">
        <f t="shared" si="301"/>
        <v>0</v>
      </c>
      <c r="BL163" s="216">
        <f t="shared" si="301"/>
        <v>6387.7618439194775</v>
      </c>
      <c r="BM163" s="216">
        <f t="shared" si="301"/>
        <v>13381.5</v>
      </c>
      <c r="BN163" s="216">
        <f t="shared" si="301"/>
        <v>20375.238156080522</v>
      </c>
      <c r="BO163" s="216">
        <f t="shared" si="301"/>
        <v>27292.35145338923</v>
      </c>
      <c r="BP163" s="216">
        <f t="shared" si="301"/>
        <v>34057.054551141802</v>
      </c>
      <c r="BQ163" s="216">
        <f t="shared" si="301"/>
        <v>40595.231946594096</v>
      </c>
      <c r="BR163" s="216">
        <f t="shared" si="301"/>
        <v>46835.25</v>
      </c>
      <c r="BS163" s="216">
        <f t="shared" si="301"/>
        <v>52708.741767758649</v>
      </c>
      <c r="BT163" s="216">
        <f t="shared" si="301"/>
        <v>58151.356044955304</v>
      </c>
      <c r="BU163" s="216">
        <f t="shared" ref="BU163:CZ163" si="302">IF(BU$6&lt;$E$76,MAX(0,BU162-(1-$E$74)*$E$29),0)</f>
        <v>63103.462410628752</v>
      </c>
      <c r="BV163" s="216">
        <f t="shared" si="302"/>
        <v>67510.804551141802</v>
      </c>
      <c r="BW163" s="216">
        <f t="shared" si="302"/>
        <v>71325.09470370732</v>
      </c>
      <c r="BX163" s="216">
        <f t="shared" si="302"/>
        <v>74504.54270722231</v>
      </c>
      <c r="BY163" s="216">
        <f t="shared" si="302"/>
        <v>77014.313864017982</v>
      </c>
      <c r="BZ163" s="216">
        <f t="shared" si="302"/>
        <v>78826.910596097092</v>
      </c>
      <c r="CA163" s="216">
        <f t="shared" si="302"/>
        <v>79922.473714352731</v>
      </c>
      <c r="CB163" s="216">
        <f t="shared" si="302"/>
        <v>80288.999999999971</v>
      </c>
      <c r="CC163" s="216">
        <f t="shared" si="302"/>
        <v>80288.999999999971</v>
      </c>
      <c r="CD163" s="216">
        <f t="shared" si="302"/>
        <v>80288.999999999971</v>
      </c>
      <c r="CE163" s="216">
        <f t="shared" si="302"/>
        <v>80288.999999999971</v>
      </c>
      <c r="CF163" s="216">
        <f t="shared" si="302"/>
        <v>80288.999999999971</v>
      </c>
      <c r="CG163" s="216">
        <f t="shared" si="302"/>
        <v>80288.999999999971</v>
      </c>
      <c r="CH163" s="216">
        <f t="shared" si="302"/>
        <v>80288.999999999971</v>
      </c>
      <c r="CI163" s="216">
        <f t="shared" si="302"/>
        <v>80288.999999999971</v>
      </c>
      <c r="CJ163" s="216">
        <f t="shared" si="302"/>
        <v>80288.999999999971</v>
      </c>
      <c r="CK163" s="216">
        <f t="shared" si="302"/>
        <v>80288.999999999971</v>
      </c>
      <c r="CL163" s="216">
        <f t="shared" si="302"/>
        <v>80288.999999999971</v>
      </c>
      <c r="CM163" s="216">
        <f t="shared" si="302"/>
        <v>80288.999999999971</v>
      </c>
      <c r="CN163" s="216">
        <f t="shared" si="302"/>
        <v>0</v>
      </c>
      <c r="CO163" s="216">
        <f t="shared" si="302"/>
        <v>0</v>
      </c>
      <c r="CP163" s="216">
        <f t="shared" si="302"/>
        <v>0</v>
      </c>
      <c r="CQ163" s="216">
        <f t="shared" si="302"/>
        <v>0</v>
      </c>
      <c r="CR163" s="216">
        <f t="shared" si="302"/>
        <v>0</v>
      </c>
      <c r="CS163" s="216">
        <f t="shared" si="302"/>
        <v>0</v>
      </c>
      <c r="CT163" s="216">
        <f t="shared" si="302"/>
        <v>0</v>
      </c>
      <c r="CU163" s="216">
        <f t="shared" si="302"/>
        <v>0</v>
      </c>
      <c r="CV163" s="216">
        <f t="shared" si="302"/>
        <v>0</v>
      </c>
      <c r="CW163" s="216">
        <f t="shared" si="302"/>
        <v>0</v>
      </c>
      <c r="CX163" s="216">
        <f t="shared" si="302"/>
        <v>0</v>
      </c>
      <c r="CY163" s="216">
        <f t="shared" si="302"/>
        <v>0</v>
      </c>
      <c r="CZ163" s="216">
        <f t="shared" si="302"/>
        <v>0</v>
      </c>
      <c r="DA163" s="216">
        <f t="shared" ref="DA163:EF163" si="303">IF(DA$6&lt;$E$76,MAX(0,DA162-(1-$E$74)*$E$29),0)</f>
        <v>0</v>
      </c>
      <c r="DB163" s="216">
        <f t="shared" si="303"/>
        <v>0</v>
      </c>
      <c r="DC163" s="216">
        <f t="shared" si="303"/>
        <v>0</v>
      </c>
      <c r="DD163" s="216">
        <f t="shared" si="303"/>
        <v>0</v>
      </c>
      <c r="DE163" s="216">
        <f t="shared" si="303"/>
        <v>0</v>
      </c>
      <c r="DF163" s="216">
        <f t="shared" si="303"/>
        <v>0</v>
      </c>
      <c r="DG163" s="216">
        <f t="shared" si="303"/>
        <v>0</v>
      </c>
      <c r="DH163" s="216">
        <f t="shared" si="303"/>
        <v>0</v>
      </c>
      <c r="DI163" s="216">
        <f t="shared" si="303"/>
        <v>0</v>
      </c>
      <c r="DJ163" s="216">
        <f t="shared" si="303"/>
        <v>0</v>
      </c>
      <c r="DK163" s="216">
        <f t="shared" si="303"/>
        <v>0</v>
      </c>
      <c r="DL163" s="216">
        <f t="shared" si="303"/>
        <v>0</v>
      </c>
      <c r="DM163" s="216">
        <f t="shared" si="303"/>
        <v>0</v>
      </c>
      <c r="DN163" s="216">
        <f t="shared" si="303"/>
        <v>0</v>
      </c>
      <c r="DO163" s="216">
        <f t="shared" si="303"/>
        <v>0</v>
      </c>
      <c r="DP163" s="216">
        <f t="shared" si="303"/>
        <v>0</v>
      </c>
      <c r="DQ163" s="216">
        <f t="shared" si="303"/>
        <v>0</v>
      </c>
      <c r="DR163" s="216">
        <f t="shared" si="303"/>
        <v>0</v>
      </c>
      <c r="DS163" s="216">
        <f t="shared" si="303"/>
        <v>0</v>
      </c>
      <c r="DT163" s="216">
        <f t="shared" si="303"/>
        <v>0</v>
      </c>
      <c r="DU163" s="216">
        <f t="shared" si="303"/>
        <v>0</v>
      </c>
      <c r="DV163" s="216">
        <f t="shared" si="303"/>
        <v>0</v>
      </c>
      <c r="DW163" s="216">
        <f t="shared" si="303"/>
        <v>0</v>
      </c>
      <c r="DX163" s="216">
        <f t="shared" si="303"/>
        <v>0</v>
      </c>
      <c r="DY163" s="216">
        <f t="shared" si="303"/>
        <v>0</v>
      </c>
      <c r="DZ163" s="216">
        <f t="shared" si="303"/>
        <v>0</v>
      </c>
      <c r="EA163" s="216">
        <f t="shared" si="303"/>
        <v>0</v>
      </c>
      <c r="EB163" s="216">
        <f t="shared" si="303"/>
        <v>0</v>
      </c>
      <c r="EC163" s="216">
        <f t="shared" si="303"/>
        <v>0</v>
      </c>
      <c r="ED163" s="216">
        <f t="shared" si="303"/>
        <v>0</v>
      </c>
      <c r="EE163" s="216">
        <f t="shared" si="303"/>
        <v>0</v>
      </c>
      <c r="EF163" s="216">
        <f t="shared" si="303"/>
        <v>0</v>
      </c>
      <c r="EG163" s="216">
        <f t="shared" ref="EG163:FH163" si="304">IF(EG$6&lt;$E$76,MAX(0,EG162-(1-$E$74)*$E$29),0)</f>
        <v>0</v>
      </c>
      <c r="EH163" s="216">
        <f t="shared" si="304"/>
        <v>0</v>
      </c>
      <c r="EI163" s="216">
        <f t="shared" si="304"/>
        <v>0</v>
      </c>
      <c r="EJ163" s="216">
        <f t="shared" si="304"/>
        <v>0</v>
      </c>
      <c r="EK163" s="216">
        <f t="shared" si="304"/>
        <v>0</v>
      </c>
      <c r="EL163" s="216">
        <f t="shared" si="304"/>
        <v>0</v>
      </c>
      <c r="EM163" s="216">
        <f t="shared" si="304"/>
        <v>0</v>
      </c>
      <c r="EN163" s="216">
        <f t="shared" si="304"/>
        <v>0</v>
      </c>
      <c r="EO163" s="216">
        <f t="shared" si="304"/>
        <v>0</v>
      </c>
      <c r="EP163" s="216">
        <f t="shared" si="304"/>
        <v>0</v>
      </c>
      <c r="EQ163" s="216">
        <f t="shared" si="304"/>
        <v>0</v>
      </c>
      <c r="ER163" s="216">
        <f t="shared" si="304"/>
        <v>0</v>
      </c>
      <c r="ES163" s="216">
        <f t="shared" si="304"/>
        <v>0</v>
      </c>
      <c r="ET163" s="216">
        <f t="shared" si="304"/>
        <v>0</v>
      </c>
      <c r="EU163" s="216">
        <f t="shared" si="304"/>
        <v>0</v>
      </c>
      <c r="EV163" s="216">
        <f t="shared" si="304"/>
        <v>0</v>
      </c>
      <c r="EW163" s="216">
        <f t="shared" si="304"/>
        <v>0</v>
      </c>
      <c r="EX163" s="216">
        <f t="shared" si="304"/>
        <v>0</v>
      </c>
      <c r="EY163" s="216">
        <f t="shared" si="304"/>
        <v>0</v>
      </c>
      <c r="EZ163" s="216">
        <f t="shared" si="304"/>
        <v>0</v>
      </c>
      <c r="FA163" s="216">
        <f t="shared" si="304"/>
        <v>0</v>
      </c>
      <c r="FB163" s="216">
        <f t="shared" si="304"/>
        <v>0</v>
      </c>
      <c r="FC163" s="216">
        <f t="shared" si="304"/>
        <v>0</v>
      </c>
      <c r="FD163" s="216">
        <f t="shared" si="304"/>
        <v>0</v>
      </c>
      <c r="FE163" s="216">
        <f t="shared" si="304"/>
        <v>0</v>
      </c>
      <c r="FF163" s="216">
        <f t="shared" si="304"/>
        <v>0</v>
      </c>
      <c r="FG163" s="216">
        <f t="shared" si="304"/>
        <v>0</v>
      </c>
      <c r="FH163" s="216">
        <f t="shared" si="304"/>
        <v>0</v>
      </c>
    </row>
    <row r="164" spans="1:164" x14ac:dyDescent="0.2">
      <c r="A164" s="10"/>
      <c r="B164" s="10"/>
      <c r="C164" s="10" t="s">
        <v>766</v>
      </c>
      <c r="D164" s="10"/>
      <c r="E164" s="10"/>
      <c r="F164" s="10"/>
      <c r="G164" s="10"/>
      <c r="H164" s="12"/>
      <c r="I164" s="12">
        <f>0</f>
        <v>0</v>
      </c>
      <c r="J164" s="12">
        <f t="shared" ref="J164:AO164" si="305">I168</f>
        <v>0</v>
      </c>
      <c r="K164" s="12">
        <f t="shared" si="305"/>
        <v>0</v>
      </c>
      <c r="L164" s="12">
        <f t="shared" si="305"/>
        <v>0</v>
      </c>
      <c r="M164" s="12">
        <f t="shared" si="305"/>
        <v>0</v>
      </c>
      <c r="N164" s="12">
        <f t="shared" si="305"/>
        <v>0</v>
      </c>
      <c r="O164" s="12">
        <f t="shared" si="305"/>
        <v>0</v>
      </c>
      <c r="P164" s="12">
        <f t="shared" si="305"/>
        <v>0</v>
      </c>
      <c r="Q164" s="12">
        <f t="shared" si="305"/>
        <v>0</v>
      </c>
      <c r="R164" s="12">
        <f t="shared" si="305"/>
        <v>0</v>
      </c>
      <c r="S164" s="12">
        <f t="shared" si="305"/>
        <v>0</v>
      </c>
      <c r="T164" s="12">
        <f t="shared" si="305"/>
        <v>0</v>
      </c>
      <c r="U164" s="12">
        <f t="shared" si="305"/>
        <v>0</v>
      </c>
      <c r="V164" s="12">
        <f t="shared" si="305"/>
        <v>0</v>
      </c>
      <c r="W164" s="12">
        <f t="shared" si="305"/>
        <v>0</v>
      </c>
      <c r="X164" s="12">
        <f t="shared" si="305"/>
        <v>0</v>
      </c>
      <c r="Y164" s="12">
        <f t="shared" si="305"/>
        <v>0</v>
      </c>
      <c r="Z164" s="12">
        <f t="shared" si="305"/>
        <v>0</v>
      </c>
      <c r="AA164" s="12">
        <f t="shared" si="305"/>
        <v>0</v>
      </c>
      <c r="AB164" s="12">
        <f t="shared" si="305"/>
        <v>0</v>
      </c>
      <c r="AC164" s="12">
        <f t="shared" si="305"/>
        <v>0</v>
      </c>
      <c r="AD164" s="12">
        <f t="shared" si="305"/>
        <v>0</v>
      </c>
      <c r="AE164" s="12">
        <f t="shared" si="305"/>
        <v>0</v>
      </c>
      <c r="AF164" s="12">
        <f t="shared" si="305"/>
        <v>0</v>
      </c>
      <c r="AG164" s="12">
        <f t="shared" si="305"/>
        <v>0</v>
      </c>
      <c r="AH164" s="12">
        <f t="shared" si="305"/>
        <v>0</v>
      </c>
      <c r="AI164" s="12">
        <f t="shared" si="305"/>
        <v>0</v>
      </c>
      <c r="AJ164" s="12">
        <f t="shared" si="305"/>
        <v>0</v>
      </c>
      <c r="AK164" s="12">
        <f t="shared" si="305"/>
        <v>0</v>
      </c>
      <c r="AL164" s="12">
        <f t="shared" si="305"/>
        <v>0</v>
      </c>
      <c r="AM164" s="12">
        <f t="shared" si="305"/>
        <v>0</v>
      </c>
      <c r="AN164" s="12">
        <f t="shared" si="305"/>
        <v>0</v>
      </c>
      <c r="AO164" s="12">
        <f t="shared" si="305"/>
        <v>0</v>
      </c>
      <c r="AP164" s="12">
        <f t="shared" ref="AP164:BU164" si="306">AO168</f>
        <v>0</v>
      </c>
      <c r="AQ164" s="12">
        <f t="shared" si="306"/>
        <v>0</v>
      </c>
      <c r="AR164" s="12">
        <f t="shared" si="306"/>
        <v>0</v>
      </c>
      <c r="AS164" s="12">
        <f t="shared" si="306"/>
        <v>0</v>
      </c>
      <c r="AT164" s="12">
        <f t="shared" si="306"/>
        <v>0</v>
      </c>
      <c r="AU164" s="12">
        <f t="shared" si="306"/>
        <v>0</v>
      </c>
      <c r="AV164" s="12">
        <f t="shared" si="306"/>
        <v>0</v>
      </c>
      <c r="AW164" s="12">
        <f t="shared" si="306"/>
        <v>0</v>
      </c>
      <c r="AX164" s="12">
        <f t="shared" si="306"/>
        <v>0</v>
      </c>
      <c r="AY164" s="12">
        <f t="shared" si="306"/>
        <v>0</v>
      </c>
      <c r="AZ164" s="12">
        <f t="shared" si="306"/>
        <v>0</v>
      </c>
      <c r="BA164" s="12">
        <f t="shared" si="306"/>
        <v>0</v>
      </c>
      <c r="BB164" s="12">
        <f t="shared" si="306"/>
        <v>0</v>
      </c>
      <c r="BC164" s="12">
        <f t="shared" si="306"/>
        <v>0</v>
      </c>
      <c r="BD164" s="12">
        <f t="shared" si="306"/>
        <v>0</v>
      </c>
      <c r="BE164" s="12">
        <f t="shared" si="306"/>
        <v>0</v>
      </c>
      <c r="BF164" s="12">
        <f t="shared" si="306"/>
        <v>0</v>
      </c>
      <c r="BG164" s="12">
        <f t="shared" si="306"/>
        <v>0</v>
      </c>
      <c r="BH164" s="12">
        <f t="shared" si="306"/>
        <v>0</v>
      </c>
      <c r="BI164" s="12">
        <f t="shared" si="306"/>
        <v>0</v>
      </c>
      <c r="BJ164" s="12">
        <f t="shared" si="306"/>
        <v>0</v>
      </c>
      <c r="BK164" s="12">
        <f t="shared" si="306"/>
        <v>0</v>
      </c>
      <c r="BL164" s="12">
        <f t="shared" si="306"/>
        <v>0</v>
      </c>
      <c r="BM164" s="12">
        <f t="shared" si="306"/>
        <v>6387.7618439194775</v>
      </c>
      <c r="BN164" s="12">
        <f t="shared" si="306"/>
        <v>13381.5</v>
      </c>
      <c r="BO164" s="12">
        <f t="shared" si="306"/>
        <v>20375.238156080522</v>
      </c>
      <c r="BP164" s="12">
        <f t="shared" si="306"/>
        <v>27292.35145338923</v>
      </c>
      <c r="BQ164" s="12">
        <f t="shared" si="306"/>
        <v>34057.054551141802</v>
      </c>
      <c r="BR164" s="12">
        <f t="shared" si="306"/>
        <v>40595.231946594096</v>
      </c>
      <c r="BS164" s="12">
        <f t="shared" si="306"/>
        <v>46835.25</v>
      </c>
      <c r="BT164" s="12">
        <f t="shared" si="306"/>
        <v>52708.741767758649</v>
      </c>
      <c r="BU164" s="12">
        <f t="shared" si="306"/>
        <v>58151.356044955304</v>
      </c>
      <c r="BV164" s="12">
        <f t="shared" ref="BV164:DA164" si="307">BU168</f>
        <v>63103.462410628752</v>
      </c>
      <c r="BW164" s="12">
        <f t="shared" si="307"/>
        <v>67510.804551141802</v>
      </c>
      <c r="BX164" s="12">
        <f t="shared" si="307"/>
        <v>71325.09470370732</v>
      </c>
      <c r="BY164" s="12">
        <f t="shared" si="307"/>
        <v>74504.54270722231</v>
      </c>
      <c r="BZ164" s="12">
        <f t="shared" si="307"/>
        <v>77014.313864017982</v>
      </c>
      <c r="CA164" s="12">
        <f t="shared" si="307"/>
        <v>78826.910596097092</v>
      </c>
      <c r="CB164" s="12">
        <f t="shared" si="307"/>
        <v>79922.473714352731</v>
      </c>
      <c r="CC164" s="12">
        <f t="shared" si="307"/>
        <v>80288.999999999971</v>
      </c>
      <c r="CD164" s="12">
        <f t="shared" si="307"/>
        <v>80288.999999999971</v>
      </c>
      <c r="CE164" s="12">
        <f t="shared" si="307"/>
        <v>80288.999999999971</v>
      </c>
      <c r="CF164" s="12">
        <f t="shared" si="307"/>
        <v>80288.999999999971</v>
      </c>
      <c r="CG164" s="12">
        <f t="shared" si="307"/>
        <v>80288.999999999971</v>
      </c>
      <c r="CH164" s="12">
        <f t="shared" si="307"/>
        <v>80288.999999999971</v>
      </c>
      <c r="CI164" s="12">
        <f t="shared" si="307"/>
        <v>80288.999999999971</v>
      </c>
      <c r="CJ164" s="12">
        <f t="shared" si="307"/>
        <v>80288.999999999971</v>
      </c>
      <c r="CK164" s="12">
        <f t="shared" si="307"/>
        <v>80288.999999999971</v>
      </c>
      <c r="CL164" s="12">
        <f t="shared" si="307"/>
        <v>80288.999999999971</v>
      </c>
      <c r="CM164" s="12">
        <f t="shared" si="307"/>
        <v>80288.999999999971</v>
      </c>
      <c r="CN164" s="12">
        <f t="shared" si="307"/>
        <v>80288.999999999971</v>
      </c>
      <c r="CO164" s="12">
        <f t="shared" si="307"/>
        <v>0</v>
      </c>
      <c r="CP164" s="12">
        <f t="shared" si="307"/>
        <v>0</v>
      </c>
      <c r="CQ164" s="12">
        <f t="shared" si="307"/>
        <v>0</v>
      </c>
      <c r="CR164" s="12">
        <f t="shared" si="307"/>
        <v>0</v>
      </c>
      <c r="CS164" s="12">
        <f t="shared" si="307"/>
        <v>0</v>
      </c>
      <c r="CT164" s="12">
        <f t="shared" si="307"/>
        <v>0</v>
      </c>
      <c r="CU164" s="12">
        <f t="shared" si="307"/>
        <v>0</v>
      </c>
      <c r="CV164" s="12">
        <f t="shared" si="307"/>
        <v>0</v>
      </c>
      <c r="CW164" s="12">
        <f t="shared" si="307"/>
        <v>0</v>
      </c>
      <c r="CX164" s="12">
        <f t="shared" si="307"/>
        <v>0</v>
      </c>
      <c r="CY164" s="12">
        <f t="shared" si="307"/>
        <v>0</v>
      </c>
      <c r="CZ164" s="12">
        <f t="shared" si="307"/>
        <v>0</v>
      </c>
      <c r="DA164" s="12">
        <f t="shared" si="307"/>
        <v>0</v>
      </c>
      <c r="DB164" s="12">
        <f t="shared" ref="DB164:EG164" si="308">DA168</f>
        <v>0</v>
      </c>
      <c r="DC164" s="12">
        <f t="shared" si="308"/>
        <v>0</v>
      </c>
      <c r="DD164" s="12">
        <f t="shared" si="308"/>
        <v>0</v>
      </c>
      <c r="DE164" s="12">
        <f t="shared" si="308"/>
        <v>0</v>
      </c>
      <c r="DF164" s="12">
        <f t="shared" si="308"/>
        <v>0</v>
      </c>
      <c r="DG164" s="12">
        <f t="shared" si="308"/>
        <v>0</v>
      </c>
      <c r="DH164" s="12">
        <f t="shared" si="308"/>
        <v>0</v>
      </c>
      <c r="DI164" s="12">
        <f t="shared" si="308"/>
        <v>0</v>
      </c>
      <c r="DJ164" s="12">
        <f t="shared" si="308"/>
        <v>0</v>
      </c>
      <c r="DK164" s="12">
        <f t="shared" si="308"/>
        <v>0</v>
      </c>
      <c r="DL164" s="12">
        <f t="shared" si="308"/>
        <v>0</v>
      </c>
      <c r="DM164" s="12">
        <f t="shared" si="308"/>
        <v>0</v>
      </c>
      <c r="DN164" s="12">
        <f t="shared" si="308"/>
        <v>0</v>
      </c>
      <c r="DO164" s="12">
        <f t="shared" si="308"/>
        <v>0</v>
      </c>
      <c r="DP164" s="12">
        <f t="shared" si="308"/>
        <v>0</v>
      </c>
      <c r="DQ164" s="12">
        <f t="shared" si="308"/>
        <v>0</v>
      </c>
      <c r="DR164" s="12">
        <f t="shared" si="308"/>
        <v>0</v>
      </c>
      <c r="DS164" s="12">
        <f t="shared" si="308"/>
        <v>0</v>
      </c>
      <c r="DT164" s="12">
        <f t="shared" si="308"/>
        <v>0</v>
      </c>
      <c r="DU164" s="12">
        <f t="shared" si="308"/>
        <v>0</v>
      </c>
      <c r="DV164" s="12">
        <f t="shared" si="308"/>
        <v>0</v>
      </c>
      <c r="DW164" s="12">
        <f t="shared" si="308"/>
        <v>0</v>
      </c>
      <c r="DX164" s="12">
        <f t="shared" si="308"/>
        <v>0</v>
      </c>
      <c r="DY164" s="12">
        <f t="shared" si="308"/>
        <v>0</v>
      </c>
      <c r="DZ164" s="12">
        <f t="shared" si="308"/>
        <v>0</v>
      </c>
      <c r="EA164" s="12">
        <f t="shared" si="308"/>
        <v>0</v>
      </c>
      <c r="EB164" s="12">
        <f t="shared" si="308"/>
        <v>0</v>
      </c>
      <c r="EC164" s="12">
        <f t="shared" si="308"/>
        <v>0</v>
      </c>
      <c r="ED164" s="12">
        <f t="shared" si="308"/>
        <v>0</v>
      </c>
      <c r="EE164" s="12">
        <f t="shared" si="308"/>
        <v>0</v>
      </c>
      <c r="EF164" s="12">
        <f t="shared" si="308"/>
        <v>0</v>
      </c>
      <c r="EG164" s="12">
        <f t="shared" si="308"/>
        <v>0</v>
      </c>
      <c r="EH164" s="12">
        <f t="shared" ref="EH164:FH164" si="309">EG168</f>
        <v>0</v>
      </c>
      <c r="EI164" s="12">
        <f t="shared" si="309"/>
        <v>0</v>
      </c>
      <c r="EJ164" s="12">
        <f t="shared" si="309"/>
        <v>0</v>
      </c>
      <c r="EK164" s="12">
        <f t="shared" si="309"/>
        <v>0</v>
      </c>
      <c r="EL164" s="12">
        <f t="shared" si="309"/>
        <v>0</v>
      </c>
      <c r="EM164" s="12">
        <f t="shared" si="309"/>
        <v>0</v>
      </c>
      <c r="EN164" s="12">
        <f t="shared" si="309"/>
        <v>0</v>
      </c>
      <c r="EO164" s="12">
        <f t="shared" si="309"/>
        <v>0</v>
      </c>
      <c r="EP164" s="12">
        <f t="shared" si="309"/>
        <v>0</v>
      </c>
      <c r="EQ164" s="12">
        <f t="shared" si="309"/>
        <v>0</v>
      </c>
      <c r="ER164" s="12">
        <f t="shared" si="309"/>
        <v>0</v>
      </c>
      <c r="ES164" s="12">
        <f t="shared" si="309"/>
        <v>0</v>
      </c>
      <c r="ET164" s="12">
        <f t="shared" si="309"/>
        <v>0</v>
      </c>
      <c r="EU164" s="12">
        <f t="shared" si="309"/>
        <v>0</v>
      </c>
      <c r="EV164" s="12">
        <f t="shared" si="309"/>
        <v>0</v>
      </c>
      <c r="EW164" s="12">
        <f t="shared" si="309"/>
        <v>0</v>
      </c>
      <c r="EX164" s="12">
        <f t="shared" si="309"/>
        <v>0</v>
      </c>
      <c r="EY164" s="12">
        <f t="shared" si="309"/>
        <v>0</v>
      </c>
      <c r="EZ164" s="12">
        <f t="shared" si="309"/>
        <v>0</v>
      </c>
      <c r="FA164" s="12">
        <f t="shared" si="309"/>
        <v>0</v>
      </c>
      <c r="FB164" s="12">
        <f t="shared" si="309"/>
        <v>0</v>
      </c>
      <c r="FC164" s="12">
        <f t="shared" si="309"/>
        <v>0</v>
      </c>
      <c r="FD164" s="12">
        <f t="shared" si="309"/>
        <v>0</v>
      </c>
      <c r="FE164" s="12">
        <f t="shared" si="309"/>
        <v>0</v>
      </c>
      <c r="FF164" s="12">
        <f t="shared" si="309"/>
        <v>0</v>
      </c>
      <c r="FG164" s="12">
        <f t="shared" si="309"/>
        <v>0</v>
      </c>
      <c r="FH164" s="12">
        <f t="shared" si="309"/>
        <v>0</v>
      </c>
    </row>
    <row r="165" spans="1:164" x14ac:dyDescent="0.2">
      <c r="A165" s="10"/>
      <c r="B165" s="10"/>
      <c r="C165" s="10" t="s">
        <v>767</v>
      </c>
      <c r="D165" s="10"/>
      <c r="E165" s="10"/>
      <c r="F165" s="10"/>
      <c r="G165" s="10"/>
      <c r="H165" s="12">
        <f>SUM(I165:FH165)</f>
        <v>80288.999999999971</v>
      </c>
      <c r="I165" s="12">
        <f>MAX(0,I163)</f>
        <v>0</v>
      </c>
      <c r="J165" s="12">
        <f t="shared" ref="J165:AO165" si="310">MAX(0,J163-I163)</f>
        <v>0</v>
      </c>
      <c r="K165" s="12">
        <f t="shared" si="310"/>
        <v>0</v>
      </c>
      <c r="L165" s="12">
        <f t="shared" si="310"/>
        <v>0</v>
      </c>
      <c r="M165" s="12">
        <f t="shared" si="310"/>
        <v>0</v>
      </c>
      <c r="N165" s="12">
        <f t="shared" si="310"/>
        <v>0</v>
      </c>
      <c r="O165" s="12">
        <f t="shared" si="310"/>
        <v>0</v>
      </c>
      <c r="P165" s="12">
        <f t="shared" si="310"/>
        <v>0</v>
      </c>
      <c r="Q165" s="12">
        <f t="shared" si="310"/>
        <v>0</v>
      </c>
      <c r="R165" s="12">
        <f t="shared" si="310"/>
        <v>0</v>
      </c>
      <c r="S165" s="12">
        <f t="shared" si="310"/>
        <v>0</v>
      </c>
      <c r="T165" s="12">
        <f t="shared" si="310"/>
        <v>0</v>
      </c>
      <c r="U165" s="12">
        <f t="shared" si="310"/>
        <v>0</v>
      </c>
      <c r="V165" s="12">
        <f t="shared" si="310"/>
        <v>0</v>
      </c>
      <c r="W165" s="12">
        <f t="shared" si="310"/>
        <v>0</v>
      </c>
      <c r="X165" s="12">
        <f t="shared" si="310"/>
        <v>0</v>
      </c>
      <c r="Y165" s="12">
        <f t="shared" si="310"/>
        <v>0</v>
      </c>
      <c r="Z165" s="12">
        <f t="shared" si="310"/>
        <v>0</v>
      </c>
      <c r="AA165" s="12">
        <f t="shared" si="310"/>
        <v>0</v>
      </c>
      <c r="AB165" s="12">
        <f t="shared" si="310"/>
        <v>0</v>
      </c>
      <c r="AC165" s="12">
        <f t="shared" si="310"/>
        <v>0</v>
      </c>
      <c r="AD165" s="12">
        <f t="shared" si="310"/>
        <v>0</v>
      </c>
      <c r="AE165" s="12">
        <f t="shared" si="310"/>
        <v>0</v>
      </c>
      <c r="AF165" s="12">
        <f t="shared" si="310"/>
        <v>0</v>
      </c>
      <c r="AG165" s="12">
        <f t="shared" si="310"/>
        <v>0</v>
      </c>
      <c r="AH165" s="12">
        <f t="shared" si="310"/>
        <v>0</v>
      </c>
      <c r="AI165" s="12">
        <f t="shared" si="310"/>
        <v>0</v>
      </c>
      <c r="AJ165" s="12">
        <f t="shared" si="310"/>
        <v>0</v>
      </c>
      <c r="AK165" s="12">
        <f t="shared" si="310"/>
        <v>0</v>
      </c>
      <c r="AL165" s="12">
        <f t="shared" si="310"/>
        <v>0</v>
      </c>
      <c r="AM165" s="12">
        <f t="shared" si="310"/>
        <v>0</v>
      </c>
      <c r="AN165" s="12">
        <f t="shared" si="310"/>
        <v>0</v>
      </c>
      <c r="AO165" s="12">
        <f t="shared" si="310"/>
        <v>0</v>
      </c>
      <c r="AP165" s="12">
        <f t="shared" ref="AP165:BU165" si="311">MAX(0,AP163-AO163)</f>
        <v>0</v>
      </c>
      <c r="AQ165" s="12">
        <f t="shared" si="311"/>
        <v>0</v>
      </c>
      <c r="AR165" s="12">
        <f t="shared" si="311"/>
        <v>0</v>
      </c>
      <c r="AS165" s="12">
        <f t="shared" si="311"/>
        <v>0</v>
      </c>
      <c r="AT165" s="12">
        <f t="shared" si="311"/>
        <v>0</v>
      </c>
      <c r="AU165" s="12">
        <f t="shared" si="311"/>
        <v>0</v>
      </c>
      <c r="AV165" s="12">
        <f t="shared" si="311"/>
        <v>0</v>
      </c>
      <c r="AW165" s="12">
        <f t="shared" si="311"/>
        <v>0</v>
      </c>
      <c r="AX165" s="12">
        <f t="shared" si="311"/>
        <v>0</v>
      </c>
      <c r="AY165" s="12">
        <f t="shared" si="311"/>
        <v>0</v>
      </c>
      <c r="AZ165" s="12">
        <f t="shared" si="311"/>
        <v>0</v>
      </c>
      <c r="BA165" s="12">
        <f t="shared" si="311"/>
        <v>0</v>
      </c>
      <c r="BB165" s="12">
        <f t="shared" si="311"/>
        <v>0</v>
      </c>
      <c r="BC165" s="12">
        <f t="shared" si="311"/>
        <v>0</v>
      </c>
      <c r="BD165" s="12">
        <f t="shared" si="311"/>
        <v>0</v>
      </c>
      <c r="BE165" s="12">
        <f t="shared" si="311"/>
        <v>0</v>
      </c>
      <c r="BF165" s="12">
        <f t="shared" si="311"/>
        <v>0</v>
      </c>
      <c r="BG165" s="12">
        <f t="shared" si="311"/>
        <v>0</v>
      </c>
      <c r="BH165" s="12">
        <f t="shared" si="311"/>
        <v>0</v>
      </c>
      <c r="BI165" s="12">
        <f t="shared" si="311"/>
        <v>0</v>
      </c>
      <c r="BJ165" s="12">
        <f t="shared" si="311"/>
        <v>0</v>
      </c>
      <c r="BK165" s="12">
        <f t="shared" si="311"/>
        <v>0</v>
      </c>
      <c r="BL165" s="12">
        <f t="shared" si="311"/>
        <v>6387.7618439194775</v>
      </c>
      <c r="BM165" s="12">
        <f t="shared" si="311"/>
        <v>6993.7381560805225</v>
      </c>
      <c r="BN165" s="12">
        <f t="shared" si="311"/>
        <v>6993.7381560805225</v>
      </c>
      <c r="BO165" s="12">
        <f t="shared" si="311"/>
        <v>6917.1132973087078</v>
      </c>
      <c r="BP165" s="12">
        <f t="shared" si="311"/>
        <v>6764.7030977525719</v>
      </c>
      <c r="BQ165" s="12">
        <f t="shared" si="311"/>
        <v>6538.1773954522941</v>
      </c>
      <c r="BR165" s="12">
        <f t="shared" si="311"/>
        <v>6240.0180534059036</v>
      </c>
      <c r="BS165" s="12">
        <f t="shared" si="311"/>
        <v>5873.4917677586491</v>
      </c>
      <c r="BT165" s="12">
        <f t="shared" si="311"/>
        <v>5442.6142771966552</v>
      </c>
      <c r="BU165" s="12">
        <f t="shared" si="311"/>
        <v>4952.1063656734477</v>
      </c>
      <c r="BV165" s="12">
        <f t="shared" ref="BV165:DA165" si="312">MAX(0,BV163-BU163)</f>
        <v>4407.3421405130503</v>
      </c>
      <c r="BW165" s="12">
        <f t="shared" si="312"/>
        <v>3814.2901525655179</v>
      </c>
      <c r="BX165" s="12">
        <f t="shared" si="312"/>
        <v>3179.44800351499</v>
      </c>
      <c r="BY165" s="12">
        <f t="shared" si="312"/>
        <v>2509.7711567956721</v>
      </c>
      <c r="BZ165" s="12">
        <f t="shared" si="312"/>
        <v>1812.5967320791096</v>
      </c>
      <c r="CA165" s="12">
        <f t="shared" si="312"/>
        <v>1095.563118255639</v>
      </c>
      <c r="CB165" s="12">
        <f t="shared" si="312"/>
        <v>366.52628564724</v>
      </c>
      <c r="CC165" s="12">
        <f t="shared" si="312"/>
        <v>0</v>
      </c>
      <c r="CD165" s="12">
        <f t="shared" si="312"/>
        <v>0</v>
      </c>
      <c r="CE165" s="12">
        <f t="shared" si="312"/>
        <v>0</v>
      </c>
      <c r="CF165" s="12">
        <f t="shared" si="312"/>
        <v>0</v>
      </c>
      <c r="CG165" s="12">
        <f t="shared" si="312"/>
        <v>0</v>
      </c>
      <c r="CH165" s="12">
        <f t="shared" si="312"/>
        <v>0</v>
      </c>
      <c r="CI165" s="12">
        <f t="shared" si="312"/>
        <v>0</v>
      </c>
      <c r="CJ165" s="12">
        <f t="shared" si="312"/>
        <v>0</v>
      </c>
      <c r="CK165" s="12">
        <f t="shared" si="312"/>
        <v>0</v>
      </c>
      <c r="CL165" s="12">
        <f t="shared" si="312"/>
        <v>0</v>
      </c>
      <c r="CM165" s="12">
        <f t="shared" si="312"/>
        <v>0</v>
      </c>
      <c r="CN165" s="12">
        <f t="shared" si="312"/>
        <v>0</v>
      </c>
      <c r="CO165" s="12">
        <f t="shared" si="312"/>
        <v>0</v>
      </c>
      <c r="CP165" s="12">
        <f t="shared" si="312"/>
        <v>0</v>
      </c>
      <c r="CQ165" s="12">
        <f t="shared" si="312"/>
        <v>0</v>
      </c>
      <c r="CR165" s="12">
        <f t="shared" si="312"/>
        <v>0</v>
      </c>
      <c r="CS165" s="12">
        <f t="shared" si="312"/>
        <v>0</v>
      </c>
      <c r="CT165" s="12">
        <f t="shared" si="312"/>
        <v>0</v>
      </c>
      <c r="CU165" s="12">
        <f t="shared" si="312"/>
        <v>0</v>
      </c>
      <c r="CV165" s="12">
        <f t="shared" si="312"/>
        <v>0</v>
      </c>
      <c r="CW165" s="12">
        <f t="shared" si="312"/>
        <v>0</v>
      </c>
      <c r="CX165" s="12">
        <f t="shared" si="312"/>
        <v>0</v>
      </c>
      <c r="CY165" s="12">
        <f t="shared" si="312"/>
        <v>0</v>
      </c>
      <c r="CZ165" s="12">
        <f t="shared" si="312"/>
        <v>0</v>
      </c>
      <c r="DA165" s="12">
        <f t="shared" si="312"/>
        <v>0</v>
      </c>
      <c r="DB165" s="12">
        <f t="shared" ref="DB165:EG165" si="313">MAX(0,DB163-DA163)</f>
        <v>0</v>
      </c>
      <c r="DC165" s="12">
        <f t="shared" si="313"/>
        <v>0</v>
      </c>
      <c r="DD165" s="12">
        <f t="shared" si="313"/>
        <v>0</v>
      </c>
      <c r="DE165" s="12">
        <f t="shared" si="313"/>
        <v>0</v>
      </c>
      <c r="DF165" s="12">
        <f t="shared" si="313"/>
        <v>0</v>
      </c>
      <c r="DG165" s="12">
        <f t="shared" si="313"/>
        <v>0</v>
      </c>
      <c r="DH165" s="12">
        <f t="shared" si="313"/>
        <v>0</v>
      </c>
      <c r="DI165" s="12">
        <f t="shared" si="313"/>
        <v>0</v>
      </c>
      <c r="DJ165" s="12">
        <f t="shared" si="313"/>
        <v>0</v>
      </c>
      <c r="DK165" s="12">
        <f t="shared" si="313"/>
        <v>0</v>
      </c>
      <c r="DL165" s="12">
        <f t="shared" si="313"/>
        <v>0</v>
      </c>
      <c r="DM165" s="12">
        <f t="shared" si="313"/>
        <v>0</v>
      </c>
      <c r="DN165" s="12">
        <f t="shared" si="313"/>
        <v>0</v>
      </c>
      <c r="DO165" s="12">
        <f t="shared" si="313"/>
        <v>0</v>
      </c>
      <c r="DP165" s="12">
        <f t="shared" si="313"/>
        <v>0</v>
      </c>
      <c r="DQ165" s="12">
        <f t="shared" si="313"/>
        <v>0</v>
      </c>
      <c r="DR165" s="12">
        <f t="shared" si="313"/>
        <v>0</v>
      </c>
      <c r="DS165" s="12">
        <f t="shared" si="313"/>
        <v>0</v>
      </c>
      <c r="DT165" s="12">
        <f t="shared" si="313"/>
        <v>0</v>
      </c>
      <c r="DU165" s="12">
        <f t="shared" si="313"/>
        <v>0</v>
      </c>
      <c r="DV165" s="12">
        <f t="shared" si="313"/>
        <v>0</v>
      </c>
      <c r="DW165" s="12">
        <f t="shared" si="313"/>
        <v>0</v>
      </c>
      <c r="DX165" s="12">
        <f t="shared" si="313"/>
        <v>0</v>
      </c>
      <c r="DY165" s="12">
        <f t="shared" si="313"/>
        <v>0</v>
      </c>
      <c r="DZ165" s="12">
        <f t="shared" si="313"/>
        <v>0</v>
      </c>
      <c r="EA165" s="12">
        <f t="shared" si="313"/>
        <v>0</v>
      </c>
      <c r="EB165" s="12">
        <f t="shared" si="313"/>
        <v>0</v>
      </c>
      <c r="EC165" s="12">
        <f t="shared" si="313"/>
        <v>0</v>
      </c>
      <c r="ED165" s="12">
        <f t="shared" si="313"/>
        <v>0</v>
      </c>
      <c r="EE165" s="12">
        <f t="shared" si="313"/>
        <v>0</v>
      </c>
      <c r="EF165" s="12">
        <f t="shared" si="313"/>
        <v>0</v>
      </c>
      <c r="EG165" s="12">
        <f t="shared" si="313"/>
        <v>0</v>
      </c>
      <c r="EH165" s="12">
        <f t="shared" ref="EH165:FH165" si="314">MAX(0,EH163-EG163)</f>
        <v>0</v>
      </c>
      <c r="EI165" s="12">
        <f t="shared" si="314"/>
        <v>0</v>
      </c>
      <c r="EJ165" s="12">
        <f t="shared" si="314"/>
        <v>0</v>
      </c>
      <c r="EK165" s="12">
        <f t="shared" si="314"/>
        <v>0</v>
      </c>
      <c r="EL165" s="12">
        <f t="shared" si="314"/>
        <v>0</v>
      </c>
      <c r="EM165" s="12">
        <f t="shared" si="314"/>
        <v>0</v>
      </c>
      <c r="EN165" s="12">
        <f t="shared" si="314"/>
        <v>0</v>
      </c>
      <c r="EO165" s="12">
        <f t="shared" si="314"/>
        <v>0</v>
      </c>
      <c r="EP165" s="12">
        <f t="shared" si="314"/>
        <v>0</v>
      </c>
      <c r="EQ165" s="12">
        <f t="shared" si="314"/>
        <v>0</v>
      </c>
      <c r="ER165" s="12">
        <f t="shared" si="314"/>
        <v>0</v>
      </c>
      <c r="ES165" s="12">
        <f t="shared" si="314"/>
        <v>0</v>
      </c>
      <c r="ET165" s="12">
        <f t="shared" si="314"/>
        <v>0</v>
      </c>
      <c r="EU165" s="12">
        <f t="shared" si="314"/>
        <v>0</v>
      </c>
      <c r="EV165" s="12">
        <f t="shared" si="314"/>
        <v>0</v>
      </c>
      <c r="EW165" s="12">
        <f t="shared" si="314"/>
        <v>0</v>
      </c>
      <c r="EX165" s="12">
        <f t="shared" si="314"/>
        <v>0</v>
      </c>
      <c r="EY165" s="12">
        <f t="shared" si="314"/>
        <v>0</v>
      </c>
      <c r="EZ165" s="12">
        <f t="shared" si="314"/>
        <v>0</v>
      </c>
      <c r="FA165" s="12">
        <f t="shared" si="314"/>
        <v>0</v>
      </c>
      <c r="FB165" s="12">
        <f t="shared" si="314"/>
        <v>0</v>
      </c>
      <c r="FC165" s="12">
        <f t="shared" si="314"/>
        <v>0</v>
      </c>
      <c r="FD165" s="12">
        <f t="shared" si="314"/>
        <v>0</v>
      </c>
      <c r="FE165" s="12">
        <f t="shared" si="314"/>
        <v>0</v>
      </c>
      <c r="FF165" s="12">
        <f t="shared" si="314"/>
        <v>0</v>
      </c>
      <c r="FG165" s="12">
        <f t="shared" si="314"/>
        <v>0</v>
      </c>
      <c r="FH165" s="12">
        <f t="shared" si="314"/>
        <v>0</v>
      </c>
    </row>
    <row r="166" spans="1:164" x14ac:dyDescent="0.2">
      <c r="A166" s="10"/>
      <c r="B166" s="10"/>
      <c r="C166" s="10" t="s">
        <v>768</v>
      </c>
      <c r="D166" s="10"/>
      <c r="E166" s="10"/>
      <c r="F166" s="10"/>
      <c r="G166" s="10"/>
      <c r="H166" s="12">
        <f>SUM(I166:FH166)</f>
        <v>-16846.973141599672</v>
      </c>
      <c r="I166" s="12">
        <f t="shared" ref="I166:AN166" si="315">-I164*((1+$E$75)^(1/12)-1)</f>
        <v>0</v>
      </c>
      <c r="J166" s="12">
        <f t="shared" si="315"/>
        <v>0</v>
      </c>
      <c r="K166" s="12">
        <f t="shared" si="315"/>
        <v>0</v>
      </c>
      <c r="L166" s="12">
        <f t="shared" si="315"/>
        <v>0</v>
      </c>
      <c r="M166" s="12">
        <f t="shared" si="315"/>
        <v>0</v>
      </c>
      <c r="N166" s="12">
        <f t="shared" si="315"/>
        <v>0</v>
      </c>
      <c r="O166" s="12">
        <f t="shared" si="315"/>
        <v>0</v>
      </c>
      <c r="P166" s="12">
        <f t="shared" si="315"/>
        <v>0</v>
      </c>
      <c r="Q166" s="12">
        <f t="shared" si="315"/>
        <v>0</v>
      </c>
      <c r="R166" s="12">
        <f t="shared" si="315"/>
        <v>0</v>
      </c>
      <c r="S166" s="12">
        <f t="shared" si="315"/>
        <v>0</v>
      </c>
      <c r="T166" s="12">
        <f t="shared" si="315"/>
        <v>0</v>
      </c>
      <c r="U166" s="12">
        <f t="shared" si="315"/>
        <v>0</v>
      </c>
      <c r="V166" s="12">
        <f t="shared" si="315"/>
        <v>0</v>
      </c>
      <c r="W166" s="12">
        <f t="shared" si="315"/>
        <v>0</v>
      </c>
      <c r="X166" s="12">
        <f t="shared" si="315"/>
        <v>0</v>
      </c>
      <c r="Y166" s="12">
        <f t="shared" si="315"/>
        <v>0</v>
      </c>
      <c r="Z166" s="12">
        <f t="shared" si="315"/>
        <v>0</v>
      </c>
      <c r="AA166" s="12">
        <f t="shared" si="315"/>
        <v>0</v>
      </c>
      <c r="AB166" s="12">
        <f t="shared" si="315"/>
        <v>0</v>
      </c>
      <c r="AC166" s="12">
        <f t="shared" si="315"/>
        <v>0</v>
      </c>
      <c r="AD166" s="12">
        <f t="shared" si="315"/>
        <v>0</v>
      </c>
      <c r="AE166" s="12">
        <f t="shared" si="315"/>
        <v>0</v>
      </c>
      <c r="AF166" s="12">
        <f t="shared" si="315"/>
        <v>0</v>
      </c>
      <c r="AG166" s="12">
        <f t="shared" si="315"/>
        <v>0</v>
      </c>
      <c r="AH166" s="12">
        <f t="shared" si="315"/>
        <v>0</v>
      </c>
      <c r="AI166" s="12">
        <f t="shared" si="315"/>
        <v>0</v>
      </c>
      <c r="AJ166" s="12">
        <f t="shared" si="315"/>
        <v>0</v>
      </c>
      <c r="AK166" s="12">
        <f t="shared" si="315"/>
        <v>0</v>
      </c>
      <c r="AL166" s="12">
        <f t="shared" si="315"/>
        <v>0</v>
      </c>
      <c r="AM166" s="12">
        <f t="shared" si="315"/>
        <v>0</v>
      </c>
      <c r="AN166" s="12">
        <f t="shared" si="315"/>
        <v>0</v>
      </c>
      <c r="AO166" s="12">
        <f t="shared" ref="AO166:BT166" si="316">-AO164*((1+$E$75)^(1/12)-1)</f>
        <v>0</v>
      </c>
      <c r="AP166" s="12">
        <f t="shared" si="316"/>
        <v>0</v>
      </c>
      <c r="AQ166" s="12">
        <f t="shared" si="316"/>
        <v>0</v>
      </c>
      <c r="AR166" s="12">
        <f t="shared" si="316"/>
        <v>0</v>
      </c>
      <c r="AS166" s="12">
        <f t="shared" si="316"/>
        <v>0</v>
      </c>
      <c r="AT166" s="12">
        <f t="shared" si="316"/>
        <v>0</v>
      </c>
      <c r="AU166" s="12">
        <f t="shared" si="316"/>
        <v>0</v>
      </c>
      <c r="AV166" s="12">
        <f t="shared" si="316"/>
        <v>0</v>
      </c>
      <c r="AW166" s="12">
        <f t="shared" si="316"/>
        <v>0</v>
      </c>
      <c r="AX166" s="12">
        <f t="shared" si="316"/>
        <v>0</v>
      </c>
      <c r="AY166" s="12">
        <f t="shared" si="316"/>
        <v>0</v>
      </c>
      <c r="AZ166" s="12">
        <f t="shared" si="316"/>
        <v>0</v>
      </c>
      <c r="BA166" s="12">
        <f t="shared" si="316"/>
        <v>0</v>
      </c>
      <c r="BB166" s="12">
        <f t="shared" si="316"/>
        <v>0</v>
      </c>
      <c r="BC166" s="12">
        <f t="shared" si="316"/>
        <v>0</v>
      </c>
      <c r="BD166" s="12">
        <f t="shared" si="316"/>
        <v>0</v>
      </c>
      <c r="BE166" s="12">
        <f t="shared" si="316"/>
        <v>0</v>
      </c>
      <c r="BF166" s="12">
        <f t="shared" si="316"/>
        <v>0</v>
      </c>
      <c r="BG166" s="12">
        <f t="shared" si="316"/>
        <v>0</v>
      </c>
      <c r="BH166" s="12">
        <f t="shared" si="316"/>
        <v>0</v>
      </c>
      <c r="BI166" s="12">
        <f t="shared" si="316"/>
        <v>0</v>
      </c>
      <c r="BJ166" s="12">
        <f t="shared" si="316"/>
        <v>0</v>
      </c>
      <c r="BK166" s="12">
        <f t="shared" si="316"/>
        <v>0</v>
      </c>
      <c r="BL166" s="12">
        <f t="shared" si="316"/>
        <v>0</v>
      </c>
      <c r="BM166" s="12">
        <f t="shared" si="316"/>
        <v>-60.612149452382305</v>
      </c>
      <c r="BN166" s="12">
        <f t="shared" si="316"/>
        <v>-126.97428265412303</v>
      </c>
      <c r="BO166" s="12">
        <f t="shared" si="316"/>
        <v>-193.33641585586375</v>
      </c>
      <c r="BP166" s="12">
        <f t="shared" si="316"/>
        <v>-258.97147163907704</v>
      </c>
      <c r="BQ166" s="12">
        <f t="shared" si="316"/>
        <v>-323.16033859758369</v>
      </c>
      <c r="BR166" s="12">
        <f t="shared" si="316"/>
        <v>-385.199750072602</v>
      </c>
      <c r="BS166" s="12">
        <f t="shared" si="316"/>
        <v>-444.4099892894306</v>
      </c>
      <c r="BT166" s="12">
        <f t="shared" si="316"/>
        <v>-500.14233647667055</v>
      </c>
      <c r="BU166" s="12">
        <f t="shared" ref="BU166:CZ166" si="317">-BU164*((1+$E$75)^(1/12)-1)</f>
        <v>-551.78617637579498</v>
      </c>
      <c r="BV166" s="12">
        <f t="shared" si="317"/>
        <v>-598.77568826970094</v>
      </c>
      <c r="BW166" s="12">
        <f t="shared" si="317"/>
        <v>-640.59604523289124</v>
      </c>
      <c r="BX166" s="12">
        <f t="shared" si="317"/>
        <v>-676.78905468300468</v>
      </c>
      <c r="BY166" s="12">
        <f t="shared" si="317"/>
        <v>-706.9581784346318</v>
      </c>
      <c r="BZ166" s="12">
        <f t="shared" si="317"/>
        <v>-730.77287725465499</v>
      </c>
      <c r="CA166" s="12">
        <f t="shared" si="317"/>
        <v>-747.97223231925545</v>
      </c>
      <c r="CB166" s="12">
        <f t="shared" si="317"/>
        <v>-758.36780389514934</v>
      </c>
      <c r="CC166" s="12">
        <f t="shared" si="317"/>
        <v>-761.84569592473792</v>
      </c>
      <c r="CD166" s="12">
        <f t="shared" si="317"/>
        <v>-761.84569592473792</v>
      </c>
      <c r="CE166" s="12">
        <f t="shared" si="317"/>
        <v>-761.84569592473792</v>
      </c>
      <c r="CF166" s="12">
        <f t="shared" si="317"/>
        <v>-761.84569592473792</v>
      </c>
      <c r="CG166" s="12">
        <f t="shared" si="317"/>
        <v>-761.84569592473792</v>
      </c>
      <c r="CH166" s="12">
        <f t="shared" si="317"/>
        <v>-761.84569592473792</v>
      </c>
      <c r="CI166" s="12">
        <f t="shared" si="317"/>
        <v>-761.84569592473792</v>
      </c>
      <c r="CJ166" s="12">
        <f t="shared" si="317"/>
        <v>-761.84569592473792</v>
      </c>
      <c r="CK166" s="12">
        <f t="shared" si="317"/>
        <v>-761.84569592473792</v>
      </c>
      <c r="CL166" s="12">
        <f t="shared" si="317"/>
        <v>-761.84569592473792</v>
      </c>
      <c r="CM166" s="12">
        <f t="shared" si="317"/>
        <v>-761.84569592473792</v>
      </c>
      <c r="CN166" s="12">
        <f t="shared" si="317"/>
        <v>-761.84569592473792</v>
      </c>
      <c r="CO166" s="12">
        <f t="shared" si="317"/>
        <v>0</v>
      </c>
      <c r="CP166" s="12">
        <f t="shared" si="317"/>
        <v>0</v>
      </c>
      <c r="CQ166" s="12">
        <f t="shared" si="317"/>
        <v>0</v>
      </c>
      <c r="CR166" s="12">
        <f t="shared" si="317"/>
        <v>0</v>
      </c>
      <c r="CS166" s="12">
        <f t="shared" si="317"/>
        <v>0</v>
      </c>
      <c r="CT166" s="12">
        <f t="shared" si="317"/>
        <v>0</v>
      </c>
      <c r="CU166" s="12">
        <f t="shared" si="317"/>
        <v>0</v>
      </c>
      <c r="CV166" s="12">
        <f t="shared" si="317"/>
        <v>0</v>
      </c>
      <c r="CW166" s="12">
        <f t="shared" si="317"/>
        <v>0</v>
      </c>
      <c r="CX166" s="12">
        <f t="shared" si="317"/>
        <v>0</v>
      </c>
      <c r="CY166" s="12">
        <f t="shared" si="317"/>
        <v>0</v>
      </c>
      <c r="CZ166" s="12">
        <f t="shared" si="317"/>
        <v>0</v>
      </c>
      <c r="DA166" s="12">
        <f t="shared" ref="DA166:EF166" si="318">-DA164*((1+$E$75)^(1/12)-1)</f>
        <v>0</v>
      </c>
      <c r="DB166" s="12">
        <f t="shared" si="318"/>
        <v>0</v>
      </c>
      <c r="DC166" s="12">
        <f t="shared" si="318"/>
        <v>0</v>
      </c>
      <c r="DD166" s="12">
        <f t="shared" si="318"/>
        <v>0</v>
      </c>
      <c r="DE166" s="12">
        <f t="shared" si="318"/>
        <v>0</v>
      </c>
      <c r="DF166" s="12">
        <f t="shared" si="318"/>
        <v>0</v>
      </c>
      <c r="DG166" s="12">
        <f t="shared" si="318"/>
        <v>0</v>
      </c>
      <c r="DH166" s="12">
        <f t="shared" si="318"/>
        <v>0</v>
      </c>
      <c r="DI166" s="12">
        <f t="shared" si="318"/>
        <v>0</v>
      </c>
      <c r="DJ166" s="12">
        <f t="shared" si="318"/>
        <v>0</v>
      </c>
      <c r="DK166" s="12">
        <f t="shared" si="318"/>
        <v>0</v>
      </c>
      <c r="DL166" s="12">
        <f t="shared" si="318"/>
        <v>0</v>
      </c>
      <c r="DM166" s="12">
        <f t="shared" si="318"/>
        <v>0</v>
      </c>
      <c r="DN166" s="12">
        <f t="shared" si="318"/>
        <v>0</v>
      </c>
      <c r="DO166" s="12">
        <f t="shared" si="318"/>
        <v>0</v>
      </c>
      <c r="DP166" s="12">
        <f t="shared" si="318"/>
        <v>0</v>
      </c>
      <c r="DQ166" s="12">
        <f t="shared" si="318"/>
        <v>0</v>
      </c>
      <c r="DR166" s="12">
        <f t="shared" si="318"/>
        <v>0</v>
      </c>
      <c r="DS166" s="12">
        <f t="shared" si="318"/>
        <v>0</v>
      </c>
      <c r="DT166" s="12">
        <f t="shared" si="318"/>
        <v>0</v>
      </c>
      <c r="DU166" s="12">
        <f t="shared" si="318"/>
        <v>0</v>
      </c>
      <c r="DV166" s="12">
        <f t="shared" si="318"/>
        <v>0</v>
      </c>
      <c r="DW166" s="12">
        <f t="shared" si="318"/>
        <v>0</v>
      </c>
      <c r="DX166" s="12">
        <f t="shared" si="318"/>
        <v>0</v>
      </c>
      <c r="DY166" s="12">
        <f t="shared" si="318"/>
        <v>0</v>
      </c>
      <c r="DZ166" s="12">
        <f t="shared" si="318"/>
        <v>0</v>
      </c>
      <c r="EA166" s="12">
        <f t="shared" si="318"/>
        <v>0</v>
      </c>
      <c r="EB166" s="12">
        <f t="shared" si="318"/>
        <v>0</v>
      </c>
      <c r="EC166" s="12">
        <f t="shared" si="318"/>
        <v>0</v>
      </c>
      <c r="ED166" s="12">
        <f t="shared" si="318"/>
        <v>0</v>
      </c>
      <c r="EE166" s="12">
        <f t="shared" si="318"/>
        <v>0</v>
      </c>
      <c r="EF166" s="12">
        <f t="shared" si="318"/>
        <v>0</v>
      </c>
      <c r="EG166" s="12">
        <f t="shared" ref="EG166:FH166" si="319">-EG164*((1+$E$75)^(1/12)-1)</f>
        <v>0</v>
      </c>
      <c r="EH166" s="12">
        <f t="shared" si="319"/>
        <v>0</v>
      </c>
      <c r="EI166" s="12">
        <f t="shared" si="319"/>
        <v>0</v>
      </c>
      <c r="EJ166" s="12">
        <f t="shared" si="319"/>
        <v>0</v>
      </c>
      <c r="EK166" s="12">
        <f t="shared" si="319"/>
        <v>0</v>
      </c>
      <c r="EL166" s="12">
        <f t="shared" si="319"/>
        <v>0</v>
      </c>
      <c r="EM166" s="12">
        <f t="shared" si="319"/>
        <v>0</v>
      </c>
      <c r="EN166" s="12">
        <f t="shared" si="319"/>
        <v>0</v>
      </c>
      <c r="EO166" s="12">
        <f t="shared" si="319"/>
        <v>0</v>
      </c>
      <c r="EP166" s="12">
        <f t="shared" si="319"/>
        <v>0</v>
      </c>
      <c r="EQ166" s="12">
        <f t="shared" si="319"/>
        <v>0</v>
      </c>
      <c r="ER166" s="12">
        <f t="shared" si="319"/>
        <v>0</v>
      </c>
      <c r="ES166" s="12">
        <f t="shared" si="319"/>
        <v>0</v>
      </c>
      <c r="ET166" s="12">
        <f t="shared" si="319"/>
        <v>0</v>
      </c>
      <c r="EU166" s="12">
        <f t="shared" si="319"/>
        <v>0</v>
      </c>
      <c r="EV166" s="12">
        <f t="shared" si="319"/>
        <v>0</v>
      </c>
      <c r="EW166" s="12">
        <f t="shared" si="319"/>
        <v>0</v>
      </c>
      <c r="EX166" s="12">
        <f t="shared" si="319"/>
        <v>0</v>
      </c>
      <c r="EY166" s="12">
        <f t="shared" si="319"/>
        <v>0</v>
      </c>
      <c r="EZ166" s="12">
        <f t="shared" si="319"/>
        <v>0</v>
      </c>
      <c r="FA166" s="12">
        <f t="shared" si="319"/>
        <v>0</v>
      </c>
      <c r="FB166" s="12">
        <f t="shared" si="319"/>
        <v>0</v>
      </c>
      <c r="FC166" s="12">
        <f t="shared" si="319"/>
        <v>0</v>
      </c>
      <c r="FD166" s="12">
        <f t="shared" si="319"/>
        <v>0</v>
      </c>
      <c r="FE166" s="12">
        <f t="shared" si="319"/>
        <v>0</v>
      </c>
      <c r="FF166" s="12">
        <f t="shared" si="319"/>
        <v>0</v>
      </c>
      <c r="FG166" s="12">
        <f t="shared" si="319"/>
        <v>0</v>
      </c>
      <c r="FH166" s="12">
        <f t="shared" si="319"/>
        <v>0</v>
      </c>
    </row>
    <row r="167" spans="1:164" x14ac:dyDescent="0.2">
      <c r="A167" s="10"/>
      <c r="B167" s="10"/>
      <c r="C167" s="10" t="s">
        <v>338</v>
      </c>
      <c r="D167" s="10"/>
      <c r="E167" s="10"/>
      <c r="F167" s="10"/>
      <c r="G167" s="10"/>
      <c r="H167" s="12">
        <f>SUM(I167:FH167)</f>
        <v>-80288.999999999971</v>
      </c>
      <c r="I167" s="12">
        <f t="shared" ref="I167:AN167" si="320">IF(I$6=$E$76,-(I164+I165),0)</f>
        <v>0</v>
      </c>
      <c r="J167" s="12">
        <f t="shared" si="320"/>
        <v>0</v>
      </c>
      <c r="K167" s="12">
        <f t="shared" si="320"/>
        <v>0</v>
      </c>
      <c r="L167" s="12">
        <f t="shared" si="320"/>
        <v>0</v>
      </c>
      <c r="M167" s="12">
        <f t="shared" si="320"/>
        <v>0</v>
      </c>
      <c r="N167" s="12">
        <f t="shared" si="320"/>
        <v>0</v>
      </c>
      <c r="O167" s="12">
        <f t="shared" si="320"/>
        <v>0</v>
      </c>
      <c r="P167" s="12">
        <f t="shared" si="320"/>
        <v>0</v>
      </c>
      <c r="Q167" s="12">
        <f t="shared" si="320"/>
        <v>0</v>
      </c>
      <c r="R167" s="12">
        <f t="shared" si="320"/>
        <v>0</v>
      </c>
      <c r="S167" s="12">
        <f t="shared" si="320"/>
        <v>0</v>
      </c>
      <c r="T167" s="12">
        <f t="shared" si="320"/>
        <v>0</v>
      </c>
      <c r="U167" s="12">
        <f t="shared" si="320"/>
        <v>0</v>
      </c>
      <c r="V167" s="12">
        <f t="shared" si="320"/>
        <v>0</v>
      </c>
      <c r="W167" s="12">
        <f t="shared" si="320"/>
        <v>0</v>
      </c>
      <c r="X167" s="12">
        <f t="shared" si="320"/>
        <v>0</v>
      </c>
      <c r="Y167" s="12">
        <f t="shared" si="320"/>
        <v>0</v>
      </c>
      <c r="Z167" s="12">
        <f t="shared" si="320"/>
        <v>0</v>
      </c>
      <c r="AA167" s="12">
        <f t="shared" si="320"/>
        <v>0</v>
      </c>
      <c r="AB167" s="12">
        <f t="shared" si="320"/>
        <v>0</v>
      </c>
      <c r="AC167" s="12">
        <f t="shared" si="320"/>
        <v>0</v>
      </c>
      <c r="AD167" s="12">
        <f t="shared" si="320"/>
        <v>0</v>
      </c>
      <c r="AE167" s="12">
        <f t="shared" si="320"/>
        <v>0</v>
      </c>
      <c r="AF167" s="12">
        <f t="shared" si="320"/>
        <v>0</v>
      </c>
      <c r="AG167" s="12">
        <f t="shared" si="320"/>
        <v>0</v>
      </c>
      <c r="AH167" s="12">
        <f t="shared" si="320"/>
        <v>0</v>
      </c>
      <c r="AI167" s="12">
        <f t="shared" si="320"/>
        <v>0</v>
      </c>
      <c r="AJ167" s="12">
        <f t="shared" si="320"/>
        <v>0</v>
      </c>
      <c r="AK167" s="12">
        <f t="shared" si="320"/>
        <v>0</v>
      </c>
      <c r="AL167" s="12">
        <f t="shared" si="320"/>
        <v>0</v>
      </c>
      <c r="AM167" s="12">
        <f t="shared" si="320"/>
        <v>0</v>
      </c>
      <c r="AN167" s="12">
        <f t="shared" si="320"/>
        <v>0</v>
      </c>
      <c r="AO167" s="12">
        <f t="shared" ref="AO167:BT167" si="321">IF(AO$6=$E$76,-(AO164+AO165),0)</f>
        <v>0</v>
      </c>
      <c r="AP167" s="12">
        <f t="shared" si="321"/>
        <v>0</v>
      </c>
      <c r="AQ167" s="12">
        <f t="shared" si="321"/>
        <v>0</v>
      </c>
      <c r="AR167" s="12">
        <f t="shared" si="321"/>
        <v>0</v>
      </c>
      <c r="AS167" s="12">
        <f t="shared" si="321"/>
        <v>0</v>
      </c>
      <c r="AT167" s="12">
        <f t="shared" si="321"/>
        <v>0</v>
      </c>
      <c r="AU167" s="12">
        <f t="shared" si="321"/>
        <v>0</v>
      </c>
      <c r="AV167" s="12">
        <f t="shared" si="321"/>
        <v>0</v>
      </c>
      <c r="AW167" s="12">
        <f t="shared" si="321"/>
        <v>0</v>
      </c>
      <c r="AX167" s="12">
        <f t="shared" si="321"/>
        <v>0</v>
      </c>
      <c r="AY167" s="12">
        <f t="shared" si="321"/>
        <v>0</v>
      </c>
      <c r="AZ167" s="12">
        <f t="shared" si="321"/>
        <v>0</v>
      </c>
      <c r="BA167" s="12">
        <f t="shared" si="321"/>
        <v>0</v>
      </c>
      <c r="BB167" s="12">
        <f t="shared" si="321"/>
        <v>0</v>
      </c>
      <c r="BC167" s="12">
        <f t="shared" si="321"/>
        <v>0</v>
      </c>
      <c r="BD167" s="12">
        <f t="shared" si="321"/>
        <v>0</v>
      </c>
      <c r="BE167" s="12">
        <f t="shared" si="321"/>
        <v>0</v>
      </c>
      <c r="BF167" s="12">
        <f t="shared" si="321"/>
        <v>0</v>
      </c>
      <c r="BG167" s="12">
        <f t="shared" si="321"/>
        <v>0</v>
      </c>
      <c r="BH167" s="12">
        <f t="shared" si="321"/>
        <v>0</v>
      </c>
      <c r="BI167" s="12">
        <f t="shared" si="321"/>
        <v>0</v>
      </c>
      <c r="BJ167" s="12">
        <f t="shared" si="321"/>
        <v>0</v>
      </c>
      <c r="BK167" s="12">
        <f t="shared" si="321"/>
        <v>0</v>
      </c>
      <c r="BL167" s="12">
        <f t="shared" si="321"/>
        <v>0</v>
      </c>
      <c r="BM167" s="12">
        <f t="shared" si="321"/>
        <v>0</v>
      </c>
      <c r="BN167" s="12">
        <f t="shared" si="321"/>
        <v>0</v>
      </c>
      <c r="BO167" s="12">
        <f t="shared" si="321"/>
        <v>0</v>
      </c>
      <c r="BP167" s="12">
        <f t="shared" si="321"/>
        <v>0</v>
      </c>
      <c r="BQ167" s="12">
        <f t="shared" si="321"/>
        <v>0</v>
      </c>
      <c r="BR167" s="12">
        <f t="shared" si="321"/>
        <v>0</v>
      </c>
      <c r="BS167" s="12">
        <f t="shared" si="321"/>
        <v>0</v>
      </c>
      <c r="BT167" s="12">
        <f t="shared" si="321"/>
        <v>0</v>
      </c>
      <c r="BU167" s="12">
        <f t="shared" ref="BU167:CZ167" si="322">IF(BU$6=$E$76,-(BU164+BU165),0)</f>
        <v>0</v>
      </c>
      <c r="BV167" s="12">
        <f t="shared" si="322"/>
        <v>0</v>
      </c>
      <c r="BW167" s="12">
        <f t="shared" si="322"/>
        <v>0</v>
      </c>
      <c r="BX167" s="12">
        <f t="shared" si="322"/>
        <v>0</v>
      </c>
      <c r="BY167" s="12">
        <f t="shared" si="322"/>
        <v>0</v>
      </c>
      <c r="BZ167" s="12">
        <f t="shared" si="322"/>
        <v>0</v>
      </c>
      <c r="CA167" s="12">
        <f t="shared" si="322"/>
        <v>0</v>
      </c>
      <c r="CB167" s="12">
        <f t="shared" si="322"/>
        <v>0</v>
      </c>
      <c r="CC167" s="12">
        <f t="shared" si="322"/>
        <v>0</v>
      </c>
      <c r="CD167" s="12">
        <f t="shared" si="322"/>
        <v>0</v>
      </c>
      <c r="CE167" s="12">
        <f t="shared" si="322"/>
        <v>0</v>
      </c>
      <c r="CF167" s="12">
        <f t="shared" si="322"/>
        <v>0</v>
      </c>
      <c r="CG167" s="12">
        <f t="shared" si="322"/>
        <v>0</v>
      </c>
      <c r="CH167" s="12">
        <f t="shared" si="322"/>
        <v>0</v>
      </c>
      <c r="CI167" s="12">
        <f t="shared" si="322"/>
        <v>0</v>
      </c>
      <c r="CJ167" s="12">
        <f t="shared" si="322"/>
        <v>0</v>
      </c>
      <c r="CK167" s="12">
        <f t="shared" si="322"/>
        <v>0</v>
      </c>
      <c r="CL167" s="12">
        <f t="shared" si="322"/>
        <v>0</v>
      </c>
      <c r="CM167" s="12">
        <f t="shared" si="322"/>
        <v>0</v>
      </c>
      <c r="CN167" s="12">
        <f t="shared" si="322"/>
        <v>-80288.999999999971</v>
      </c>
      <c r="CO167" s="12">
        <f t="shared" si="322"/>
        <v>0</v>
      </c>
      <c r="CP167" s="12">
        <f t="shared" si="322"/>
        <v>0</v>
      </c>
      <c r="CQ167" s="12">
        <f t="shared" si="322"/>
        <v>0</v>
      </c>
      <c r="CR167" s="12">
        <f t="shared" si="322"/>
        <v>0</v>
      </c>
      <c r="CS167" s="12">
        <f t="shared" si="322"/>
        <v>0</v>
      </c>
      <c r="CT167" s="12">
        <f t="shared" si="322"/>
        <v>0</v>
      </c>
      <c r="CU167" s="12">
        <f t="shared" si="322"/>
        <v>0</v>
      </c>
      <c r="CV167" s="12">
        <f t="shared" si="322"/>
        <v>0</v>
      </c>
      <c r="CW167" s="12">
        <f t="shared" si="322"/>
        <v>0</v>
      </c>
      <c r="CX167" s="12">
        <f t="shared" si="322"/>
        <v>0</v>
      </c>
      <c r="CY167" s="12">
        <f t="shared" si="322"/>
        <v>0</v>
      </c>
      <c r="CZ167" s="12">
        <f t="shared" si="322"/>
        <v>0</v>
      </c>
      <c r="DA167" s="12">
        <f t="shared" ref="DA167:EF167" si="323">IF(DA$6=$E$76,-(DA164+DA165),0)</f>
        <v>0</v>
      </c>
      <c r="DB167" s="12">
        <f t="shared" si="323"/>
        <v>0</v>
      </c>
      <c r="DC167" s="12">
        <f t="shared" si="323"/>
        <v>0</v>
      </c>
      <c r="DD167" s="12">
        <f t="shared" si="323"/>
        <v>0</v>
      </c>
      <c r="DE167" s="12">
        <f t="shared" si="323"/>
        <v>0</v>
      </c>
      <c r="DF167" s="12">
        <f t="shared" si="323"/>
        <v>0</v>
      </c>
      <c r="DG167" s="12">
        <f t="shared" si="323"/>
        <v>0</v>
      </c>
      <c r="DH167" s="12">
        <f t="shared" si="323"/>
        <v>0</v>
      </c>
      <c r="DI167" s="12">
        <f t="shared" si="323"/>
        <v>0</v>
      </c>
      <c r="DJ167" s="12">
        <f t="shared" si="323"/>
        <v>0</v>
      </c>
      <c r="DK167" s="12">
        <f t="shared" si="323"/>
        <v>0</v>
      </c>
      <c r="DL167" s="12">
        <f t="shared" si="323"/>
        <v>0</v>
      </c>
      <c r="DM167" s="12">
        <f t="shared" si="323"/>
        <v>0</v>
      </c>
      <c r="DN167" s="12">
        <f t="shared" si="323"/>
        <v>0</v>
      </c>
      <c r="DO167" s="12">
        <f t="shared" si="323"/>
        <v>0</v>
      </c>
      <c r="DP167" s="12">
        <f t="shared" si="323"/>
        <v>0</v>
      </c>
      <c r="DQ167" s="12">
        <f t="shared" si="323"/>
        <v>0</v>
      </c>
      <c r="DR167" s="12">
        <f t="shared" si="323"/>
        <v>0</v>
      </c>
      <c r="DS167" s="12">
        <f t="shared" si="323"/>
        <v>0</v>
      </c>
      <c r="DT167" s="12">
        <f t="shared" si="323"/>
        <v>0</v>
      </c>
      <c r="DU167" s="12">
        <f t="shared" si="323"/>
        <v>0</v>
      </c>
      <c r="DV167" s="12">
        <f t="shared" si="323"/>
        <v>0</v>
      </c>
      <c r="DW167" s="12">
        <f t="shared" si="323"/>
        <v>0</v>
      </c>
      <c r="DX167" s="12">
        <f t="shared" si="323"/>
        <v>0</v>
      </c>
      <c r="DY167" s="12">
        <f t="shared" si="323"/>
        <v>0</v>
      </c>
      <c r="DZ167" s="12">
        <f t="shared" si="323"/>
        <v>0</v>
      </c>
      <c r="EA167" s="12">
        <f t="shared" si="323"/>
        <v>0</v>
      </c>
      <c r="EB167" s="12">
        <f t="shared" si="323"/>
        <v>0</v>
      </c>
      <c r="EC167" s="12">
        <f t="shared" si="323"/>
        <v>0</v>
      </c>
      <c r="ED167" s="12">
        <f t="shared" si="323"/>
        <v>0</v>
      </c>
      <c r="EE167" s="12">
        <f t="shared" si="323"/>
        <v>0</v>
      </c>
      <c r="EF167" s="12">
        <f t="shared" si="323"/>
        <v>0</v>
      </c>
      <c r="EG167" s="12">
        <f t="shared" ref="EG167:FH167" si="324">IF(EG$6=$E$76,-(EG164+EG165),0)</f>
        <v>0</v>
      </c>
      <c r="EH167" s="12">
        <f t="shared" si="324"/>
        <v>0</v>
      </c>
      <c r="EI167" s="12">
        <f t="shared" si="324"/>
        <v>0</v>
      </c>
      <c r="EJ167" s="12">
        <f t="shared" si="324"/>
        <v>0</v>
      </c>
      <c r="EK167" s="12">
        <f t="shared" si="324"/>
        <v>0</v>
      </c>
      <c r="EL167" s="12">
        <f t="shared" si="324"/>
        <v>0</v>
      </c>
      <c r="EM167" s="12">
        <f t="shared" si="324"/>
        <v>0</v>
      </c>
      <c r="EN167" s="12">
        <f t="shared" si="324"/>
        <v>0</v>
      </c>
      <c r="EO167" s="12">
        <f t="shared" si="324"/>
        <v>0</v>
      </c>
      <c r="EP167" s="12">
        <f t="shared" si="324"/>
        <v>0</v>
      </c>
      <c r="EQ167" s="12">
        <f t="shared" si="324"/>
        <v>0</v>
      </c>
      <c r="ER167" s="12">
        <f t="shared" si="324"/>
        <v>0</v>
      </c>
      <c r="ES167" s="12">
        <f t="shared" si="324"/>
        <v>0</v>
      </c>
      <c r="ET167" s="12">
        <f t="shared" si="324"/>
        <v>0</v>
      </c>
      <c r="EU167" s="12">
        <f t="shared" si="324"/>
        <v>0</v>
      </c>
      <c r="EV167" s="12">
        <f t="shared" si="324"/>
        <v>0</v>
      </c>
      <c r="EW167" s="12">
        <f t="shared" si="324"/>
        <v>0</v>
      </c>
      <c r="EX167" s="12">
        <f t="shared" si="324"/>
        <v>0</v>
      </c>
      <c r="EY167" s="12">
        <f t="shared" si="324"/>
        <v>0</v>
      </c>
      <c r="EZ167" s="12">
        <f t="shared" si="324"/>
        <v>0</v>
      </c>
      <c r="FA167" s="12">
        <f t="shared" si="324"/>
        <v>0</v>
      </c>
      <c r="FB167" s="12">
        <f t="shared" si="324"/>
        <v>0</v>
      </c>
      <c r="FC167" s="12">
        <f t="shared" si="324"/>
        <v>0</v>
      </c>
      <c r="FD167" s="12">
        <f t="shared" si="324"/>
        <v>0</v>
      </c>
      <c r="FE167" s="12">
        <f t="shared" si="324"/>
        <v>0</v>
      </c>
      <c r="FF167" s="12">
        <f t="shared" si="324"/>
        <v>0</v>
      </c>
      <c r="FG167" s="12">
        <f t="shared" si="324"/>
        <v>0</v>
      </c>
      <c r="FH167" s="12">
        <f t="shared" si="324"/>
        <v>0</v>
      </c>
    </row>
    <row r="168" spans="1:164" x14ac:dyDescent="0.2">
      <c r="A168" s="10"/>
      <c r="B168" s="10"/>
      <c r="C168" s="10" t="s">
        <v>769</v>
      </c>
      <c r="D168" s="10"/>
      <c r="E168" s="10"/>
      <c r="F168" s="10"/>
      <c r="G168" s="10"/>
      <c r="H168" s="12"/>
      <c r="I168" s="12">
        <f t="shared" ref="I168:AN168" si="325">I164+I165+I167</f>
        <v>0</v>
      </c>
      <c r="J168" s="12">
        <f t="shared" si="325"/>
        <v>0</v>
      </c>
      <c r="K168" s="12">
        <f t="shared" si="325"/>
        <v>0</v>
      </c>
      <c r="L168" s="12">
        <f t="shared" si="325"/>
        <v>0</v>
      </c>
      <c r="M168" s="12">
        <f t="shared" si="325"/>
        <v>0</v>
      </c>
      <c r="N168" s="12">
        <f t="shared" si="325"/>
        <v>0</v>
      </c>
      <c r="O168" s="12">
        <f t="shared" si="325"/>
        <v>0</v>
      </c>
      <c r="P168" s="12">
        <f t="shared" si="325"/>
        <v>0</v>
      </c>
      <c r="Q168" s="12">
        <f t="shared" si="325"/>
        <v>0</v>
      </c>
      <c r="R168" s="12">
        <f t="shared" si="325"/>
        <v>0</v>
      </c>
      <c r="S168" s="12">
        <f t="shared" si="325"/>
        <v>0</v>
      </c>
      <c r="T168" s="12">
        <f t="shared" si="325"/>
        <v>0</v>
      </c>
      <c r="U168" s="12">
        <f t="shared" si="325"/>
        <v>0</v>
      </c>
      <c r="V168" s="12">
        <f t="shared" si="325"/>
        <v>0</v>
      </c>
      <c r="W168" s="12">
        <f t="shared" si="325"/>
        <v>0</v>
      </c>
      <c r="X168" s="12">
        <f t="shared" si="325"/>
        <v>0</v>
      </c>
      <c r="Y168" s="12">
        <f t="shared" si="325"/>
        <v>0</v>
      </c>
      <c r="Z168" s="12">
        <f t="shared" si="325"/>
        <v>0</v>
      </c>
      <c r="AA168" s="12">
        <f t="shared" si="325"/>
        <v>0</v>
      </c>
      <c r="AB168" s="12">
        <f t="shared" si="325"/>
        <v>0</v>
      </c>
      <c r="AC168" s="12">
        <f t="shared" si="325"/>
        <v>0</v>
      </c>
      <c r="AD168" s="12">
        <f t="shared" si="325"/>
        <v>0</v>
      </c>
      <c r="AE168" s="12">
        <f t="shared" si="325"/>
        <v>0</v>
      </c>
      <c r="AF168" s="12">
        <f t="shared" si="325"/>
        <v>0</v>
      </c>
      <c r="AG168" s="12">
        <f t="shared" si="325"/>
        <v>0</v>
      </c>
      <c r="AH168" s="12">
        <f t="shared" si="325"/>
        <v>0</v>
      </c>
      <c r="AI168" s="12">
        <f t="shared" si="325"/>
        <v>0</v>
      </c>
      <c r="AJ168" s="12">
        <f t="shared" si="325"/>
        <v>0</v>
      </c>
      <c r="AK168" s="12">
        <f t="shared" si="325"/>
        <v>0</v>
      </c>
      <c r="AL168" s="12">
        <f t="shared" si="325"/>
        <v>0</v>
      </c>
      <c r="AM168" s="12">
        <f t="shared" si="325"/>
        <v>0</v>
      </c>
      <c r="AN168" s="12">
        <f t="shared" si="325"/>
        <v>0</v>
      </c>
      <c r="AO168" s="12">
        <f t="shared" ref="AO168:BT168" si="326">AO164+AO165+AO167</f>
        <v>0</v>
      </c>
      <c r="AP168" s="12">
        <f t="shared" si="326"/>
        <v>0</v>
      </c>
      <c r="AQ168" s="12">
        <f t="shared" si="326"/>
        <v>0</v>
      </c>
      <c r="AR168" s="12">
        <f t="shared" si="326"/>
        <v>0</v>
      </c>
      <c r="AS168" s="12">
        <f t="shared" si="326"/>
        <v>0</v>
      </c>
      <c r="AT168" s="12">
        <f t="shared" si="326"/>
        <v>0</v>
      </c>
      <c r="AU168" s="12">
        <f t="shared" si="326"/>
        <v>0</v>
      </c>
      <c r="AV168" s="12">
        <f t="shared" si="326"/>
        <v>0</v>
      </c>
      <c r="AW168" s="12">
        <f t="shared" si="326"/>
        <v>0</v>
      </c>
      <c r="AX168" s="12">
        <f t="shared" si="326"/>
        <v>0</v>
      </c>
      <c r="AY168" s="12">
        <f t="shared" si="326"/>
        <v>0</v>
      </c>
      <c r="AZ168" s="12">
        <f t="shared" si="326"/>
        <v>0</v>
      </c>
      <c r="BA168" s="12">
        <f t="shared" si="326"/>
        <v>0</v>
      </c>
      <c r="BB168" s="12">
        <f t="shared" si="326"/>
        <v>0</v>
      </c>
      <c r="BC168" s="12">
        <f t="shared" si="326"/>
        <v>0</v>
      </c>
      <c r="BD168" s="12">
        <f t="shared" si="326"/>
        <v>0</v>
      </c>
      <c r="BE168" s="12">
        <f t="shared" si="326"/>
        <v>0</v>
      </c>
      <c r="BF168" s="12">
        <f t="shared" si="326"/>
        <v>0</v>
      </c>
      <c r="BG168" s="12">
        <f t="shared" si="326"/>
        <v>0</v>
      </c>
      <c r="BH168" s="12">
        <f t="shared" si="326"/>
        <v>0</v>
      </c>
      <c r="BI168" s="12">
        <f t="shared" si="326"/>
        <v>0</v>
      </c>
      <c r="BJ168" s="12">
        <f t="shared" si="326"/>
        <v>0</v>
      </c>
      <c r="BK168" s="12">
        <f t="shared" si="326"/>
        <v>0</v>
      </c>
      <c r="BL168" s="12">
        <f t="shared" si="326"/>
        <v>6387.7618439194775</v>
      </c>
      <c r="BM168" s="12">
        <f t="shared" si="326"/>
        <v>13381.5</v>
      </c>
      <c r="BN168" s="12">
        <f t="shared" si="326"/>
        <v>20375.238156080522</v>
      </c>
      <c r="BO168" s="12">
        <f t="shared" si="326"/>
        <v>27292.35145338923</v>
      </c>
      <c r="BP168" s="12">
        <f t="shared" si="326"/>
        <v>34057.054551141802</v>
      </c>
      <c r="BQ168" s="12">
        <f t="shared" si="326"/>
        <v>40595.231946594096</v>
      </c>
      <c r="BR168" s="12">
        <f t="shared" si="326"/>
        <v>46835.25</v>
      </c>
      <c r="BS168" s="12">
        <f t="shared" si="326"/>
        <v>52708.741767758649</v>
      </c>
      <c r="BT168" s="12">
        <f t="shared" si="326"/>
        <v>58151.356044955304</v>
      </c>
      <c r="BU168" s="12">
        <f t="shared" ref="BU168:CZ168" si="327">BU164+BU165+BU167</f>
        <v>63103.462410628752</v>
      </c>
      <c r="BV168" s="12">
        <f t="shared" si="327"/>
        <v>67510.804551141802</v>
      </c>
      <c r="BW168" s="12">
        <f t="shared" si="327"/>
        <v>71325.09470370732</v>
      </c>
      <c r="BX168" s="12">
        <f t="shared" si="327"/>
        <v>74504.54270722231</v>
      </c>
      <c r="BY168" s="12">
        <f t="shared" si="327"/>
        <v>77014.313864017982</v>
      </c>
      <c r="BZ168" s="12">
        <f t="shared" si="327"/>
        <v>78826.910596097092</v>
      </c>
      <c r="CA168" s="12">
        <f t="shared" si="327"/>
        <v>79922.473714352731</v>
      </c>
      <c r="CB168" s="12">
        <f t="shared" si="327"/>
        <v>80288.999999999971</v>
      </c>
      <c r="CC168" s="12">
        <f t="shared" si="327"/>
        <v>80288.999999999971</v>
      </c>
      <c r="CD168" s="12">
        <f t="shared" si="327"/>
        <v>80288.999999999971</v>
      </c>
      <c r="CE168" s="12">
        <f t="shared" si="327"/>
        <v>80288.999999999971</v>
      </c>
      <c r="CF168" s="12">
        <f t="shared" si="327"/>
        <v>80288.999999999971</v>
      </c>
      <c r="CG168" s="12">
        <f t="shared" si="327"/>
        <v>80288.999999999971</v>
      </c>
      <c r="CH168" s="12">
        <f t="shared" si="327"/>
        <v>80288.999999999971</v>
      </c>
      <c r="CI168" s="12">
        <f t="shared" si="327"/>
        <v>80288.999999999971</v>
      </c>
      <c r="CJ168" s="12">
        <f t="shared" si="327"/>
        <v>80288.999999999971</v>
      </c>
      <c r="CK168" s="12">
        <f t="shared" si="327"/>
        <v>80288.999999999971</v>
      </c>
      <c r="CL168" s="12">
        <f t="shared" si="327"/>
        <v>80288.999999999971</v>
      </c>
      <c r="CM168" s="12">
        <f t="shared" si="327"/>
        <v>80288.999999999971</v>
      </c>
      <c r="CN168" s="12">
        <f t="shared" si="327"/>
        <v>0</v>
      </c>
      <c r="CO168" s="12">
        <f t="shared" si="327"/>
        <v>0</v>
      </c>
      <c r="CP168" s="12">
        <f t="shared" si="327"/>
        <v>0</v>
      </c>
      <c r="CQ168" s="12">
        <f t="shared" si="327"/>
        <v>0</v>
      </c>
      <c r="CR168" s="12">
        <f t="shared" si="327"/>
        <v>0</v>
      </c>
      <c r="CS168" s="12">
        <f t="shared" si="327"/>
        <v>0</v>
      </c>
      <c r="CT168" s="12">
        <f t="shared" si="327"/>
        <v>0</v>
      </c>
      <c r="CU168" s="12">
        <f t="shared" si="327"/>
        <v>0</v>
      </c>
      <c r="CV168" s="12">
        <f t="shared" si="327"/>
        <v>0</v>
      </c>
      <c r="CW168" s="12">
        <f t="shared" si="327"/>
        <v>0</v>
      </c>
      <c r="CX168" s="12">
        <f t="shared" si="327"/>
        <v>0</v>
      </c>
      <c r="CY168" s="12">
        <f t="shared" si="327"/>
        <v>0</v>
      </c>
      <c r="CZ168" s="12">
        <f t="shared" si="327"/>
        <v>0</v>
      </c>
      <c r="DA168" s="12">
        <f t="shared" ref="DA168:EF168" si="328">DA164+DA165+DA167</f>
        <v>0</v>
      </c>
      <c r="DB168" s="12">
        <f t="shared" si="328"/>
        <v>0</v>
      </c>
      <c r="DC168" s="12">
        <f t="shared" si="328"/>
        <v>0</v>
      </c>
      <c r="DD168" s="12">
        <f t="shared" si="328"/>
        <v>0</v>
      </c>
      <c r="DE168" s="12">
        <f t="shared" si="328"/>
        <v>0</v>
      </c>
      <c r="DF168" s="12">
        <f t="shared" si="328"/>
        <v>0</v>
      </c>
      <c r="DG168" s="12">
        <f t="shared" si="328"/>
        <v>0</v>
      </c>
      <c r="DH168" s="12">
        <f t="shared" si="328"/>
        <v>0</v>
      </c>
      <c r="DI168" s="12">
        <f t="shared" si="328"/>
        <v>0</v>
      </c>
      <c r="DJ168" s="12">
        <f t="shared" si="328"/>
        <v>0</v>
      </c>
      <c r="DK168" s="12">
        <f t="shared" si="328"/>
        <v>0</v>
      </c>
      <c r="DL168" s="12">
        <f t="shared" si="328"/>
        <v>0</v>
      </c>
      <c r="DM168" s="12">
        <f t="shared" si="328"/>
        <v>0</v>
      </c>
      <c r="DN168" s="12">
        <f t="shared" si="328"/>
        <v>0</v>
      </c>
      <c r="DO168" s="12">
        <f t="shared" si="328"/>
        <v>0</v>
      </c>
      <c r="DP168" s="12">
        <f t="shared" si="328"/>
        <v>0</v>
      </c>
      <c r="DQ168" s="12">
        <f t="shared" si="328"/>
        <v>0</v>
      </c>
      <c r="DR168" s="12">
        <f t="shared" si="328"/>
        <v>0</v>
      </c>
      <c r="DS168" s="12">
        <f t="shared" si="328"/>
        <v>0</v>
      </c>
      <c r="DT168" s="12">
        <f t="shared" si="328"/>
        <v>0</v>
      </c>
      <c r="DU168" s="12">
        <f t="shared" si="328"/>
        <v>0</v>
      </c>
      <c r="DV168" s="12">
        <f t="shared" si="328"/>
        <v>0</v>
      </c>
      <c r="DW168" s="12">
        <f t="shared" si="328"/>
        <v>0</v>
      </c>
      <c r="DX168" s="12">
        <f t="shared" si="328"/>
        <v>0</v>
      </c>
      <c r="DY168" s="12">
        <f t="shared" si="328"/>
        <v>0</v>
      </c>
      <c r="DZ168" s="12">
        <f t="shared" si="328"/>
        <v>0</v>
      </c>
      <c r="EA168" s="12">
        <f t="shared" si="328"/>
        <v>0</v>
      </c>
      <c r="EB168" s="12">
        <f t="shared" si="328"/>
        <v>0</v>
      </c>
      <c r="EC168" s="12">
        <f t="shared" si="328"/>
        <v>0</v>
      </c>
      <c r="ED168" s="12">
        <f t="shared" si="328"/>
        <v>0</v>
      </c>
      <c r="EE168" s="12">
        <f t="shared" si="328"/>
        <v>0</v>
      </c>
      <c r="EF168" s="12">
        <f t="shared" si="328"/>
        <v>0</v>
      </c>
      <c r="EG168" s="12">
        <f t="shared" ref="EG168:FH168" si="329">EG164+EG165+EG167</f>
        <v>0</v>
      </c>
      <c r="EH168" s="12">
        <f t="shared" si="329"/>
        <v>0</v>
      </c>
      <c r="EI168" s="12">
        <f t="shared" si="329"/>
        <v>0</v>
      </c>
      <c r="EJ168" s="12">
        <f t="shared" si="329"/>
        <v>0</v>
      </c>
      <c r="EK168" s="12">
        <f t="shared" si="329"/>
        <v>0</v>
      </c>
      <c r="EL168" s="12">
        <f t="shared" si="329"/>
        <v>0</v>
      </c>
      <c r="EM168" s="12">
        <f t="shared" si="329"/>
        <v>0</v>
      </c>
      <c r="EN168" s="12">
        <f t="shared" si="329"/>
        <v>0</v>
      </c>
      <c r="EO168" s="12">
        <f t="shared" si="329"/>
        <v>0</v>
      </c>
      <c r="EP168" s="12">
        <f t="shared" si="329"/>
        <v>0</v>
      </c>
      <c r="EQ168" s="12">
        <f t="shared" si="329"/>
        <v>0</v>
      </c>
      <c r="ER168" s="12">
        <f t="shared" si="329"/>
        <v>0</v>
      </c>
      <c r="ES168" s="12">
        <f t="shared" si="329"/>
        <v>0</v>
      </c>
      <c r="ET168" s="12">
        <f t="shared" si="329"/>
        <v>0</v>
      </c>
      <c r="EU168" s="12">
        <f t="shared" si="329"/>
        <v>0</v>
      </c>
      <c r="EV168" s="12">
        <f t="shared" si="329"/>
        <v>0</v>
      </c>
      <c r="EW168" s="12">
        <f t="shared" si="329"/>
        <v>0</v>
      </c>
      <c r="EX168" s="12">
        <f t="shared" si="329"/>
        <v>0</v>
      </c>
      <c r="EY168" s="12">
        <f t="shared" si="329"/>
        <v>0</v>
      </c>
      <c r="EZ168" s="12">
        <f t="shared" si="329"/>
        <v>0</v>
      </c>
      <c r="FA168" s="12">
        <f t="shared" si="329"/>
        <v>0</v>
      </c>
      <c r="FB168" s="12">
        <f t="shared" si="329"/>
        <v>0</v>
      </c>
      <c r="FC168" s="12">
        <f t="shared" si="329"/>
        <v>0</v>
      </c>
      <c r="FD168" s="12">
        <f t="shared" si="329"/>
        <v>0</v>
      </c>
      <c r="FE168" s="12">
        <f t="shared" si="329"/>
        <v>0</v>
      </c>
      <c r="FF168" s="12">
        <f t="shared" si="329"/>
        <v>0</v>
      </c>
      <c r="FG168" s="12">
        <f t="shared" si="329"/>
        <v>0</v>
      </c>
      <c r="FH168" s="12">
        <f t="shared" si="329"/>
        <v>0</v>
      </c>
    </row>
    <row r="169" spans="1:164" x14ac:dyDescent="0.2">
      <c r="A169" s="10"/>
      <c r="B169" s="31" t="s">
        <v>917</v>
      </c>
      <c r="C169" s="31"/>
      <c r="D169" s="31"/>
      <c r="E169" s="31"/>
      <c r="F169" s="31"/>
      <c r="G169" s="31"/>
      <c r="H169" s="32">
        <f>SUM(I169:FH169)</f>
        <v>184140.53618729694</v>
      </c>
      <c r="I169" s="32">
        <f t="shared" ref="I169:AN169" si="330">I160+I165+I166+I167</f>
        <v>0</v>
      </c>
      <c r="J169" s="32">
        <f t="shared" si="330"/>
        <v>0</v>
      </c>
      <c r="K169" s="32">
        <f t="shared" si="330"/>
        <v>0</v>
      </c>
      <c r="L169" s="32">
        <f t="shared" si="330"/>
        <v>0</v>
      </c>
      <c r="M169" s="32">
        <f t="shared" si="330"/>
        <v>0</v>
      </c>
      <c r="N169" s="32">
        <f t="shared" si="330"/>
        <v>0</v>
      </c>
      <c r="O169" s="32">
        <f t="shared" si="330"/>
        <v>0</v>
      </c>
      <c r="P169" s="32">
        <f t="shared" si="330"/>
        <v>0</v>
      </c>
      <c r="Q169" s="32">
        <f t="shared" si="330"/>
        <v>0</v>
      </c>
      <c r="R169" s="32">
        <f t="shared" si="330"/>
        <v>0</v>
      </c>
      <c r="S169" s="32">
        <f t="shared" si="330"/>
        <v>0</v>
      </c>
      <c r="T169" s="32">
        <f t="shared" si="330"/>
        <v>0</v>
      </c>
      <c r="U169" s="32">
        <f t="shared" si="330"/>
        <v>0</v>
      </c>
      <c r="V169" s="32">
        <f t="shared" si="330"/>
        <v>0</v>
      </c>
      <c r="W169" s="32">
        <f t="shared" si="330"/>
        <v>0</v>
      </c>
      <c r="X169" s="32">
        <f t="shared" si="330"/>
        <v>0</v>
      </c>
      <c r="Y169" s="32">
        <f t="shared" si="330"/>
        <v>0</v>
      </c>
      <c r="Z169" s="32">
        <f t="shared" si="330"/>
        <v>0</v>
      </c>
      <c r="AA169" s="32">
        <f t="shared" si="330"/>
        <v>0</v>
      </c>
      <c r="AB169" s="32">
        <f t="shared" si="330"/>
        <v>0</v>
      </c>
      <c r="AC169" s="32">
        <f t="shared" si="330"/>
        <v>0</v>
      </c>
      <c r="AD169" s="32">
        <f t="shared" si="330"/>
        <v>0</v>
      </c>
      <c r="AE169" s="32">
        <f t="shared" si="330"/>
        <v>0</v>
      </c>
      <c r="AF169" s="32">
        <f t="shared" si="330"/>
        <v>0</v>
      </c>
      <c r="AG169" s="32">
        <f t="shared" si="330"/>
        <v>0</v>
      </c>
      <c r="AH169" s="32">
        <f t="shared" si="330"/>
        <v>0</v>
      </c>
      <c r="AI169" s="32">
        <f t="shared" si="330"/>
        <v>0</v>
      </c>
      <c r="AJ169" s="32">
        <f t="shared" si="330"/>
        <v>0</v>
      </c>
      <c r="AK169" s="32">
        <f t="shared" si="330"/>
        <v>0</v>
      </c>
      <c r="AL169" s="32">
        <f t="shared" si="330"/>
        <v>0</v>
      </c>
      <c r="AM169" s="32">
        <f t="shared" si="330"/>
        <v>-223.02500000000001</v>
      </c>
      <c r="AN169" s="32">
        <f t="shared" si="330"/>
        <v>-223.02500000000001</v>
      </c>
      <c r="AO169" s="32">
        <f t="shared" ref="AO169:BT169" si="331">AO160+AO165+AO166+AO167</f>
        <v>-223.02500000000001</v>
      </c>
      <c r="AP169" s="32">
        <f t="shared" si="331"/>
        <v>-999.50499999999988</v>
      </c>
      <c r="AQ169" s="32">
        <f t="shared" si="331"/>
        <v>-999.50499999999988</v>
      </c>
      <c r="AR169" s="32">
        <f t="shared" si="331"/>
        <v>-999.50499999999988</v>
      </c>
      <c r="AS169" s="32">
        <f t="shared" si="331"/>
        <v>1068.3748607413463</v>
      </c>
      <c r="AT169" s="32">
        <f t="shared" si="331"/>
        <v>1196.1612835984897</v>
      </c>
      <c r="AU169" s="32">
        <f t="shared" si="331"/>
        <v>1327.7061306573132</v>
      </c>
      <c r="AV169" s="32">
        <f t="shared" si="331"/>
        <v>1463.2371852027677</v>
      </c>
      <c r="AW169" s="32">
        <f t="shared" si="331"/>
        <v>1603.0035852027677</v>
      </c>
      <c r="AX169" s="32">
        <f t="shared" si="331"/>
        <v>1747.2785787511548</v>
      </c>
      <c r="AY169" s="32">
        <f t="shared" si="331"/>
        <v>-1651.9194498890042</v>
      </c>
      <c r="AZ169" s="32">
        <f t="shared" si="331"/>
        <v>-2551.7695239001896</v>
      </c>
      <c r="BA169" s="32">
        <f t="shared" si="331"/>
        <v>-3435.1945721931143</v>
      </c>
      <c r="BB169" s="32">
        <f t="shared" si="331"/>
        <v>-4292.0839908471935</v>
      </c>
      <c r="BC169" s="32">
        <f t="shared" si="331"/>
        <v>-5112.5955269375754</v>
      </c>
      <c r="BD169" s="32">
        <f t="shared" si="331"/>
        <v>-5887.2606086565629</v>
      </c>
      <c r="BE169" s="32">
        <f t="shared" si="331"/>
        <v>-5569.0450085368648</v>
      </c>
      <c r="BF169" s="32">
        <f t="shared" si="331"/>
        <v>-6225.6044690983017</v>
      </c>
      <c r="BG169" s="32">
        <f t="shared" si="331"/>
        <v>-6811.1320282430825</v>
      </c>
      <c r="BH169" s="32">
        <f t="shared" si="331"/>
        <v>-6542.1186899666664</v>
      </c>
      <c r="BI169" s="32">
        <f t="shared" si="331"/>
        <v>-6965.3042426068259</v>
      </c>
      <c r="BJ169" s="32">
        <f t="shared" si="331"/>
        <v>-7298.8579708083507</v>
      </c>
      <c r="BK169" s="32">
        <f t="shared" si="331"/>
        <v>-7538.3480293071452</v>
      </c>
      <c r="BL169" s="32">
        <f t="shared" si="331"/>
        <v>-1292.5364979901115</v>
      </c>
      <c r="BM169" s="32">
        <f t="shared" si="331"/>
        <v>-789.08576915595495</v>
      </c>
      <c r="BN169" s="32">
        <f t="shared" si="331"/>
        <v>-795.81423835769488</v>
      </c>
      <c r="BO169" s="32">
        <f t="shared" si="331"/>
        <v>-777.08802502817377</v>
      </c>
      <c r="BP169" s="32">
        <f t="shared" si="331"/>
        <v>-731.7569550953956</v>
      </c>
      <c r="BQ169" s="32">
        <f t="shared" si="331"/>
        <v>-658.74466585538585</v>
      </c>
      <c r="BR169" s="32">
        <f t="shared" si="331"/>
        <v>-556.99185002694503</v>
      </c>
      <c r="BS169" s="32">
        <f t="shared" si="331"/>
        <v>-425.3670782508712</v>
      </c>
      <c r="BT169" s="32">
        <f t="shared" si="331"/>
        <v>-262.52533999080509</v>
      </c>
      <c r="BU169" s="32">
        <f t="shared" ref="BU169:CZ169" si="332">BU160+BU165+BU166+BU167</f>
        <v>-66.677095904719295</v>
      </c>
      <c r="BV169" s="32">
        <f t="shared" si="332"/>
        <v>164.8065704595582</v>
      </c>
      <c r="BW169" s="32">
        <f t="shared" si="332"/>
        <v>436.11396468778651</v>
      </c>
      <c r="BX169" s="32">
        <f t="shared" si="332"/>
        <v>754.42507830613454</v>
      </c>
      <c r="BY169" s="32">
        <f t="shared" si="332"/>
        <v>1133.1209208486503</v>
      </c>
      <c r="BZ169" s="32">
        <f t="shared" si="332"/>
        <v>1600.3193492994772</v>
      </c>
      <c r="CA169" s="32">
        <f t="shared" si="332"/>
        <v>2228.7105144186157</v>
      </c>
      <c r="CB169" s="32">
        <f t="shared" si="332"/>
        <v>3314.4781428661981</v>
      </c>
      <c r="CC169" s="32">
        <f t="shared" si="332"/>
        <v>17128.253504075285</v>
      </c>
      <c r="CD169" s="32">
        <f t="shared" si="332"/>
        <v>1921.6691840752619</v>
      </c>
      <c r="CE169" s="32">
        <f t="shared" si="332"/>
        <v>1921.6691840752619</v>
      </c>
      <c r="CF169" s="32">
        <f t="shared" si="332"/>
        <v>1921.6691840752619</v>
      </c>
      <c r="CG169" s="32">
        <f t="shared" si="332"/>
        <v>1921.6691840752619</v>
      </c>
      <c r="CH169" s="32">
        <f t="shared" si="332"/>
        <v>1921.6691840752619</v>
      </c>
      <c r="CI169" s="32">
        <f t="shared" si="332"/>
        <v>1921.6691840752619</v>
      </c>
      <c r="CJ169" s="32">
        <f t="shared" si="332"/>
        <v>1921.6691840752619</v>
      </c>
      <c r="CK169" s="32">
        <f t="shared" si="332"/>
        <v>1921.6691840752619</v>
      </c>
      <c r="CL169" s="32">
        <f t="shared" si="332"/>
        <v>1921.6691840752619</v>
      </c>
      <c r="CM169" s="32">
        <f t="shared" si="332"/>
        <v>1921.6691840752619</v>
      </c>
      <c r="CN169" s="32">
        <f t="shared" si="332"/>
        <v>209663.26630407569</v>
      </c>
      <c r="CO169" s="32">
        <f t="shared" si="332"/>
        <v>0</v>
      </c>
      <c r="CP169" s="32">
        <f t="shared" si="332"/>
        <v>0</v>
      </c>
      <c r="CQ169" s="32">
        <f t="shared" si="332"/>
        <v>0</v>
      </c>
      <c r="CR169" s="32">
        <f t="shared" si="332"/>
        <v>0</v>
      </c>
      <c r="CS169" s="32">
        <f t="shared" si="332"/>
        <v>0</v>
      </c>
      <c r="CT169" s="32">
        <f t="shared" si="332"/>
        <v>0</v>
      </c>
      <c r="CU169" s="32">
        <f t="shared" si="332"/>
        <v>0</v>
      </c>
      <c r="CV169" s="32">
        <f t="shared" si="332"/>
        <v>0</v>
      </c>
      <c r="CW169" s="32">
        <f t="shared" si="332"/>
        <v>0</v>
      </c>
      <c r="CX169" s="32">
        <f t="shared" si="332"/>
        <v>0</v>
      </c>
      <c r="CY169" s="32">
        <f t="shared" si="332"/>
        <v>0</v>
      </c>
      <c r="CZ169" s="32">
        <f t="shared" si="332"/>
        <v>0</v>
      </c>
      <c r="DA169" s="32">
        <f t="shared" ref="DA169:EF169" si="333">DA160+DA165+DA166+DA167</f>
        <v>0</v>
      </c>
      <c r="DB169" s="32">
        <f t="shared" si="333"/>
        <v>0</v>
      </c>
      <c r="DC169" s="32">
        <f t="shared" si="333"/>
        <v>0</v>
      </c>
      <c r="DD169" s="32">
        <f t="shared" si="333"/>
        <v>0</v>
      </c>
      <c r="DE169" s="32">
        <f t="shared" si="333"/>
        <v>0</v>
      </c>
      <c r="DF169" s="32">
        <f t="shared" si="333"/>
        <v>0</v>
      </c>
      <c r="DG169" s="32">
        <f t="shared" si="333"/>
        <v>0</v>
      </c>
      <c r="DH169" s="32">
        <f t="shared" si="333"/>
        <v>0</v>
      </c>
      <c r="DI169" s="32">
        <f t="shared" si="333"/>
        <v>0</v>
      </c>
      <c r="DJ169" s="32">
        <f t="shared" si="333"/>
        <v>0</v>
      </c>
      <c r="DK169" s="32">
        <f t="shared" si="333"/>
        <v>0</v>
      </c>
      <c r="DL169" s="32">
        <f t="shared" si="333"/>
        <v>0</v>
      </c>
      <c r="DM169" s="32">
        <f t="shared" si="333"/>
        <v>0</v>
      </c>
      <c r="DN169" s="32">
        <f t="shared" si="333"/>
        <v>0</v>
      </c>
      <c r="DO169" s="32">
        <f t="shared" si="333"/>
        <v>0</v>
      </c>
      <c r="DP169" s="32">
        <f t="shared" si="333"/>
        <v>0</v>
      </c>
      <c r="DQ169" s="32">
        <f t="shared" si="333"/>
        <v>0</v>
      </c>
      <c r="DR169" s="32">
        <f t="shared" si="333"/>
        <v>0</v>
      </c>
      <c r="DS169" s="32">
        <f t="shared" si="333"/>
        <v>0</v>
      </c>
      <c r="DT169" s="32">
        <f t="shared" si="333"/>
        <v>0</v>
      </c>
      <c r="DU169" s="32">
        <f t="shared" si="333"/>
        <v>0</v>
      </c>
      <c r="DV169" s="32">
        <f t="shared" si="333"/>
        <v>0</v>
      </c>
      <c r="DW169" s="32">
        <f t="shared" si="333"/>
        <v>0</v>
      </c>
      <c r="DX169" s="32">
        <f t="shared" si="333"/>
        <v>0</v>
      </c>
      <c r="DY169" s="32">
        <f t="shared" si="333"/>
        <v>0</v>
      </c>
      <c r="DZ169" s="32">
        <f t="shared" si="333"/>
        <v>0</v>
      </c>
      <c r="EA169" s="32">
        <f t="shared" si="333"/>
        <v>0</v>
      </c>
      <c r="EB169" s="32">
        <f t="shared" si="333"/>
        <v>0</v>
      </c>
      <c r="EC169" s="32">
        <f t="shared" si="333"/>
        <v>0</v>
      </c>
      <c r="ED169" s="32">
        <f t="shared" si="333"/>
        <v>0</v>
      </c>
      <c r="EE169" s="32">
        <f t="shared" si="333"/>
        <v>0</v>
      </c>
      <c r="EF169" s="32">
        <f t="shared" si="333"/>
        <v>0</v>
      </c>
      <c r="EG169" s="32">
        <f t="shared" ref="EG169:FH169" si="334">EG160+EG165+EG166+EG167</f>
        <v>0</v>
      </c>
      <c r="EH169" s="32">
        <f t="shared" si="334"/>
        <v>0</v>
      </c>
      <c r="EI169" s="32">
        <f t="shared" si="334"/>
        <v>0</v>
      </c>
      <c r="EJ169" s="32">
        <f t="shared" si="334"/>
        <v>0</v>
      </c>
      <c r="EK169" s="32">
        <f t="shared" si="334"/>
        <v>0</v>
      </c>
      <c r="EL169" s="32">
        <f t="shared" si="334"/>
        <v>0</v>
      </c>
      <c r="EM169" s="32">
        <f t="shared" si="334"/>
        <v>0</v>
      </c>
      <c r="EN169" s="32">
        <f t="shared" si="334"/>
        <v>0</v>
      </c>
      <c r="EO169" s="32">
        <f t="shared" si="334"/>
        <v>0</v>
      </c>
      <c r="EP169" s="32">
        <f t="shared" si="334"/>
        <v>0</v>
      </c>
      <c r="EQ169" s="32">
        <f t="shared" si="334"/>
        <v>0</v>
      </c>
      <c r="ER169" s="32">
        <f t="shared" si="334"/>
        <v>0</v>
      </c>
      <c r="ES169" s="32">
        <f t="shared" si="334"/>
        <v>0</v>
      </c>
      <c r="ET169" s="32">
        <f t="shared" si="334"/>
        <v>0</v>
      </c>
      <c r="EU169" s="32">
        <f t="shared" si="334"/>
        <v>0</v>
      </c>
      <c r="EV169" s="32">
        <f t="shared" si="334"/>
        <v>0</v>
      </c>
      <c r="EW169" s="32">
        <f t="shared" si="334"/>
        <v>0</v>
      </c>
      <c r="EX169" s="32">
        <f t="shared" si="334"/>
        <v>0</v>
      </c>
      <c r="EY169" s="32">
        <f t="shared" si="334"/>
        <v>0</v>
      </c>
      <c r="EZ169" s="32">
        <f t="shared" si="334"/>
        <v>0</v>
      </c>
      <c r="FA169" s="32">
        <f t="shared" si="334"/>
        <v>0</v>
      </c>
      <c r="FB169" s="32">
        <f t="shared" si="334"/>
        <v>0</v>
      </c>
      <c r="FC169" s="32">
        <f t="shared" si="334"/>
        <v>0</v>
      </c>
      <c r="FD169" s="32">
        <f t="shared" si="334"/>
        <v>0</v>
      </c>
      <c r="FE169" s="32">
        <f t="shared" si="334"/>
        <v>0</v>
      </c>
      <c r="FF169" s="32">
        <f t="shared" si="334"/>
        <v>0</v>
      </c>
      <c r="FG169" s="32">
        <f t="shared" si="334"/>
        <v>0</v>
      </c>
      <c r="FH169" s="32">
        <f t="shared" si="334"/>
        <v>0</v>
      </c>
    </row>
    <row r="170" spans="1:164" x14ac:dyDescent="0.2">
      <c r="A170" s="10"/>
      <c r="B170" s="10"/>
      <c r="C170" s="10" t="s">
        <v>918</v>
      </c>
      <c r="D170" s="10"/>
      <c r="E170" s="10"/>
      <c r="F170" s="10"/>
      <c r="G170" s="10"/>
      <c r="H170" s="12"/>
      <c r="I170" s="12">
        <f>I169</f>
        <v>0</v>
      </c>
      <c r="J170" s="12">
        <f t="shared" ref="J170:AO170" si="335">I170+J169</f>
        <v>0</v>
      </c>
      <c r="K170" s="12">
        <f t="shared" si="335"/>
        <v>0</v>
      </c>
      <c r="L170" s="12">
        <f t="shared" si="335"/>
        <v>0</v>
      </c>
      <c r="M170" s="12">
        <f t="shared" si="335"/>
        <v>0</v>
      </c>
      <c r="N170" s="12">
        <f t="shared" si="335"/>
        <v>0</v>
      </c>
      <c r="O170" s="12">
        <f t="shared" si="335"/>
        <v>0</v>
      </c>
      <c r="P170" s="12">
        <f t="shared" si="335"/>
        <v>0</v>
      </c>
      <c r="Q170" s="12">
        <f t="shared" si="335"/>
        <v>0</v>
      </c>
      <c r="R170" s="12">
        <f t="shared" si="335"/>
        <v>0</v>
      </c>
      <c r="S170" s="12">
        <f t="shared" si="335"/>
        <v>0</v>
      </c>
      <c r="T170" s="12">
        <f t="shared" si="335"/>
        <v>0</v>
      </c>
      <c r="U170" s="12">
        <f t="shared" si="335"/>
        <v>0</v>
      </c>
      <c r="V170" s="12">
        <f t="shared" si="335"/>
        <v>0</v>
      </c>
      <c r="W170" s="12">
        <f t="shared" si="335"/>
        <v>0</v>
      </c>
      <c r="X170" s="12">
        <f t="shared" si="335"/>
        <v>0</v>
      </c>
      <c r="Y170" s="12">
        <f t="shared" si="335"/>
        <v>0</v>
      </c>
      <c r="Z170" s="12">
        <f t="shared" si="335"/>
        <v>0</v>
      </c>
      <c r="AA170" s="12">
        <f t="shared" si="335"/>
        <v>0</v>
      </c>
      <c r="AB170" s="12">
        <f t="shared" si="335"/>
        <v>0</v>
      </c>
      <c r="AC170" s="12">
        <f t="shared" si="335"/>
        <v>0</v>
      </c>
      <c r="AD170" s="12">
        <f t="shared" si="335"/>
        <v>0</v>
      </c>
      <c r="AE170" s="12">
        <f t="shared" si="335"/>
        <v>0</v>
      </c>
      <c r="AF170" s="12">
        <f t="shared" si="335"/>
        <v>0</v>
      </c>
      <c r="AG170" s="12">
        <f t="shared" si="335"/>
        <v>0</v>
      </c>
      <c r="AH170" s="12">
        <f t="shared" si="335"/>
        <v>0</v>
      </c>
      <c r="AI170" s="12">
        <f t="shared" si="335"/>
        <v>0</v>
      </c>
      <c r="AJ170" s="12">
        <f t="shared" si="335"/>
        <v>0</v>
      </c>
      <c r="AK170" s="12">
        <f t="shared" si="335"/>
        <v>0</v>
      </c>
      <c r="AL170" s="12">
        <f t="shared" si="335"/>
        <v>0</v>
      </c>
      <c r="AM170" s="12">
        <f t="shared" si="335"/>
        <v>-223.02500000000001</v>
      </c>
      <c r="AN170" s="12">
        <f t="shared" si="335"/>
        <v>-446.05</v>
      </c>
      <c r="AO170" s="12">
        <f t="shared" si="335"/>
        <v>-669.07500000000005</v>
      </c>
      <c r="AP170" s="12">
        <f t="shared" ref="AP170:BU170" si="336">AO170+AP169</f>
        <v>-1668.58</v>
      </c>
      <c r="AQ170" s="12">
        <f t="shared" si="336"/>
        <v>-2668.085</v>
      </c>
      <c r="AR170" s="12">
        <f t="shared" si="336"/>
        <v>-3667.59</v>
      </c>
      <c r="AS170" s="12">
        <f t="shared" si="336"/>
        <v>-2599.2151392586538</v>
      </c>
      <c r="AT170" s="12">
        <f t="shared" si="336"/>
        <v>-1403.0538556601641</v>
      </c>
      <c r="AU170" s="12">
        <f t="shared" si="336"/>
        <v>-75.347725002850893</v>
      </c>
      <c r="AV170" s="12">
        <f t="shared" si="336"/>
        <v>1387.8894601999168</v>
      </c>
      <c r="AW170" s="12">
        <f t="shared" si="336"/>
        <v>2990.8930454026845</v>
      </c>
      <c r="AX170" s="12">
        <f t="shared" si="336"/>
        <v>4738.1716241538397</v>
      </c>
      <c r="AY170" s="12">
        <f t="shared" si="336"/>
        <v>3086.2521742648355</v>
      </c>
      <c r="AZ170" s="12">
        <f t="shared" si="336"/>
        <v>534.48265036464591</v>
      </c>
      <c r="BA170" s="12">
        <f t="shared" si="336"/>
        <v>-2900.7119218284683</v>
      </c>
      <c r="BB170" s="12">
        <f t="shared" si="336"/>
        <v>-7192.7959126756614</v>
      </c>
      <c r="BC170" s="12">
        <f t="shared" si="336"/>
        <v>-12305.391439613237</v>
      </c>
      <c r="BD170" s="12">
        <f t="shared" si="336"/>
        <v>-18192.6520482698</v>
      </c>
      <c r="BE170" s="12">
        <f t="shared" si="336"/>
        <v>-23761.697056806664</v>
      </c>
      <c r="BF170" s="12">
        <f t="shared" si="336"/>
        <v>-29987.301525904964</v>
      </c>
      <c r="BG170" s="12">
        <f t="shared" si="336"/>
        <v>-36798.433554148047</v>
      </c>
      <c r="BH170" s="12">
        <f t="shared" si="336"/>
        <v>-43340.552244114711</v>
      </c>
      <c r="BI170" s="12">
        <f t="shared" si="336"/>
        <v>-50305.856486721539</v>
      </c>
      <c r="BJ170" s="12">
        <f t="shared" si="336"/>
        <v>-57604.714457529888</v>
      </c>
      <c r="BK170" s="12">
        <f t="shared" si="336"/>
        <v>-65143.062486837036</v>
      </c>
      <c r="BL170" s="12">
        <f t="shared" si="336"/>
        <v>-66435.598984827142</v>
      </c>
      <c r="BM170" s="12">
        <f t="shared" si="336"/>
        <v>-67224.684753983092</v>
      </c>
      <c r="BN170" s="12">
        <f t="shared" si="336"/>
        <v>-68020.498992340785</v>
      </c>
      <c r="BO170" s="12">
        <f t="shared" si="336"/>
        <v>-68797.587017368962</v>
      </c>
      <c r="BP170" s="12">
        <f t="shared" si="336"/>
        <v>-69529.343972464354</v>
      </c>
      <c r="BQ170" s="12">
        <f t="shared" si="336"/>
        <v>-70188.088638319736</v>
      </c>
      <c r="BR170" s="12">
        <f t="shared" si="336"/>
        <v>-70745.080488346677</v>
      </c>
      <c r="BS170" s="12">
        <f t="shared" si="336"/>
        <v>-71170.447566597548</v>
      </c>
      <c r="BT170" s="12">
        <f t="shared" si="336"/>
        <v>-71432.972906588358</v>
      </c>
      <c r="BU170" s="12">
        <f t="shared" si="336"/>
        <v>-71499.650002493072</v>
      </c>
      <c r="BV170" s="12">
        <f t="shared" ref="BV170:DA170" si="337">BU170+BV169</f>
        <v>-71334.843432033507</v>
      </c>
      <c r="BW170" s="12">
        <f t="shared" si="337"/>
        <v>-70898.729467345722</v>
      </c>
      <c r="BX170" s="12">
        <f t="shared" si="337"/>
        <v>-70144.304389039593</v>
      </c>
      <c r="BY170" s="12">
        <f t="shared" si="337"/>
        <v>-69011.183468190939</v>
      </c>
      <c r="BZ170" s="12">
        <f t="shared" si="337"/>
        <v>-67410.864118891463</v>
      </c>
      <c r="CA170" s="12">
        <f t="shared" si="337"/>
        <v>-65182.153604472849</v>
      </c>
      <c r="CB170" s="12">
        <f t="shared" si="337"/>
        <v>-61867.675461606654</v>
      </c>
      <c r="CC170" s="12">
        <f t="shared" si="337"/>
        <v>-44739.421957531369</v>
      </c>
      <c r="CD170" s="12">
        <f t="shared" si="337"/>
        <v>-42817.752773456108</v>
      </c>
      <c r="CE170" s="12">
        <f t="shared" si="337"/>
        <v>-40896.083589380847</v>
      </c>
      <c r="CF170" s="12">
        <f t="shared" si="337"/>
        <v>-38974.414405305586</v>
      </c>
      <c r="CG170" s="12">
        <f t="shared" si="337"/>
        <v>-37052.745221230325</v>
      </c>
      <c r="CH170" s="12">
        <f t="shared" si="337"/>
        <v>-35131.076037155064</v>
      </c>
      <c r="CI170" s="12">
        <f t="shared" si="337"/>
        <v>-33209.406853079803</v>
      </c>
      <c r="CJ170" s="12">
        <f t="shared" si="337"/>
        <v>-31287.737669004542</v>
      </c>
      <c r="CK170" s="12">
        <f t="shared" si="337"/>
        <v>-29366.068484929281</v>
      </c>
      <c r="CL170" s="12">
        <f t="shared" si="337"/>
        <v>-27444.39930085402</v>
      </c>
      <c r="CM170" s="12">
        <f t="shared" si="337"/>
        <v>-25522.730116778759</v>
      </c>
      <c r="CN170" s="12">
        <f t="shared" si="337"/>
        <v>184140.53618729694</v>
      </c>
      <c r="CO170" s="12">
        <f t="shared" si="337"/>
        <v>184140.53618729694</v>
      </c>
      <c r="CP170" s="12">
        <f t="shared" si="337"/>
        <v>184140.53618729694</v>
      </c>
      <c r="CQ170" s="12">
        <f t="shared" si="337"/>
        <v>184140.53618729694</v>
      </c>
      <c r="CR170" s="12">
        <f t="shared" si="337"/>
        <v>184140.53618729694</v>
      </c>
      <c r="CS170" s="12">
        <f t="shared" si="337"/>
        <v>184140.53618729694</v>
      </c>
      <c r="CT170" s="12">
        <f t="shared" si="337"/>
        <v>184140.53618729694</v>
      </c>
      <c r="CU170" s="12">
        <f t="shared" si="337"/>
        <v>184140.53618729694</v>
      </c>
      <c r="CV170" s="12">
        <f t="shared" si="337"/>
        <v>184140.53618729694</v>
      </c>
      <c r="CW170" s="12">
        <f t="shared" si="337"/>
        <v>184140.53618729694</v>
      </c>
      <c r="CX170" s="12">
        <f t="shared" si="337"/>
        <v>184140.53618729694</v>
      </c>
      <c r="CY170" s="12">
        <f t="shared" si="337"/>
        <v>184140.53618729694</v>
      </c>
      <c r="CZ170" s="12">
        <f t="shared" si="337"/>
        <v>184140.53618729694</v>
      </c>
      <c r="DA170" s="12">
        <f t="shared" si="337"/>
        <v>184140.53618729694</v>
      </c>
      <c r="DB170" s="12">
        <f t="shared" ref="DB170:EG170" si="338">DA170+DB169</f>
        <v>184140.53618729694</v>
      </c>
      <c r="DC170" s="12">
        <f t="shared" si="338"/>
        <v>184140.53618729694</v>
      </c>
      <c r="DD170" s="12">
        <f t="shared" si="338"/>
        <v>184140.53618729694</v>
      </c>
      <c r="DE170" s="12">
        <f t="shared" si="338"/>
        <v>184140.53618729694</v>
      </c>
      <c r="DF170" s="12">
        <f t="shared" si="338"/>
        <v>184140.53618729694</v>
      </c>
      <c r="DG170" s="12">
        <f t="shared" si="338"/>
        <v>184140.53618729694</v>
      </c>
      <c r="DH170" s="12">
        <f t="shared" si="338"/>
        <v>184140.53618729694</v>
      </c>
      <c r="DI170" s="12">
        <f t="shared" si="338"/>
        <v>184140.53618729694</v>
      </c>
      <c r="DJ170" s="12">
        <f t="shared" si="338"/>
        <v>184140.53618729694</v>
      </c>
      <c r="DK170" s="12">
        <f t="shared" si="338"/>
        <v>184140.53618729694</v>
      </c>
      <c r="DL170" s="12">
        <f t="shared" si="338"/>
        <v>184140.53618729694</v>
      </c>
      <c r="DM170" s="12">
        <f t="shared" si="338"/>
        <v>184140.53618729694</v>
      </c>
      <c r="DN170" s="12">
        <f t="shared" si="338"/>
        <v>184140.53618729694</v>
      </c>
      <c r="DO170" s="12">
        <f t="shared" si="338"/>
        <v>184140.53618729694</v>
      </c>
      <c r="DP170" s="12">
        <f t="shared" si="338"/>
        <v>184140.53618729694</v>
      </c>
      <c r="DQ170" s="12">
        <f t="shared" si="338"/>
        <v>184140.53618729694</v>
      </c>
      <c r="DR170" s="12">
        <f t="shared" si="338"/>
        <v>184140.53618729694</v>
      </c>
      <c r="DS170" s="12">
        <f t="shared" si="338"/>
        <v>184140.53618729694</v>
      </c>
      <c r="DT170" s="12">
        <f t="shared" si="338"/>
        <v>184140.53618729694</v>
      </c>
      <c r="DU170" s="12">
        <f t="shared" si="338"/>
        <v>184140.53618729694</v>
      </c>
      <c r="DV170" s="12">
        <f t="shared" si="338"/>
        <v>184140.53618729694</v>
      </c>
      <c r="DW170" s="12">
        <f t="shared" si="338"/>
        <v>184140.53618729694</v>
      </c>
      <c r="DX170" s="12">
        <f t="shared" si="338"/>
        <v>184140.53618729694</v>
      </c>
      <c r="DY170" s="12">
        <f t="shared" si="338"/>
        <v>184140.53618729694</v>
      </c>
      <c r="DZ170" s="12">
        <f t="shared" si="338"/>
        <v>184140.53618729694</v>
      </c>
      <c r="EA170" s="12">
        <f t="shared" si="338"/>
        <v>184140.53618729694</v>
      </c>
      <c r="EB170" s="12">
        <f t="shared" si="338"/>
        <v>184140.53618729694</v>
      </c>
      <c r="EC170" s="12">
        <f t="shared" si="338"/>
        <v>184140.53618729694</v>
      </c>
      <c r="ED170" s="12">
        <f t="shared" si="338"/>
        <v>184140.53618729694</v>
      </c>
      <c r="EE170" s="12">
        <f t="shared" si="338"/>
        <v>184140.53618729694</v>
      </c>
      <c r="EF170" s="12">
        <f t="shared" si="338"/>
        <v>184140.53618729694</v>
      </c>
      <c r="EG170" s="12">
        <f t="shared" si="338"/>
        <v>184140.53618729694</v>
      </c>
      <c r="EH170" s="12">
        <f t="shared" ref="EH170:FH170" si="339">EG170+EH169</f>
        <v>184140.53618729694</v>
      </c>
      <c r="EI170" s="12">
        <f t="shared" si="339"/>
        <v>184140.53618729694</v>
      </c>
      <c r="EJ170" s="12">
        <f t="shared" si="339"/>
        <v>184140.53618729694</v>
      </c>
      <c r="EK170" s="12">
        <f t="shared" si="339"/>
        <v>184140.53618729694</v>
      </c>
      <c r="EL170" s="12">
        <f t="shared" si="339"/>
        <v>184140.53618729694</v>
      </c>
      <c r="EM170" s="12">
        <f t="shared" si="339"/>
        <v>184140.53618729694</v>
      </c>
      <c r="EN170" s="12">
        <f t="shared" si="339"/>
        <v>184140.53618729694</v>
      </c>
      <c r="EO170" s="12">
        <f t="shared" si="339"/>
        <v>184140.53618729694</v>
      </c>
      <c r="EP170" s="12">
        <f t="shared" si="339"/>
        <v>184140.53618729694</v>
      </c>
      <c r="EQ170" s="12">
        <f t="shared" si="339"/>
        <v>184140.53618729694</v>
      </c>
      <c r="ER170" s="12">
        <f t="shared" si="339"/>
        <v>184140.53618729694</v>
      </c>
      <c r="ES170" s="12">
        <f t="shared" si="339"/>
        <v>184140.53618729694</v>
      </c>
      <c r="ET170" s="12">
        <f t="shared" si="339"/>
        <v>184140.53618729694</v>
      </c>
      <c r="EU170" s="12">
        <f t="shared" si="339"/>
        <v>184140.53618729694</v>
      </c>
      <c r="EV170" s="12">
        <f t="shared" si="339"/>
        <v>184140.53618729694</v>
      </c>
      <c r="EW170" s="12">
        <f t="shared" si="339"/>
        <v>184140.53618729694</v>
      </c>
      <c r="EX170" s="12">
        <f t="shared" si="339"/>
        <v>184140.53618729694</v>
      </c>
      <c r="EY170" s="12">
        <f t="shared" si="339"/>
        <v>184140.53618729694</v>
      </c>
      <c r="EZ170" s="12">
        <f t="shared" si="339"/>
        <v>184140.53618729694</v>
      </c>
      <c r="FA170" s="12">
        <f t="shared" si="339"/>
        <v>184140.53618729694</v>
      </c>
      <c r="FB170" s="12">
        <f t="shared" si="339"/>
        <v>184140.53618729694</v>
      </c>
      <c r="FC170" s="12">
        <f t="shared" si="339"/>
        <v>184140.53618729694</v>
      </c>
      <c r="FD170" s="12">
        <f t="shared" si="339"/>
        <v>184140.53618729694</v>
      </c>
      <c r="FE170" s="12">
        <f t="shared" si="339"/>
        <v>184140.53618729694</v>
      </c>
      <c r="FF170" s="12">
        <f t="shared" si="339"/>
        <v>184140.53618729694</v>
      </c>
      <c r="FG170" s="12">
        <f t="shared" si="339"/>
        <v>184140.53618729694</v>
      </c>
      <c r="FH170" s="12">
        <f t="shared" si="339"/>
        <v>184140.53618729694</v>
      </c>
    </row>
    <row r="171" spans="1:164" x14ac:dyDescent="0.2">
      <c r="A171" s="10"/>
      <c r="B171" s="10"/>
      <c r="C171" s="70" t="s">
        <v>919</v>
      </c>
      <c r="D171" s="70"/>
      <c r="E171" s="70"/>
      <c r="F171" s="70"/>
      <c r="G171" s="70"/>
      <c r="H171" s="56">
        <f>SUM(I171:FH171)</f>
        <v>184140.53618729694</v>
      </c>
      <c r="I171" s="56">
        <f t="shared" ref="I171:AN171" si="340">IF($D$14="Levered",I169,I160)</f>
        <v>0</v>
      </c>
      <c r="J171" s="56">
        <f t="shared" si="340"/>
        <v>0</v>
      </c>
      <c r="K171" s="56">
        <f t="shared" si="340"/>
        <v>0</v>
      </c>
      <c r="L171" s="56">
        <f t="shared" si="340"/>
        <v>0</v>
      </c>
      <c r="M171" s="56">
        <f t="shared" si="340"/>
        <v>0</v>
      </c>
      <c r="N171" s="56">
        <f t="shared" si="340"/>
        <v>0</v>
      </c>
      <c r="O171" s="56">
        <f t="shared" si="340"/>
        <v>0</v>
      </c>
      <c r="P171" s="56">
        <f t="shared" si="340"/>
        <v>0</v>
      </c>
      <c r="Q171" s="56">
        <f t="shared" si="340"/>
        <v>0</v>
      </c>
      <c r="R171" s="56">
        <f t="shared" si="340"/>
        <v>0</v>
      </c>
      <c r="S171" s="56">
        <f t="shared" si="340"/>
        <v>0</v>
      </c>
      <c r="T171" s="56">
        <f t="shared" si="340"/>
        <v>0</v>
      </c>
      <c r="U171" s="56">
        <f t="shared" si="340"/>
        <v>0</v>
      </c>
      <c r="V171" s="56">
        <f t="shared" si="340"/>
        <v>0</v>
      </c>
      <c r="W171" s="56">
        <f t="shared" si="340"/>
        <v>0</v>
      </c>
      <c r="X171" s="56">
        <f t="shared" si="340"/>
        <v>0</v>
      </c>
      <c r="Y171" s="56">
        <f t="shared" si="340"/>
        <v>0</v>
      </c>
      <c r="Z171" s="56">
        <f t="shared" si="340"/>
        <v>0</v>
      </c>
      <c r="AA171" s="56">
        <f t="shared" si="340"/>
        <v>0</v>
      </c>
      <c r="AB171" s="56">
        <f t="shared" si="340"/>
        <v>0</v>
      </c>
      <c r="AC171" s="56">
        <f t="shared" si="340"/>
        <v>0</v>
      </c>
      <c r="AD171" s="56">
        <f t="shared" si="340"/>
        <v>0</v>
      </c>
      <c r="AE171" s="56">
        <f t="shared" si="340"/>
        <v>0</v>
      </c>
      <c r="AF171" s="56">
        <f t="shared" si="340"/>
        <v>0</v>
      </c>
      <c r="AG171" s="56">
        <f t="shared" si="340"/>
        <v>0</v>
      </c>
      <c r="AH171" s="56">
        <f t="shared" si="340"/>
        <v>0</v>
      </c>
      <c r="AI171" s="56">
        <f t="shared" si="340"/>
        <v>0</v>
      </c>
      <c r="AJ171" s="56">
        <f t="shared" si="340"/>
        <v>0</v>
      </c>
      <c r="AK171" s="56">
        <f t="shared" si="340"/>
        <v>0</v>
      </c>
      <c r="AL171" s="56">
        <f t="shared" si="340"/>
        <v>0</v>
      </c>
      <c r="AM171" s="56">
        <f t="shared" si="340"/>
        <v>-223.02500000000001</v>
      </c>
      <c r="AN171" s="56">
        <f t="shared" si="340"/>
        <v>-223.02500000000001</v>
      </c>
      <c r="AO171" s="56">
        <f t="shared" ref="AO171:BT171" si="341">IF($D$14="Levered",AO169,AO160)</f>
        <v>-223.02500000000001</v>
      </c>
      <c r="AP171" s="56">
        <f t="shared" si="341"/>
        <v>-999.50499999999988</v>
      </c>
      <c r="AQ171" s="56">
        <f t="shared" si="341"/>
        <v>-999.50499999999988</v>
      </c>
      <c r="AR171" s="56">
        <f t="shared" si="341"/>
        <v>-999.50499999999988</v>
      </c>
      <c r="AS171" s="56">
        <f t="shared" si="341"/>
        <v>1068.3748607413463</v>
      </c>
      <c r="AT171" s="56">
        <f t="shared" si="341"/>
        <v>1196.1612835984897</v>
      </c>
      <c r="AU171" s="56">
        <f t="shared" si="341"/>
        <v>1327.7061306573132</v>
      </c>
      <c r="AV171" s="56">
        <f t="shared" si="341"/>
        <v>1463.2371852027677</v>
      </c>
      <c r="AW171" s="56">
        <f t="shared" si="341"/>
        <v>1603.0035852027677</v>
      </c>
      <c r="AX171" s="56">
        <f t="shared" si="341"/>
        <v>1747.2785787511548</v>
      </c>
      <c r="AY171" s="56">
        <f t="shared" si="341"/>
        <v>-1651.9194498890042</v>
      </c>
      <c r="AZ171" s="56">
        <f t="shared" si="341"/>
        <v>-2551.7695239001896</v>
      </c>
      <c r="BA171" s="56">
        <f t="shared" si="341"/>
        <v>-3435.1945721931143</v>
      </c>
      <c r="BB171" s="56">
        <f t="shared" si="341"/>
        <v>-4292.0839908471935</v>
      </c>
      <c r="BC171" s="56">
        <f t="shared" si="341"/>
        <v>-5112.5955269375754</v>
      </c>
      <c r="BD171" s="56">
        <f t="shared" si="341"/>
        <v>-5887.2606086565629</v>
      </c>
      <c r="BE171" s="56">
        <f t="shared" si="341"/>
        <v>-5569.0450085368648</v>
      </c>
      <c r="BF171" s="56">
        <f t="shared" si="341"/>
        <v>-6225.6044690983017</v>
      </c>
      <c r="BG171" s="56">
        <f t="shared" si="341"/>
        <v>-6811.1320282430825</v>
      </c>
      <c r="BH171" s="56">
        <f t="shared" si="341"/>
        <v>-6542.1186899666664</v>
      </c>
      <c r="BI171" s="56">
        <f t="shared" si="341"/>
        <v>-6965.3042426068259</v>
      </c>
      <c r="BJ171" s="56">
        <f t="shared" si="341"/>
        <v>-7298.8579708083507</v>
      </c>
      <c r="BK171" s="56">
        <f t="shared" si="341"/>
        <v>-7538.3480293071452</v>
      </c>
      <c r="BL171" s="56">
        <f t="shared" si="341"/>
        <v>-1292.5364979901115</v>
      </c>
      <c r="BM171" s="56">
        <f t="shared" si="341"/>
        <v>-789.08576915595495</v>
      </c>
      <c r="BN171" s="56">
        <f t="shared" si="341"/>
        <v>-795.81423835769488</v>
      </c>
      <c r="BO171" s="56">
        <f t="shared" si="341"/>
        <v>-777.08802502817377</v>
      </c>
      <c r="BP171" s="56">
        <f t="shared" si="341"/>
        <v>-731.7569550953956</v>
      </c>
      <c r="BQ171" s="56">
        <f t="shared" si="341"/>
        <v>-658.74466585538585</v>
      </c>
      <c r="BR171" s="56">
        <f t="shared" si="341"/>
        <v>-556.99185002694503</v>
      </c>
      <c r="BS171" s="56">
        <f t="shared" si="341"/>
        <v>-425.3670782508712</v>
      </c>
      <c r="BT171" s="56">
        <f t="shared" si="341"/>
        <v>-262.52533999080509</v>
      </c>
      <c r="BU171" s="56">
        <f t="shared" ref="BU171:CZ171" si="342">IF($D$14="Levered",BU169,BU160)</f>
        <v>-66.677095904719295</v>
      </c>
      <c r="BV171" s="56">
        <f t="shared" si="342"/>
        <v>164.8065704595582</v>
      </c>
      <c r="BW171" s="56">
        <f t="shared" si="342"/>
        <v>436.11396468778651</v>
      </c>
      <c r="BX171" s="56">
        <f t="shared" si="342"/>
        <v>754.42507830613454</v>
      </c>
      <c r="BY171" s="56">
        <f t="shared" si="342"/>
        <v>1133.1209208486503</v>
      </c>
      <c r="BZ171" s="56">
        <f t="shared" si="342"/>
        <v>1600.3193492994772</v>
      </c>
      <c r="CA171" s="56">
        <f t="shared" si="342"/>
        <v>2228.7105144186157</v>
      </c>
      <c r="CB171" s="56">
        <f t="shared" si="342"/>
        <v>3314.4781428661981</v>
      </c>
      <c r="CC171" s="56">
        <f t="shared" si="342"/>
        <v>17128.253504075285</v>
      </c>
      <c r="CD171" s="56">
        <f t="shared" si="342"/>
        <v>1921.6691840752619</v>
      </c>
      <c r="CE171" s="56">
        <f t="shared" si="342"/>
        <v>1921.6691840752619</v>
      </c>
      <c r="CF171" s="56">
        <f t="shared" si="342"/>
        <v>1921.6691840752619</v>
      </c>
      <c r="CG171" s="56">
        <f t="shared" si="342"/>
        <v>1921.6691840752619</v>
      </c>
      <c r="CH171" s="56">
        <f t="shared" si="342"/>
        <v>1921.6691840752619</v>
      </c>
      <c r="CI171" s="56">
        <f t="shared" si="342"/>
        <v>1921.6691840752619</v>
      </c>
      <c r="CJ171" s="56">
        <f t="shared" si="342"/>
        <v>1921.6691840752619</v>
      </c>
      <c r="CK171" s="56">
        <f t="shared" si="342"/>
        <v>1921.6691840752619</v>
      </c>
      <c r="CL171" s="56">
        <f t="shared" si="342"/>
        <v>1921.6691840752619</v>
      </c>
      <c r="CM171" s="56">
        <f t="shared" si="342"/>
        <v>1921.6691840752619</v>
      </c>
      <c r="CN171" s="56">
        <f t="shared" si="342"/>
        <v>209663.26630407569</v>
      </c>
      <c r="CO171" s="56">
        <f t="shared" si="342"/>
        <v>0</v>
      </c>
      <c r="CP171" s="56">
        <f t="shared" si="342"/>
        <v>0</v>
      </c>
      <c r="CQ171" s="56">
        <f t="shared" si="342"/>
        <v>0</v>
      </c>
      <c r="CR171" s="56">
        <f t="shared" si="342"/>
        <v>0</v>
      </c>
      <c r="CS171" s="56">
        <f t="shared" si="342"/>
        <v>0</v>
      </c>
      <c r="CT171" s="56">
        <f t="shared" si="342"/>
        <v>0</v>
      </c>
      <c r="CU171" s="56">
        <f t="shared" si="342"/>
        <v>0</v>
      </c>
      <c r="CV171" s="56">
        <f t="shared" si="342"/>
        <v>0</v>
      </c>
      <c r="CW171" s="56">
        <f t="shared" si="342"/>
        <v>0</v>
      </c>
      <c r="CX171" s="56">
        <f t="shared" si="342"/>
        <v>0</v>
      </c>
      <c r="CY171" s="56">
        <f t="shared" si="342"/>
        <v>0</v>
      </c>
      <c r="CZ171" s="56">
        <f t="shared" si="342"/>
        <v>0</v>
      </c>
      <c r="DA171" s="56">
        <f t="shared" ref="DA171:EF171" si="343">IF($D$14="Levered",DA169,DA160)</f>
        <v>0</v>
      </c>
      <c r="DB171" s="56">
        <f t="shared" si="343"/>
        <v>0</v>
      </c>
      <c r="DC171" s="56">
        <f t="shared" si="343"/>
        <v>0</v>
      </c>
      <c r="DD171" s="56">
        <f t="shared" si="343"/>
        <v>0</v>
      </c>
      <c r="DE171" s="56">
        <f t="shared" si="343"/>
        <v>0</v>
      </c>
      <c r="DF171" s="56">
        <f t="shared" si="343"/>
        <v>0</v>
      </c>
      <c r="DG171" s="56">
        <f t="shared" si="343"/>
        <v>0</v>
      </c>
      <c r="DH171" s="56">
        <f t="shared" si="343"/>
        <v>0</v>
      </c>
      <c r="DI171" s="56">
        <f t="shared" si="343"/>
        <v>0</v>
      </c>
      <c r="DJ171" s="56">
        <f t="shared" si="343"/>
        <v>0</v>
      </c>
      <c r="DK171" s="56">
        <f t="shared" si="343"/>
        <v>0</v>
      </c>
      <c r="DL171" s="56">
        <f t="shared" si="343"/>
        <v>0</v>
      </c>
      <c r="DM171" s="56">
        <f t="shared" si="343"/>
        <v>0</v>
      </c>
      <c r="DN171" s="56">
        <f t="shared" si="343"/>
        <v>0</v>
      </c>
      <c r="DO171" s="56">
        <f t="shared" si="343"/>
        <v>0</v>
      </c>
      <c r="DP171" s="56">
        <f t="shared" si="343"/>
        <v>0</v>
      </c>
      <c r="DQ171" s="56">
        <f t="shared" si="343"/>
        <v>0</v>
      </c>
      <c r="DR171" s="56">
        <f t="shared" si="343"/>
        <v>0</v>
      </c>
      <c r="DS171" s="56">
        <f t="shared" si="343"/>
        <v>0</v>
      </c>
      <c r="DT171" s="56">
        <f t="shared" si="343"/>
        <v>0</v>
      </c>
      <c r="DU171" s="56">
        <f t="shared" si="343"/>
        <v>0</v>
      </c>
      <c r="DV171" s="56">
        <f t="shared" si="343"/>
        <v>0</v>
      </c>
      <c r="DW171" s="56">
        <f t="shared" si="343"/>
        <v>0</v>
      </c>
      <c r="DX171" s="56">
        <f t="shared" si="343"/>
        <v>0</v>
      </c>
      <c r="DY171" s="56">
        <f t="shared" si="343"/>
        <v>0</v>
      </c>
      <c r="DZ171" s="56">
        <f t="shared" si="343"/>
        <v>0</v>
      </c>
      <c r="EA171" s="56">
        <f t="shared" si="343"/>
        <v>0</v>
      </c>
      <c r="EB171" s="56">
        <f t="shared" si="343"/>
        <v>0</v>
      </c>
      <c r="EC171" s="56">
        <f t="shared" si="343"/>
        <v>0</v>
      </c>
      <c r="ED171" s="56">
        <f t="shared" si="343"/>
        <v>0</v>
      </c>
      <c r="EE171" s="56">
        <f t="shared" si="343"/>
        <v>0</v>
      </c>
      <c r="EF171" s="56">
        <f t="shared" si="343"/>
        <v>0</v>
      </c>
      <c r="EG171" s="56">
        <f t="shared" ref="EG171:FH171" si="344">IF($D$14="Levered",EG169,EG160)</f>
        <v>0</v>
      </c>
      <c r="EH171" s="56">
        <f t="shared" si="344"/>
        <v>0</v>
      </c>
      <c r="EI171" s="56">
        <f t="shared" si="344"/>
        <v>0</v>
      </c>
      <c r="EJ171" s="56">
        <f t="shared" si="344"/>
        <v>0</v>
      </c>
      <c r="EK171" s="56">
        <f t="shared" si="344"/>
        <v>0</v>
      </c>
      <c r="EL171" s="56">
        <f t="shared" si="344"/>
        <v>0</v>
      </c>
      <c r="EM171" s="56">
        <f t="shared" si="344"/>
        <v>0</v>
      </c>
      <c r="EN171" s="56">
        <f t="shared" si="344"/>
        <v>0</v>
      </c>
      <c r="EO171" s="56">
        <f t="shared" si="344"/>
        <v>0</v>
      </c>
      <c r="EP171" s="56">
        <f t="shared" si="344"/>
        <v>0</v>
      </c>
      <c r="EQ171" s="56">
        <f t="shared" si="344"/>
        <v>0</v>
      </c>
      <c r="ER171" s="56">
        <f t="shared" si="344"/>
        <v>0</v>
      </c>
      <c r="ES171" s="56">
        <f t="shared" si="344"/>
        <v>0</v>
      </c>
      <c r="ET171" s="56">
        <f t="shared" si="344"/>
        <v>0</v>
      </c>
      <c r="EU171" s="56">
        <f t="shared" si="344"/>
        <v>0</v>
      </c>
      <c r="EV171" s="56">
        <f t="shared" si="344"/>
        <v>0</v>
      </c>
      <c r="EW171" s="56">
        <f t="shared" si="344"/>
        <v>0</v>
      </c>
      <c r="EX171" s="56">
        <f t="shared" si="344"/>
        <v>0</v>
      </c>
      <c r="EY171" s="56">
        <f t="shared" si="344"/>
        <v>0</v>
      </c>
      <c r="EZ171" s="56">
        <f t="shared" si="344"/>
        <v>0</v>
      </c>
      <c r="FA171" s="56">
        <f t="shared" si="344"/>
        <v>0</v>
      </c>
      <c r="FB171" s="56">
        <f t="shared" si="344"/>
        <v>0</v>
      </c>
      <c r="FC171" s="56">
        <f t="shared" si="344"/>
        <v>0</v>
      </c>
      <c r="FD171" s="56">
        <f t="shared" si="344"/>
        <v>0</v>
      </c>
      <c r="FE171" s="56">
        <f t="shared" si="344"/>
        <v>0</v>
      </c>
      <c r="FF171" s="56">
        <f t="shared" si="344"/>
        <v>0</v>
      </c>
      <c r="FG171" s="56">
        <f t="shared" si="344"/>
        <v>0</v>
      </c>
      <c r="FH171" s="56">
        <f t="shared" si="344"/>
        <v>0</v>
      </c>
    </row>
    <row r="172" spans="1:164" x14ac:dyDescent="0.2">
      <c r="A172" s="10"/>
      <c r="B172" s="10"/>
      <c r="C172" s="10"/>
      <c r="D172" s="10"/>
      <c r="E172" s="10"/>
      <c r="F172" s="10"/>
      <c r="G172" s="10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  <c r="ED172" s="12"/>
      <c r="EE172" s="12"/>
      <c r="EF172" s="12"/>
      <c r="EG172" s="12"/>
      <c r="EH172" s="12"/>
      <c r="EI172" s="12"/>
      <c r="EJ172" s="12"/>
      <c r="EK172" s="12"/>
      <c r="EL172" s="12"/>
      <c r="EM172" s="12"/>
      <c r="EN172" s="12"/>
      <c r="EO172" s="12"/>
      <c r="EP172" s="12"/>
      <c r="EQ172" s="12"/>
      <c r="ER172" s="12"/>
      <c r="ES172" s="12"/>
      <c r="ET172" s="12"/>
      <c r="EU172" s="12"/>
      <c r="EV172" s="12"/>
      <c r="EW172" s="12"/>
      <c r="EX172" s="12"/>
      <c r="EY172" s="12"/>
      <c r="EZ172" s="12"/>
      <c r="FA172" s="12"/>
      <c r="FB172" s="12"/>
      <c r="FC172" s="12"/>
      <c r="FD172" s="12"/>
      <c r="FE172" s="12"/>
      <c r="FF172" s="12"/>
      <c r="FG172" s="12"/>
      <c r="FH172" s="12"/>
    </row>
    <row r="173" spans="1:164" x14ac:dyDescent="0.2">
      <c r="A173" s="10"/>
      <c r="B173" s="49" t="s">
        <v>921</v>
      </c>
      <c r="C173" s="237" t="str">
        <f>"Launch "&amp;TEXT($F$32,"mmm/yy")&amp;" · construction "&amp;TEXT($F$34,"mmm/yy")&amp;"–"&amp;TEXT(EDATE($F$35,-1),"mmm/yy")&amp;" · keys "&amp;TEXT($F$35,"mmm/yy")</f>
        <v>Lançamento jan/32 · obra jul/32–dez/34 · chaves jan/35</v>
      </c>
      <c r="D173" s="49"/>
      <c r="E173" s="49"/>
      <c r="F173" s="49"/>
      <c r="G173" s="49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50"/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50"/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50"/>
      <c r="EZ173" s="50"/>
      <c r="FA173" s="50"/>
      <c r="FB173" s="50"/>
      <c r="FC173" s="50"/>
      <c r="FD173" s="50"/>
      <c r="FE173" s="50"/>
      <c r="FF173" s="50"/>
      <c r="FG173" s="50"/>
      <c r="FH173" s="50"/>
    </row>
    <row r="174" spans="1:164" x14ac:dyDescent="0.2">
      <c r="A174" s="10"/>
      <c r="B174" s="10"/>
      <c r="C174" s="10" t="s">
        <v>742</v>
      </c>
      <c r="D174" s="10"/>
      <c r="E174" s="10"/>
      <c r="F174" s="10"/>
      <c r="G174" s="10"/>
      <c r="H174" s="18">
        <f>SUM(I174:FH174)</f>
        <v>0.99999999999999944</v>
      </c>
      <c r="I174" s="51">
        <f t="shared" ref="I174:AN174" si="345">IFERROR(IF(AND(I$6&gt;=$F$32,I$6&lt;EDATE($F$32,$F$39)),$F$38/$F$39,IF(AND(I$6&gt;=$F$43,I$6&lt;$F$35),$F$42/$F$44,IF(AND(I$6&gt;=$F$45,I$6&lt;$F$46),$F$40/$F$41,0))),0)</f>
        <v>0</v>
      </c>
      <c r="J174" s="51">
        <f t="shared" si="345"/>
        <v>0</v>
      </c>
      <c r="K174" s="51">
        <f t="shared" si="345"/>
        <v>0</v>
      </c>
      <c r="L174" s="51">
        <f t="shared" si="345"/>
        <v>0</v>
      </c>
      <c r="M174" s="51">
        <f t="shared" si="345"/>
        <v>0</v>
      </c>
      <c r="N174" s="51">
        <f t="shared" si="345"/>
        <v>0</v>
      </c>
      <c r="O174" s="51">
        <f t="shared" si="345"/>
        <v>0</v>
      </c>
      <c r="P174" s="51">
        <f t="shared" si="345"/>
        <v>0</v>
      </c>
      <c r="Q174" s="51">
        <f t="shared" si="345"/>
        <v>0</v>
      </c>
      <c r="R174" s="51">
        <f t="shared" si="345"/>
        <v>0</v>
      </c>
      <c r="S174" s="51">
        <f t="shared" si="345"/>
        <v>0</v>
      </c>
      <c r="T174" s="51">
        <f t="shared" si="345"/>
        <v>0</v>
      </c>
      <c r="U174" s="51">
        <f t="shared" si="345"/>
        <v>0</v>
      </c>
      <c r="V174" s="51">
        <f t="shared" si="345"/>
        <v>0</v>
      </c>
      <c r="W174" s="51">
        <f t="shared" si="345"/>
        <v>0</v>
      </c>
      <c r="X174" s="51">
        <f t="shared" si="345"/>
        <v>0</v>
      </c>
      <c r="Y174" s="51">
        <f t="shared" si="345"/>
        <v>0</v>
      </c>
      <c r="Z174" s="51">
        <f t="shared" si="345"/>
        <v>0</v>
      </c>
      <c r="AA174" s="51">
        <f t="shared" si="345"/>
        <v>0</v>
      </c>
      <c r="AB174" s="51">
        <f t="shared" si="345"/>
        <v>0</v>
      </c>
      <c r="AC174" s="51">
        <f t="shared" si="345"/>
        <v>0</v>
      </c>
      <c r="AD174" s="51">
        <f t="shared" si="345"/>
        <v>0</v>
      </c>
      <c r="AE174" s="51">
        <f t="shared" si="345"/>
        <v>0</v>
      </c>
      <c r="AF174" s="51">
        <f t="shared" si="345"/>
        <v>0</v>
      </c>
      <c r="AG174" s="51">
        <f t="shared" si="345"/>
        <v>0</v>
      </c>
      <c r="AH174" s="51">
        <f t="shared" si="345"/>
        <v>0</v>
      </c>
      <c r="AI174" s="51">
        <f t="shared" si="345"/>
        <v>0</v>
      </c>
      <c r="AJ174" s="51">
        <f t="shared" si="345"/>
        <v>0</v>
      </c>
      <c r="AK174" s="51">
        <f t="shared" si="345"/>
        <v>0</v>
      </c>
      <c r="AL174" s="51">
        <f t="shared" si="345"/>
        <v>0</v>
      </c>
      <c r="AM174" s="51">
        <f t="shared" si="345"/>
        <v>0</v>
      </c>
      <c r="AN174" s="51">
        <f t="shared" si="345"/>
        <v>0</v>
      </c>
      <c r="AO174" s="51">
        <f t="shared" ref="AO174:BT174" si="346">IFERROR(IF(AND(AO$6&gt;=$F$32,AO$6&lt;EDATE($F$32,$F$39)),$F$38/$F$39,IF(AND(AO$6&gt;=$F$43,AO$6&lt;$F$35),$F$42/$F$44,IF(AND(AO$6&gt;=$F$45,AO$6&lt;$F$46),$F$40/$F$41,0))),0)</f>
        <v>0</v>
      </c>
      <c r="AP174" s="51">
        <f t="shared" si="346"/>
        <v>0</v>
      </c>
      <c r="AQ174" s="51">
        <f t="shared" si="346"/>
        <v>0</v>
      </c>
      <c r="AR174" s="51">
        <f t="shared" si="346"/>
        <v>0</v>
      </c>
      <c r="AS174" s="51">
        <f t="shared" si="346"/>
        <v>0</v>
      </c>
      <c r="AT174" s="51">
        <f t="shared" si="346"/>
        <v>0</v>
      </c>
      <c r="AU174" s="51">
        <f t="shared" si="346"/>
        <v>0</v>
      </c>
      <c r="AV174" s="51">
        <f t="shared" si="346"/>
        <v>0</v>
      </c>
      <c r="AW174" s="51">
        <f t="shared" si="346"/>
        <v>0</v>
      </c>
      <c r="AX174" s="51">
        <f t="shared" si="346"/>
        <v>0</v>
      </c>
      <c r="AY174" s="51">
        <f t="shared" si="346"/>
        <v>0</v>
      </c>
      <c r="AZ174" s="51">
        <f t="shared" si="346"/>
        <v>0</v>
      </c>
      <c r="BA174" s="51">
        <f t="shared" si="346"/>
        <v>0</v>
      </c>
      <c r="BB174" s="51">
        <f t="shared" si="346"/>
        <v>0</v>
      </c>
      <c r="BC174" s="51">
        <f t="shared" si="346"/>
        <v>0</v>
      </c>
      <c r="BD174" s="51">
        <f t="shared" si="346"/>
        <v>0</v>
      </c>
      <c r="BE174" s="51">
        <f t="shared" si="346"/>
        <v>0</v>
      </c>
      <c r="BF174" s="51">
        <f t="shared" si="346"/>
        <v>0</v>
      </c>
      <c r="BG174" s="51">
        <f t="shared" si="346"/>
        <v>0</v>
      </c>
      <c r="BH174" s="51">
        <f t="shared" si="346"/>
        <v>0</v>
      </c>
      <c r="BI174" s="51">
        <f t="shared" si="346"/>
        <v>0</v>
      </c>
      <c r="BJ174" s="51">
        <f t="shared" si="346"/>
        <v>0</v>
      </c>
      <c r="BK174" s="51">
        <f t="shared" si="346"/>
        <v>0</v>
      </c>
      <c r="BL174" s="51">
        <f t="shared" si="346"/>
        <v>0</v>
      </c>
      <c r="BM174" s="51">
        <f t="shared" si="346"/>
        <v>0</v>
      </c>
      <c r="BN174" s="51">
        <f t="shared" si="346"/>
        <v>0</v>
      </c>
      <c r="BO174" s="51">
        <f t="shared" si="346"/>
        <v>0</v>
      </c>
      <c r="BP174" s="51">
        <f t="shared" si="346"/>
        <v>0</v>
      </c>
      <c r="BQ174" s="51">
        <f t="shared" si="346"/>
        <v>6.6666666666666666E-2</v>
      </c>
      <c r="BR174" s="51">
        <f t="shared" si="346"/>
        <v>6.6666666666666666E-2</v>
      </c>
      <c r="BS174" s="51">
        <f t="shared" si="346"/>
        <v>6.6666666666666666E-2</v>
      </c>
      <c r="BT174" s="51">
        <f t="shared" si="346"/>
        <v>6.6666666666666666E-2</v>
      </c>
      <c r="BU174" s="51">
        <f t="shared" ref="BU174:CZ174" si="347">IFERROR(IF(AND(BU$6&gt;=$F$32,BU$6&lt;EDATE($F$32,$F$39)),$F$38/$F$39,IF(AND(BU$6&gt;=$F$43,BU$6&lt;$F$35),$F$42/$F$44,IF(AND(BU$6&gt;=$F$45,BU$6&lt;$F$46),$F$40/$F$41,0))),0)</f>
        <v>6.6666666666666666E-2</v>
      </c>
      <c r="BV174" s="51">
        <f t="shared" si="347"/>
        <v>6.6666666666666666E-2</v>
      </c>
      <c r="BW174" s="51">
        <f t="shared" si="347"/>
        <v>1.3333333333333332E-2</v>
      </c>
      <c r="BX174" s="51">
        <f t="shared" si="347"/>
        <v>1.3333333333333332E-2</v>
      </c>
      <c r="BY174" s="51">
        <f t="shared" si="347"/>
        <v>1.3333333333333332E-2</v>
      </c>
      <c r="BZ174" s="51">
        <f t="shared" si="347"/>
        <v>1.3333333333333332E-2</v>
      </c>
      <c r="CA174" s="51">
        <f t="shared" si="347"/>
        <v>1.3333333333333332E-2</v>
      </c>
      <c r="CB174" s="51">
        <f t="shared" si="347"/>
        <v>1.3333333333333332E-2</v>
      </c>
      <c r="CC174" s="51">
        <f t="shared" si="347"/>
        <v>1.3333333333333332E-2</v>
      </c>
      <c r="CD174" s="51">
        <f t="shared" si="347"/>
        <v>1.3333333333333332E-2</v>
      </c>
      <c r="CE174" s="51">
        <f t="shared" si="347"/>
        <v>1.3333333333333332E-2</v>
      </c>
      <c r="CF174" s="51">
        <f t="shared" si="347"/>
        <v>1.3333333333333332E-2</v>
      </c>
      <c r="CG174" s="51">
        <f t="shared" si="347"/>
        <v>1.3333333333333332E-2</v>
      </c>
      <c r="CH174" s="51">
        <f t="shared" si="347"/>
        <v>1.3333333333333332E-2</v>
      </c>
      <c r="CI174" s="51">
        <f t="shared" si="347"/>
        <v>1.3333333333333332E-2</v>
      </c>
      <c r="CJ174" s="51">
        <f t="shared" si="347"/>
        <v>1.3333333333333332E-2</v>
      </c>
      <c r="CK174" s="51">
        <f t="shared" si="347"/>
        <v>1.3333333333333332E-2</v>
      </c>
      <c r="CL174" s="51">
        <f t="shared" si="347"/>
        <v>1.3333333333333332E-2</v>
      </c>
      <c r="CM174" s="51">
        <f t="shared" si="347"/>
        <v>1.3333333333333332E-2</v>
      </c>
      <c r="CN174" s="51">
        <f t="shared" si="347"/>
        <v>1.3333333333333332E-2</v>
      </c>
      <c r="CO174" s="51">
        <f t="shared" si="347"/>
        <v>1.3333333333333332E-2</v>
      </c>
      <c r="CP174" s="51">
        <f t="shared" si="347"/>
        <v>1.3333333333333332E-2</v>
      </c>
      <c r="CQ174" s="51">
        <f t="shared" si="347"/>
        <v>1.3333333333333332E-2</v>
      </c>
      <c r="CR174" s="51">
        <f t="shared" si="347"/>
        <v>1.3333333333333332E-2</v>
      </c>
      <c r="CS174" s="51">
        <f t="shared" si="347"/>
        <v>1.3333333333333332E-2</v>
      </c>
      <c r="CT174" s="51">
        <f t="shared" si="347"/>
        <v>1.3333333333333332E-2</v>
      </c>
      <c r="CU174" s="51">
        <f t="shared" si="347"/>
        <v>1.3333333333333332E-2</v>
      </c>
      <c r="CV174" s="51">
        <f t="shared" si="347"/>
        <v>1.3333333333333332E-2</v>
      </c>
      <c r="CW174" s="51">
        <f t="shared" si="347"/>
        <v>1.3333333333333332E-2</v>
      </c>
      <c r="CX174" s="51">
        <f t="shared" si="347"/>
        <v>1.3333333333333332E-2</v>
      </c>
      <c r="CY174" s="51">
        <f t="shared" si="347"/>
        <v>1.3333333333333332E-2</v>
      </c>
      <c r="CZ174" s="51">
        <f t="shared" si="347"/>
        <v>1.3333333333333332E-2</v>
      </c>
      <c r="DA174" s="51">
        <f t="shared" ref="DA174:EF174" si="348">IFERROR(IF(AND(DA$6&gt;=$F$32,DA$6&lt;EDATE($F$32,$F$39)),$F$38/$F$39,IF(AND(DA$6&gt;=$F$43,DA$6&lt;$F$35),$F$42/$F$44,IF(AND(DA$6&gt;=$F$45,DA$6&lt;$F$46),$F$40/$F$41,0))),0)</f>
        <v>0</v>
      </c>
      <c r="DB174" s="51">
        <f t="shared" si="348"/>
        <v>0.02</v>
      </c>
      <c r="DC174" s="51">
        <f t="shared" si="348"/>
        <v>0.02</v>
      </c>
      <c r="DD174" s="51">
        <f t="shared" si="348"/>
        <v>0.02</v>
      </c>
      <c r="DE174" s="51">
        <f t="shared" si="348"/>
        <v>0.02</v>
      </c>
      <c r="DF174" s="51">
        <f t="shared" si="348"/>
        <v>0.02</v>
      </c>
      <c r="DG174" s="51">
        <f t="shared" si="348"/>
        <v>0.02</v>
      </c>
      <c r="DH174" s="51">
        <f t="shared" si="348"/>
        <v>0.02</v>
      </c>
      <c r="DI174" s="51">
        <f t="shared" si="348"/>
        <v>0.02</v>
      </c>
      <c r="DJ174" s="51">
        <f t="shared" si="348"/>
        <v>0.02</v>
      </c>
      <c r="DK174" s="51">
        <f t="shared" si="348"/>
        <v>0.02</v>
      </c>
      <c r="DL174" s="51">
        <f t="shared" si="348"/>
        <v>0</v>
      </c>
      <c r="DM174" s="51">
        <f t="shared" si="348"/>
        <v>0</v>
      </c>
      <c r="DN174" s="51">
        <f t="shared" si="348"/>
        <v>0</v>
      </c>
      <c r="DO174" s="51">
        <f t="shared" si="348"/>
        <v>0</v>
      </c>
      <c r="DP174" s="51">
        <f t="shared" si="348"/>
        <v>0</v>
      </c>
      <c r="DQ174" s="51">
        <f t="shared" si="348"/>
        <v>0</v>
      </c>
      <c r="DR174" s="51">
        <f t="shared" si="348"/>
        <v>0</v>
      </c>
      <c r="DS174" s="51">
        <f t="shared" si="348"/>
        <v>0</v>
      </c>
      <c r="DT174" s="51">
        <f t="shared" si="348"/>
        <v>0</v>
      </c>
      <c r="DU174" s="51">
        <f t="shared" si="348"/>
        <v>0</v>
      </c>
      <c r="DV174" s="51">
        <f t="shared" si="348"/>
        <v>0</v>
      </c>
      <c r="DW174" s="51">
        <f t="shared" si="348"/>
        <v>0</v>
      </c>
      <c r="DX174" s="51">
        <f t="shared" si="348"/>
        <v>0</v>
      </c>
      <c r="DY174" s="51">
        <f t="shared" si="348"/>
        <v>0</v>
      </c>
      <c r="DZ174" s="51">
        <f t="shared" si="348"/>
        <v>0</v>
      </c>
      <c r="EA174" s="51">
        <f t="shared" si="348"/>
        <v>0</v>
      </c>
      <c r="EB174" s="51">
        <f t="shared" si="348"/>
        <v>0</v>
      </c>
      <c r="EC174" s="51">
        <f t="shared" si="348"/>
        <v>0</v>
      </c>
      <c r="ED174" s="51">
        <f t="shared" si="348"/>
        <v>0</v>
      </c>
      <c r="EE174" s="51">
        <f t="shared" si="348"/>
        <v>0</v>
      </c>
      <c r="EF174" s="51">
        <f t="shared" si="348"/>
        <v>0</v>
      </c>
      <c r="EG174" s="51">
        <f t="shared" ref="EG174:FH174" si="349">IFERROR(IF(AND(EG$6&gt;=$F$32,EG$6&lt;EDATE($F$32,$F$39)),$F$38/$F$39,IF(AND(EG$6&gt;=$F$43,EG$6&lt;$F$35),$F$42/$F$44,IF(AND(EG$6&gt;=$F$45,EG$6&lt;$F$46),$F$40/$F$41,0))),0)</f>
        <v>0</v>
      </c>
      <c r="EH174" s="51">
        <f t="shared" si="349"/>
        <v>0</v>
      </c>
      <c r="EI174" s="51">
        <f t="shared" si="349"/>
        <v>0</v>
      </c>
      <c r="EJ174" s="51">
        <f t="shared" si="349"/>
        <v>0</v>
      </c>
      <c r="EK174" s="51">
        <f t="shared" si="349"/>
        <v>0</v>
      </c>
      <c r="EL174" s="51">
        <f t="shared" si="349"/>
        <v>0</v>
      </c>
      <c r="EM174" s="51">
        <f t="shared" si="349"/>
        <v>0</v>
      </c>
      <c r="EN174" s="51">
        <f t="shared" si="349"/>
        <v>0</v>
      </c>
      <c r="EO174" s="51">
        <f t="shared" si="349"/>
        <v>0</v>
      </c>
      <c r="EP174" s="51">
        <f t="shared" si="349"/>
        <v>0</v>
      </c>
      <c r="EQ174" s="51">
        <f t="shared" si="349"/>
        <v>0</v>
      </c>
      <c r="ER174" s="51">
        <f t="shared" si="349"/>
        <v>0</v>
      </c>
      <c r="ES174" s="51">
        <f t="shared" si="349"/>
        <v>0</v>
      </c>
      <c r="ET174" s="51">
        <f t="shared" si="349"/>
        <v>0</v>
      </c>
      <c r="EU174" s="51">
        <f t="shared" si="349"/>
        <v>0</v>
      </c>
      <c r="EV174" s="51">
        <f t="shared" si="349"/>
        <v>0</v>
      </c>
      <c r="EW174" s="51">
        <f t="shared" si="349"/>
        <v>0</v>
      </c>
      <c r="EX174" s="51">
        <f t="shared" si="349"/>
        <v>0</v>
      </c>
      <c r="EY174" s="51">
        <f t="shared" si="349"/>
        <v>0</v>
      </c>
      <c r="EZ174" s="51">
        <f t="shared" si="349"/>
        <v>0</v>
      </c>
      <c r="FA174" s="51">
        <f t="shared" si="349"/>
        <v>0</v>
      </c>
      <c r="FB174" s="51">
        <f t="shared" si="349"/>
        <v>0</v>
      </c>
      <c r="FC174" s="51">
        <f t="shared" si="349"/>
        <v>0</v>
      </c>
      <c r="FD174" s="51">
        <f t="shared" si="349"/>
        <v>0</v>
      </c>
      <c r="FE174" s="51">
        <f t="shared" si="349"/>
        <v>0</v>
      </c>
      <c r="FF174" s="51">
        <f t="shared" si="349"/>
        <v>0</v>
      </c>
      <c r="FG174" s="51">
        <f t="shared" si="349"/>
        <v>0</v>
      </c>
      <c r="FH174" s="51">
        <f t="shared" si="349"/>
        <v>0</v>
      </c>
    </row>
    <row r="175" spans="1:164" x14ac:dyDescent="0.2">
      <c r="A175" s="10"/>
      <c r="B175" s="10"/>
      <c r="C175" s="10" t="s">
        <v>909</v>
      </c>
      <c r="D175" s="10"/>
      <c r="E175" s="10"/>
      <c r="F175" s="10"/>
      <c r="G175" s="10"/>
      <c r="H175" s="12">
        <f>SUM(I175:FH175)</f>
        <v>417962.89999999962</v>
      </c>
      <c r="I175" s="12">
        <f t="shared" ref="I175:AN175" si="350">I174*$F$23*(1+$D$11)^(MAX(0,DATEDIF($D$10,I$6,"m"))/12)</f>
        <v>0</v>
      </c>
      <c r="J175" s="12">
        <f t="shared" si="350"/>
        <v>0</v>
      </c>
      <c r="K175" s="12">
        <f t="shared" si="350"/>
        <v>0</v>
      </c>
      <c r="L175" s="12">
        <f t="shared" si="350"/>
        <v>0</v>
      </c>
      <c r="M175" s="12">
        <f t="shared" si="350"/>
        <v>0</v>
      </c>
      <c r="N175" s="12">
        <f t="shared" si="350"/>
        <v>0</v>
      </c>
      <c r="O175" s="12">
        <f t="shared" si="350"/>
        <v>0</v>
      </c>
      <c r="P175" s="12">
        <f t="shared" si="350"/>
        <v>0</v>
      </c>
      <c r="Q175" s="12">
        <f t="shared" si="350"/>
        <v>0</v>
      </c>
      <c r="R175" s="12">
        <f t="shared" si="350"/>
        <v>0</v>
      </c>
      <c r="S175" s="12">
        <f t="shared" si="350"/>
        <v>0</v>
      </c>
      <c r="T175" s="12">
        <f t="shared" si="350"/>
        <v>0</v>
      </c>
      <c r="U175" s="12">
        <f t="shared" si="350"/>
        <v>0</v>
      </c>
      <c r="V175" s="12">
        <f t="shared" si="350"/>
        <v>0</v>
      </c>
      <c r="W175" s="12">
        <f t="shared" si="350"/>
        <v>0</v>
      </c>
      <c r="X175" s="12">
        <f t="shared" si="350"/>
        <v>0</v>
      </c>
      <c r="Y175" s="12">
        <f t="shared" si="350"/>
        <v>0</v>
      </c>
      <c r="Z175" s="12">
        <f t="shared" si="350"/>
        <v>0</v>
      </c>
      <c r="AA175" s="12">
        <f t="shared" si="350"/>
        <v>0</v>
      </c>
      <c r="AB175" s="12">
        <f t="shared" si="350"/>
        <v>0</v>
      </c>
      <c r="AC175" s="12">
        <f t="shared" si="350"/>
        <v>0</v>
      </c>
      <c r="AD175" s="12">
        <f t="shared" si="350"/>
        <v>0</v>
      </c>
      <c r="AE175" s="12">
        <f t="shared" si="350"/>
        <v>0</v>
      </c>
      <c r="AF175" s="12">
        <f t="shared" si="350"/>
        <v>0</v>
      </c>
      <c r="AG175" s="12">
        <f t="shared" si="350"/>
        <v>0</v>
      </c>
      <c r="AH175" s="12">
        <f t="shared" si="350"/>
        <v>0</v>
      </c>
      <c r="AI175" s="12">
        <f t="shared" si="350"/>
        <v>0</v>
      </c>
      <c r="AJ175" s="12">
        <f t="shared" si="350"/>
        <v>0</v>
      </c>
      <c r="AK175" s="12">
        <f t="shared" si="350"/>
        <v>0</v>
      </c>
      <c r="AL175" s="12">
        <f t="shared" si="350"/>
        <v>0</v>
      </c>
      <c r="AM175" s="12">
        <f t="shared" si="350"/>
        <v>0</v>
      </c>
      <c r="AN175" s="12">
        <f t="shared" si="350"/>
        <v>0</v>
      </c>
      <c r="AO175" s="12">
        <f t="shared" ref="AO175:BT175" si="351">AO174*$F$23*(1+$D$11)^(MAX(0,DATEDIF($D$10,AO$6,"m"))/12)</f>
        <v>0</v>
      </c>
      <c r="AP175" s="12">
        <f t="shared" si="351"/>
        <v>0</v>
      </c>
      <c r="AQ175" s="12">
        <f t="shared" si="351"/>
        <v>0</v>
      </c>
      <c r="AR175" s="12">
        <f t="shared" si="351"/>
        <v>0</v>
      </c>
      <c r="AS175" s="12">
        <f t="shared" si="351"/>
        <v>0</v>
      </c>
      <c r="AT175" s="12">
        <f t="shared" si="351"/>
        <v>0</v>
      </c>
      <c r="AU175" s="12">
        <f t="shared" si="351"/>
        <v>0</v>
      </c>
      <c r="AV175" s="12">
        <f t="shared" si="351"/>
        <v>0</v>
      </c>
      <c r="AW175" s="12">
        <f t="shared" si="351"/>
        <v>0</v>
      </c>
      <c r="AX175" s="12">
        <f t="shared" si="351"/>
        <v>0</v>
      </c>
      <c r="AY175" s="12">
        <f t="shared" si="351"/>
        <v>0</v>
      </c>
      <c r="AZ175" s="12">
        <f t="shared" si="351"/>
        <v>0</v>
      </c>
      <c r="BA175" s="12">
        <f t="shared" si="351"/>
        <v>0</v>
      </c>
      <c r="BB175" s="12">
        <f t="shared" si="351"/>
        <v>0</v>
      </c>
      <c r="BC175" s="12">
        <f t="shared" si="351"/>
        <v>0</v>
      </c>
      <c r="BD175" s="12">
        <f t="shared" si="351"/>
        <v>0</v>
      </c>
      <c r="BE175" s="12">
        <f t="shared" si="351"/>
        <v>0</v>
      </c>
      <c r="BF175" s="12">
        <f t="shared" si="351"/>
        <v>0</v>
      </c>
      <c r="BG175" s="12">
        <f t="shared" si="351"/>
        <v>0</v>
      </c>
      <c r="BH175" s="12">
        <f t="shared" si="351"/>
        <v>0</v>
      </c>
      <c r="BI175" s="12">
        <f t="shared" si="351"/>
        <v>0</v>
      </c>
      <c r="BJ175" s="12">
        <f t="shared" si="351"/>
        <v>0</v>
      </c>
      <c r="BK175" s="12">
        <f t="shared" si="351"/>
        <v>0</v>
      </c>
      <c r="BL175" s="12">
        <f t="shared" si="351"/>
        <v>0</v>
      </c>
      <c r="BM175" s="12">
        <f t="shared" si="351"/>
        <v>0</v>
      </c>
      <c r="BN175" s="12">
        <f t="shared" si="351"/>
        <v>0</v>
      </c>
      <c r="BO175" s="12">
        <f t="shared" si="351"/>
        <v>0</v>
      </c>
      <c r="BP175" s="12">
        <f t="shared" si="351"/>
        <v>0</v>
      </c>
      <c r="BQ175" s="12">
        <f t="shared" si="351"/>
        <v>27864.193333333325</v>
      </c>
      <c r="BR175" s="12">
        <f t="shared" si="351"/>
        <v>27864.193333333325</v>
      </c>
      <c r="BS175" s="12">
        <f t="shared" si="351"/>
        <v>27864.193333333325</v>
      </c>
      <c r="BT175" s="12">
        <f t="shared" si="351"/>
        <v>27864.193333333325</v>
      </c>
      <c r="BU175" s="12">
        <f t="shared" ref="BU175:CZ175" si="352">BU174*$F$23*(1+$D$11)^(MAX(0,DATEDIF($D$10,BU$6,"m"))/12)</f>
        <v>27864.193333333325</v>
      </c>
      <c r="BV175" s="12">
        <f t="shared" si="352"/>
        <v>27864.193333333325</v>
      </c>
      <c r="BW175" s="12">
        <f t="shared" si="352"/>
        <v>5572.8386666666647</v>
      </c>
      <c r="BX175" s="12">
        <f t="shared" si="352"/>
        <v>5572.8386666666647</v>
      </c>
      <c r="BY175" s="12">
        <f t="shared" si="352"/>
        <v>5572.8386666666647</v>
      </c>
      <c r="BZ175" s="12">
        <f t="shared" si="352"/>
        <v>5572.8386666666647</v>
      </c>
      <c r="CA175" s="12">
        <f t="shared" si="352"/>
        <v>5572.8386666666647</v>
      </c>
      <c r="CB175" s="12">
        <f t="shared" si="352"/>
        <v>5572.8386666666647</v>
      </c>
      <c r="CC175" s="12">
        <f t="shared" si="352"/>
        <v>5572.8386666666647</v>
      </c>
      <c r="CD175" s="12">
        <f t="shared" si="352"/>
        <v>5572.8386666666647</v>
      </c>
      <c r="CE175" s="12">
        <f t="shared" si="352"/>
        <v>5572.8386666666647</v>
      </c>
      <c r="CF175" s="12">
        <f t="shared" si="352"/>
        <v>5572.8386666666647</v>
      </c>
      <c r="CG175" s="12">
        <f t="shared" si="352"/>
        <v>5572.8386666666647</v>
      </c>
      <c r="CH175" s="12">
        <f t="shared" si="352"/>
        <v>5572.8386666666647</v>
      </c>
      <c r="CI175" s="12">
        <f t="shared" si="352"/>
        <v>5572.8386666666647</v>
      </c>
      <c r="CJ175" s="12">
        <f t="shared" si="352"/>
        <v>5572.8386666666647</v>
      </c>
      <c r="CK175" s="12">
        <f t="shared" si="352"/>
        <v>5572.8386666666647</v>
      </c>
      <c r="CL175" s="12">
        <f t="shared" si="352"/>
        <v>5572.8386666666647</v>
      </c>
      <c r="CM175" s="12">
        <f t="shared" si="352"/>
        <v>5572.8386666666647</v>
      </c>
      <c r="CN175" s="12">
        <f t="shared" si="352"/>
        <v>5572.8386666666647</v>
      </c>
      <c r="CO175" s="12">
        <f t="shared" si="352"/>
        <v>5572.8386666666647</v>
      </c>
      <c r="CP175" s="12">
        <f t="shared" si="352"/>
        <v>5572.8386666666647</v>
      </c>
      <c r="CQ175" s="12">
        <f t="shared" si="352"/>
        <v>5572.8386666666647</v>
      </c>
      <c r="CR175" s="12">
        <f t="shared" si="352"/>
        <v>5572.8386666666647</v>
      </c>
      <c r="CS175" s="12">
        <f t="shared" si="352"/>
        <v>5572.8386666666647</v>
      </c>
      <c r="CT175" s="12">
        <f t="shared" si="352"/>
        <v>5572.8386666666647</v>
      </c>
      <c r="CU175" s="12">
        <f t="shared" si="352"/>
        <v>5572.8386666666647</v>
      </c>
      <c r="CV175" s="12">
        <f t="shared" si="352"/>
        <v>5572.8386666666647</v>
      </c>
      <c r="CW175" s="12">
        <f t="shared" si="352"/>
        <v>5572.8386666666647</v>
      </c>
      <c r="CX175" s="12">
        <f t="shared" si="352"/>
        <v>5572.8386666666647</v>
      </c>
      <c r="CY175" s="12">
        <f t="shared" si="352"/>
        <v>5572.8386666666647</v>
      </c>
      <c r="CZ175" s="12">
        <f t="shared" si="352"/>
        <v>5572.8386666666647</v>
      </c>
      <c r="DA175" s="12">
        <f t="shared" ref="DA175:EF175" si="353">DA174*$F$23*(1+$D$11)^(MAX(0,DATEDIF($D$10,DA$6,"m"))/12)</f>
        <v>0</v>
      </c>
      <c r="DB175" s="12">
        <f t="shared" si="353"/>
        <v>8359.257999999998</v>
      </c>
      <c r="DC175" s="12">
        <f t="shared" si="353"/>
        <v>8359.257999999998</v>
      </c>
      <c r="DD175" s="12">
        <f t="shared" si="353"/>
        <v>8359.257999999998</v>
      </c>
      <c r="DE175" s="12">
        <f t="shared" si="353"/>
        <v>8359.257999999998</v>
      </c>
      <c r="DF175" s="12">
        <f t="shared" si="353"/>
        <v>8359.257999999998</v>
      </c>
      <c r="DG175" s="12">
        <f t="shared" si="353"/>
        <v>8359.257999999998</v>
      </c>
      <c r="DH175" s="12">
        <f t="shared" si="353"/>
        <v>8359.257999999998</v>
      </c>
      <c r="DI175" s="12">
        <f t="shared" si="353"/>
        <v>8359.257999999998</v>
      </c>
      <c r="DJ175" s="12">
        <f t="shared" si="353"/>
        <v>8359.257999999998</v>
      </c>
      <c r="DK175" s="12">
        <f t="shared" si="353"/>
        <v>8359.257999999998</v>
      </c>
      <c r="DL175" s="12">
        <f t="shared" si="353"/>
        <v>0</v>
      </c>
      <c r="DM175" s="12">
        <f t="shared" si="353"/>
        <v>0</v>
      </c>
      <c r="DN175" s="12">
        <f t="shared" si="353"/>
        <v>0</v>
      </c>
      <c r="DO175" s="12">
        <f t="shared" si="353"/>
        <v>0</v>
      </c>
      <c r="DP175" s="12">
        <f t="shared" si="353"/>
        <v>0</v>
      </c>
      <c r="DQ175" s="12">
        <f t="shared" si="353"/>
        <v>0</v>
      </c>
      <c r="DR175" s="12">
        <f t="shared" si="353"/>
        <v>0</v>
      </c>
      <c r="DS175" s="12">
        <f t="shared" si="353"/>
        <v>0</v>
      </c>
      <c r="DT175" s="12">
        <f t="shared" si="353"/>
        <v>0</v>
      </c>
      <c r="DU175" s="12">
        <f t="shared" si="353"/>
        <v>0</v>
      </c>
      <c r="DV175" s="12">
        <f t="shared" si="353"/>
        <v>0</v>
      </c>
      <c r="DW175" s="12">
        <f t="shared" si="353"/>
        <v>0</v>
      </c>
      <c r="DX175" s="12">
        <f t="shared" si="353"/>
        <v>0</v>
      </c>
      <c r="DY175" s="12">
        <f t="shared" si="353"/>
        <v>0</v>
      </c>
      <c r="DZ175" s="12">
        <f t="shared" si="353"/>
        <v>0</v>
      </c>
      <c r="EA175" s="12">
        <f t="shared" si="353"/>
        <v>0</v>
      </c>
      <c r="EB175" s="12">
        <f t="shared" si="353"/>
        <v>0</v>
      </c>
      <c r="EC175" s="12">
        <f t="shared" si="353"/>
        <v>0</v>
      </c>
      <c r="ED175" s="12">
        <f t="shared" si="353"/>
        <v>0</v>
      </c>
      <c r="EE175" s="12">
        <f t="shared" si="353"/>
        <v>0</v>
      </c>
      <c r="EF175" s="12">
        <f t="shared" si="353"/>
        <v>0</v>
      </c>
      <c r="EG175" s="12">
        <f t="shared" ref="EG175:FH175" si="354">EG174*$F$23*(1+$D$11)^(MAX(0,DATEDIF($D$10,EG$6,"m"))/12)</f>
        <v>0</v>
      </c>
      <c r="EH175" s="12">
        <f t="shared" si="354"/>
        <v>0</v>
      </c>
      <c r="EI175" s="12">
        <f t="shared" si="354"/>
        <v>0</v>
      </c>
      <c r="EJ175" s="12">
        <f t="shared" si="354"/>
        <v>0</v>
      </c>
      <c r="EK175" s="12">
        <f t="shared" si="354"/>
        <v>0</v>
      </c>
      <c r="EL175" s="12">
        <f t="shared" si="354"/>
        <v>0</v>
      </c>
      <c r="EM175" s="12">
        <f t="shared" si="354"/>
        <v>0</v>
      </c>
      <c r="EN175" s="12">
        <f t="shared" si="354"/>
        <v>0</v>
      </c>
      <c r="EO175" s="12">
        <f t="shared" si="354"/>
        <v>0</v>
      </c>
      <c r="EP175" s="12">
        <f t="shared" si="354"/>
        <v>0</v>
      </c>
      <c r="EQ175" s="12">
        <f t="shared" si="354"/>
        <v>0</v>
      </c>
      <c r="ER175" s="12">
        <f t="shared" si="354"/>
        <v>0</v>
      </c>
      <c r="ES175" s="12">
        <f t="shared" si="354"/>
        <v>0</v>
      </c>
      <c r="ET175" s="12">
        <f t="shared" si="354"/>
        <v>0</v>
      </c>
      <c r="EU175" s="12">
        <f t="shared" si="354"/>
        <v>0</v>
      </c>
      <c r="EV175" s="12">
        <f t="shared" si="354"/>
        <v>0</v>
      </c>
      <c r="EW175" s="12">
        <f t="shared" si="354"/>
        <v>0</v>
      </c>
      <c r="EX175" s="12">
        <f t="shared" si="354"/>
        <v>0</v>
      </c>
      <c r="EY175" s="12">
        <f t="shared" si="354"/>
        <v>0</v>
      </c>
      <c r="EZ175" s="12">
        <f t="shared" si="354"/>
        <v>0</v>
      </c>
      <c r="FA175" s="12">
        <f t="shared" si="354"/>
        <v>0</v>
      </c>
      <c r="FB175" s="12">
        <f t="shared" si="354"/>
        <v>0</v>
      </c>
      <c r="FC175" s="12">
        <f t="shared" si="354"/>
        <v>0</v>
      </c>
      <c r="FD175" s="12">
        <f t="shared" si="354"/>
        <v>0</v>
      </c>
      <c r="FE175" s="12">
        <f t="shared" si="354"/>
        <v>0</v>
      </c>
      <c r="FF175" s="12">
        <f t="shared" si="354"/>
        <v>0</v>
      </c>
      <c r="FG175" s="12">
        <f t="shared" si="354"/>
        <v>0</v>
      </c>
      <c r="FH175" s="12">
        <f t="shared" si="354"/>
        <v>0</v>
      </c>
    </row>
    <row r="176" spans="1:164" x14ac:dyDescent="0.2">
      <c r="A176" s="10"/>
      <c r="B176" s="10"/>
      <c r="C176" s="201" t="s">
        <v>748</v>
      </c>
      <c r="D176" s="194"/>
      <c r="E176" s="194"/>
      <c r="F176" s="194"/>
      <c r="G176" s="194"/>
      <c r="H176" s="216"/>
      <c r="I176" s="216">
        <f t="shared" ref="I176:AN176" si="355">IF(I$6&lt;$F$35,I175*$F$50/DATEDIF(I$6,$F$35,"m"),0)</f>
        <v>0</v>
      </c>
      <c r="J176" s="216">
        <f t="shared" si="355"/>
        <v>0</v>
      </c>
      <c r="K176" s="216">
        <f t="shared" si="355"/>
        <v>0</v>
      </c>
      <c r="L176" s="216">
        <f t="shared" si="355"/>
        <v>0</v>
      </c>
      <c r="M176" s="216">
        <f t="shared" si="355"/>
        <v>0</v>
      </c>
      <c r="N176" s="216">
        <f t="shared" si="355"/>
        <v>0</v>
      </c>
      <c r="O176" s="216">
        <f t="shared" si="355"/>
        <v>0</v>
      </c>
      <c r="P176" s="216">
        <f t="shared" si="355"/>
        <v>0</v>
      </c>
      <c r="Q176" s="216">
        <f t="shared" si="355"/>
        <v>0</v>
      </c>
      <c r="R176" s="216">
        <f t="shared" si="355"/>
        <v>0</v>
      </c>
      <c r="S176" s="216">
        <f t="shared" si="355"/>
        <v>0</v>
      </c>
      <c r="T176" s="216">
        <f t="shared" si="355"/>
        <v>0</v>
      </c>
      <c r="U176" s="216">
        <f t="shared" si="355"/>
        <v>0</v>
      </c>
      <c r="V176" s="216">
        <f t="shared" si="355"/>
        <v>0</v>
      </c>
      <c r="W176" s="216">
        <f t="shared" si="355"/>
        <v>0</v>
      </c>
      <c r="X176" s="216">
        <f t="shared" si="355"/>
        <v>0</v>
      </c>
      <c r="Y176" s="216">
        <f t="shared" si="355"/>
        <v>0</v>
      </c>
      <c r="Z176" s="216">
        <f t="shared" si="355"/>
        <v>0</v>
      </c>
      <c r="AA176" s="216">
        <f t="shared" si="355"/>
        <v>0</v>
      </c>
      <c r="AB176" s="216">
        <f t="shared" si="355"/>
        <v>0</v>
      </c>
      <c r="AC176" s="216">
        <f t="shared" si="355"/>
        <v>0</v>
      </c>
      <c r="AD176" s="216">
        <f t="shared" si="355"/>
        <v>0</v>
      </c>
      <c r="AE176" s="216">
        <f t="shared" si="355"/>
        <v>0</v>
      </c>
      <c r="AF176" s="216">
        <f t="shared" si="355"/>
        <v>0</v>
      </c>
      <c r="AG176" s="216">
        <f t="shared" si="355"/>
        <v>0</v>
      </c>
      <c r="AH176" s="216">
        <f t="shared" si="355"/>
        <v>0</v>
      </c>
      <c r="AI176" s="216">
        <f t="shared" si="355"/>
        <v>0</v>
      </c>
      <c r="AJ176" s="216">
        <f t="shared" si="355"/>
        <v>0</v>
      </c>
      <c r="AK176" s="216">
        <f t="shared" si="355"/>
        <v>0</v>
      </c>
      <c r="AL176" s="216">
        <f t="shared" si="355"/>
        <v>0</v>
      </c>
      <c r="AM176" s="216">
        <f t="shared" si="355"/>
        <v>0</v>
      </c>
      <c r="AN176" s="216">
        <f t="shared" si="355"/>
        <v>0</v>
      </c>
      <c r="AO176" s="216">
        <f t="shared" ref="AO176:BT176" si="356">IF(AO$6&lt;$F$35,AO175*$F$50/DATEDIF(AO$6,$F$35,"m"),0)</f>
        <v>0</v>
      </c>
      <c r="AP176" s="216">
        <f t="shared" si="356"/>
        <v>0</v>
      </c>
      <c r="AQ176" s="216">
        <f t="shared" si="356"/>
        <v>0</v>
      </c>
      <c r="AR176" s="216">
        <f t="shared" si="356"/>
        <v>0</v>
      </c>
      <c r="AS176" s="216">
        <f t="shared" si="356"/>
        <v>0</v>
      </c>
      <c r="AT176" s="216">
        <f t="shared" si="356"/>
        <v>0</v>
      </c>
      <c r="AU176" s="216">
        <f t="shared" si="356"/>
        <v>0</v>
      </c>
      <c r="AV176" s="216">
        <f t="shared" si="356"/>
        <v>0</v>
      </c>
      <c r="AW176" s="216">
        <f t="shared" si="356"/>
        <v>0</v>
      </c>
      <c r="AX176" s="216">
        <f t="shared" si="356"/>
        <v>0</v>
      </c>
      <c r="AY176" s="216">
        <f t="shared" si="356"/>
        <v>0</v>
      </c>
      <c r="AZ176" s="216">
        <f t="shared" si="356"/>
        <v>0</v>
      </c>
      <c r="BA176" s="216">
        <f t="shared" si="356"/>
        <v>0</v>
      </c>
      <c r="BB176" s="216">
        <f t="shared" si="356"/>
        <v>0</v>
      </c>
      <c r="BC176" s="216">
        <f t="shared" si="356"/>
        <v>0</v>
      </c>
      <c r="BD176" s="216">
        <f t="shared" si="356"/>
        <v>0</v>
      </c>
      <c r="BE176" s="216">
        <f t="shared" si="356"/>
        <v>0</v>
      </c>
      <c r="BF176" s="216">
        <f t="shared" si="356"/>
        <v>0</v>
      </c>
      <c r="BG176" s="216">
        <f t="shared" si="356"/>
        <v>0</v>
      </c>
      <c r="BH176" s="216">
        <f t="shared" si="356"/>
        <v>0</v>
      </c>
      <c r="BI176" s="216">
        <f t="shared" si="356"/>
        <v>0</v>
      </c>
      <c r="BJ176" s="216">
        <f t="shared" si="356"/>
        <v>0</v>
      </c>
      <c r="BK176" s="216">
        <f t="shared" si="356"/>
        <v>0</v>
      </c>
      <c r="BL176" s="216">
        <f t="shared" si="356"/>
        <v>0</v>
      </c>
      <c r="BM176" s="216">
        <f t="shared" si="356"/>
        <v>0</v>
      </c>
      <c r="BN176" s="216">
        <f t="shared" si="356"/>
        <v>0</v>
      </c>
      <c r="BO176" s="216">
        <f t="shared" si="356"/>
        <v>0</v>
      </c>
      <c r="BP176" s="216">
        <f t="shared" si="356"/>
        <v>0</v>
      </c>
      <c r="BQ176" s="216">
        <f t="shared" si="356"/>
        <v>116.10080555555552</v>
      </c>
      <c r="BR176" s="216">
        <f t="shared" si="356"/>
        <v>119.41797142857141</v>
      </c>
      <c r="BS176" s="216">
        <f t="shared" si="356"/>
        <v>122.93026470588232</v>
      </c>
      <c r="BT176" s="216">
        <f t="shared" si="356"/>
        <v>126.65542424242422</v>
      </c>
      <c r="BU176" s="216">
        <f t="shared" ref="BU176:CZ176" si="357">IF(BU$6&lt;$F$35,BU175*$F$50/DATEDIF(BU$6,$F$35,"m"),0)</f>
        <v>130.61340624999997</v>
      </c>
      <c r="BV176" s="216">
        <f t="shared" si="357"/>
        <v>134.82674193548385</v>
      </c>
      <c r="BW176" s="216">
        <f t="shared" si="357"/>
        <v>27.864193333333322</v>
      </c>
      <c r="BX176" s="216">
        <f t="shared" si="357"/>
        <v>28.825027586206883</v>
      </c>
      <c r="BY176" s="216">
        <f t="shared" si="357"/>
        <v>29.854492857142844</v>
      </c>
      <c r="BZ176" s="216">
        <f t="shared" si="357"/>
        <v>30.960214814814801</v>
      </c>
      <c r="CA176" s="216">
        <f t="shared" si="357"/>
        <v>32.150992307692292</v>
      </c>
      <c r="CB176" s="216">
        <f t="shared" si="357"/>
        <v>33.437031999999988</v>
      </c>
      <c r="CC176" s="216">
        <f t="shared" si="357"/>
        <v>34.830241666666652</v>
      </c>
      <c r="CD176" s="216">
        <f t="shared" si="357"/>
        <v>36.344599999999986</v>
      </c>
      <c r="CE176" s="216">
        <f t="shared" si="357"/>
        <v>37.99662727272726</v>
      </c>
      <c r="CF176" s="216">
        <f t="shared" si="357"/>
        <v>39.805990476190459</v>
      </c>
      <c r="CG176" s="216">
        <f t="shared" si="357"/>
        <v>41.796289999999985</v>
      </c>
      <c r="CH176" s="216">
        <f t="shared" si="357"/>
        <v>43.996094736842089</v>
      </c>
      <c r="CI176" s="216">
        <f t="shared" si="357"/>
        <v>46.4403222222222</v>
      </c>
      <c r="CJ176" s="216">
        <f t="shared" si="357"/>
        <v>49.172105882352923</v>
      </c>
      <c r="CK176" s="216">
        <f t="shared" si="357"/>
        <v>52.245362499999978</v>
      </c>
      <c r="CL176" s="216">
        <f t="shared" si="357"/>
        <v>55.728386666666644</v>
      </c>
      <c r="CM176" s="216">
        <f t="shared" si="357"/>
        <v>59.708985714285689</v>
      </c>
      <c r="CN176" s="216">
        <f t="shared" si="357"/>
        <v>64.301984615384583</v>
      </c>
      <c r="CO176" s="216">
        <f t="shared" si="357"/>
        <v>69.660483333333303</v>
      </c>
      <c r="CP176" s="216">
        <f t="shared" si="357"/>
        <v>75.993254545454519</v>
      </c>
      <c r="CQ176" s="216">
        <f t="shared" si="357"/>
        <v>83.59257999999997</v>
      </c>
      <c r="CR176" s="216">
        <f t="shared" si="357"/>
        <v>92.8806444444444</v>
      </c>
      <c r="CS176" s="216">
        <f t="shared" si="357"/>
        <v>104.49072499999996</v>
      </c>
      <c r="CT176" s="216">
        <f t="shared" si="357"/>
        <v>119.41797142857138</v>
      </c>
      <c r="CU176" s="216">
        <f t="shared" si="357"/>
        <v>139.32096666666661</v>
      </c>
      <c r="CV176" s="216">
        <f t="shared" si="357"/>
        <v>167.18515999999994</v>
      </c>
      <c r="CW176" s="216">
        <f t="shared" si="357"/>
        <v>208.98144999999991</v>
      </c>
      <c r="CX176" s="216">
        <f t="shared" si="357"/>
        <v>278.64193333333321</v>
      </c>
      <c r="CY176" s="216">
        <f t="shared" si="357"/>
        <v>417.96289999999982</v>
      </c>
      <c r="CZ176" s="216">
        <f t="shared" si="357"/>
        <v>835.92579999999964</v>
      </c>
      <c r="DA176" s="216">
        <f t="shared" ref="DA176:EF176" si="358">IF(DA$6&lt;$F$35,DA175*$F$50/DATEDIF(DA$6,$F$35,"m"),0)</f>
        <v>0</v>
      </c>
      <c r="DB176" s="216">
        <f t="shared" si="358"/>
        <v>0</v>
      </c>
      <c r="DC176" s="216">
        <f t="shared" si="358"/>
        <v>0</v>
      </c>
      <c r="DD176" s="216">
        <f t="shared" si="358"/>
        <v>0</v>
      </c>
      <c r="DE176" s="216">
        <f t="shared" si="358"/>
        <v>0</v>
      </c>
      <c r="DF176" s="216">
        <f t="shared" si="358"/>
        <v>0</v>
      </c>
      <c r="DG176" s="216">
        <f t="shared" si="358"/>
        <v>0</v>
      </c>
      <c r="DH176" s="216">
        <f t="shared" si="358"/>
        <v>0</v>
      </c>
      <c r="DI176" s="216">
        <f t="shared" si="358"/>
        <v>0</v>
      </c>
      <c r="DJ176" s="216">
        <f t="shared" si="358"/>
        <v>0</v>
      </c>
      <c r="DK176" s="216">
        <f t="shared" si="358"/>
        <v>0</v>
      </c>
      <c r="DL176" s="216">
        <f t="shared" si="358"/>
        <v>0</v>
      </c>
      <c r="DM176" s="216">
        <f t="shared" si="358"/>
        <v>0</v>
      </c>
      <c r="DN176" s="216">
        <f t="shared" si="358"/>
        <v>0</v>
      </c>
      <c r="DO176" s="216">
        <f t="shared" si="358"/>
        <v>0</v>
      </c>
      <c r="DP176" s="216">
        <f t="shared" si="358"/>
        <v>0</v>
      </c>
      <c r="DQ176" s="216">
        <f t="shared" si="358"/>
        <v>0</v>
      </c>
      <c r="DR176" s="216">
        <f t="shared" si="358"/>
        <v>0</v>
      </c>
      <c r="DS176" s="216">
        <f t="shared" si="358"/>
        <v>0</v>
      </c>
      <c r="DT176" s="216">
        <f t="shared" si="358"/>
        <v>0</v>
      </c>
      <c r="DU176" s="216">
        <f t="shared" si="358"/>
        <v>0</v>
      </c>
      <c r="DV176" s="216">
        <f t="shared" si="358"/>
        <v>0</v>
      </c>
      <c r="DW176" s="216">
        <f t="shared" si="358"/>
        <v>0</v>
      </c>
      <c r="DX176" s="216">
        <f t="shared" si="358"/>
        <v>0</v>
      </c>
      <c r="DY176" s="216">
        <f t="shared" si="358"/>
        <v>0</v>
      </c>
      <c r="DZ176" s="216">
        <f t="shared" si="358"/>
        <v>0</v>
      </c>
      <c r="EA176" s="216">
        <f t="shared" si="358"/>
        <v>0</v>
      </c>
      <c r="EB176" s="216">
        <f t="shared" si="358"/>
        <v>0</v>
      </c>
      <c r="EC176" s="216">
        <f t="shared" si="358"/>
        <v>0</v>
      </c>
      <c r="ED176" s="216">
        <f t="shared" si="358"/>
        <v>0</v>
      </c>
      <c r="EE176" s="216">
        <f t="shared" si="358"/>
        <v>0</v>
      </c>
      <c r="EF176" s="216">
        <f t="shared" si="358"/>
        <v>0</v>
      </c>
      <c r="EG176" s="216">
        <f t="shared" ref="EG176:FH176" si="359">IF(EG$6&lt;$F$35,EG175*$F$50/DATEDIF(EG$6,$F$35,"m"),0)</f>
        <v>0</v>
      </c>
      <c r="EH176" s="216">
        <f t="shared" si="359"/>
        <v>0</v>
      </c>
      <c r="EI176" s="216">
        <f t="shared" si="359"/>
        <v>0</v>
      </c>
      <c r="EJ176" s="216">
        <f t="shared" si="359"/>
        <v>0</v>
      </c>
      <c r="EK176" s="216">
        <f t="shared" si="359"/>
        <v>0</v>
      </c>
      <c r="EL176" s="216">
        <f t="shared" si="359"/>
        <v>0</v>
      </c>
      <c r="EM176" s="216">
        <f t="shared" si="359"/>
        <v>0</v>
      </c>
      <c r="EN176" s="216">
        <f t="shared" si="359"/>
        <v>0</v>
      </c>
      <c r="EO176" s="216">
        <f t="shared" si="359"/>
        <v>0</v>
      </c>
      <c r="EP176" s="216">
        <f t="shared" si="359"/>
        <v>0</v>
      </c>
      <c r="EQ176" s="216">
        <f t="shared" si="359"/>
        <v>0</v>
      </c>
      <c r="ER176" s="216">
        <f t="shared" si="359"/>
        <v>0</v>
      </c>
      <c r="ES176" s="216">
        <f t="shared" si="359"/>
        <v>0</v>
      </c>
      <c r="ET176" s="216">
        <f t="shared" si="359"/>
        <v>0</v>
      </c>
      <c r="EU176" s="216">
        <f t="shared" si="359"/>
        <v>0</v>
      </c>
      <c r="EV176" s="216">
        <f t="shared" si="359"/>
        <v>0</v>
      </c>
      <c r="EW176" s="216">
        <f t="shared" si="359"/>
        <v>0</v>
      </c>
      <c r="EX176" s="216">
        <f t="shared" si="359"/>
        <v>0</v>
      </c>
      <c r="EY176" s="216">
        <f t="shared" si="359"/>
        <v>0</v>
      </c>
      <c r="EZ176" s="216">
        <f t="shared" si="359"/>
        <v>0</v>
      </c>
      <c r="FA176" s="216">
        <f t="shared" si="359"/>
        <v>0</v>
      </c>
      <c r="FB176" s="216">
        <f t="shared" si="359"/>
        <v>0</v>
      </c>
      <c r="FC176" s="216">
        <f t="shared" si="359"/>
        <v>0</v>
      </c>
      <c r="FD176" s="216">
        <f t="shared" si="359"/>
        <v>0</v>
      </c>
      <c r="FE176" s="216">
        <f t="shared" si="359"/>
        <v>0</v>
      </c>
      <c r="FF176" s="216">
        <f t="shared" si="359"/>
        <v>0</v>
      </c>
      <c r="FG176" s="216">
        <f t="shared" si="359"/>
        <v>0</v>
      </c>
      <c r="FH176" s="216">
        <f t="shared" si="359"/>
        <v>0</v>
      </c>
    </row>
    <row r="177" spans="1:164" x14ac:dyDescent="0.2">
      <c r="A177" s="10"/>
      <c r="B177" s="10"/>
      <c r="C177" s="10" t="s">
        <v>749</v>
      </c>
      <c r="D177" s="10"/>
      <c r="E177" s="10"/>
      <c r="F177" s="10"/>
      <c r="G177" s="10"/>
      <c r="H177" s="12">
        <f t="shared" ref="H177:H185" si="360">SUM(I177:FH177)</f>
        <v>79412.950999999957</v>
      </c>
      <c r="I177" s="12">
        <f t="shared" ref="I177:AN177" si="361">I175*$F$49+IF(I$6&gt;=$F$35,I175*($F$50+$F$51),0)</f>
        <v>0</v>
      </c>
      <c r="J177" s="12">
        <f t="shared" si="361"/>
        <v>0</v>
      </c>
      <c r="K177" s="12">
        <f t="shared" si="361"/>
        <v>0</v>
      </c>
      <c r="L177" s="12">
        <f t="shared" si="361"/>
        <v>0</v>
      </c>
      <c r="M177" s="12">
        <f t="shared" si="361"/>
        <v>0</v>
      </c>
      <c r="N177" s="12">
        <f t="shared" si="361"/>
        <v>0</v>
      </c>
      <c r="O177" s="12">
        <f t="shared" si="361"/>
        <v>0</v>
      </c>
      <c r="P177" s="12">
        <f t="shared" si="361"/>
        <v>0</v>
      </c>
      <c r="Q177" s="12">
        <f t="shared" si="361"/>
        <v>0</v>
      </c>
      <c r="R177" s="12">
        <f t="shared" si="361"/>
        <v>0</v>
      </c>
      <c r="S177" s="12">
        <f t="shared" si="361"/>
        <v>0</v>
      </c>
      <c r="T177" s="12">
        <f t="shared" si="361"/>
        <v>0</v>
      </c>
      <c r="U177" s="12">
        <f t="shared" si="361"/>
        <v>0</v>
      </c>
      <c r="V177" s="12">
        <f t="shared" si="361"/>
        <v>0</v>
      </c>
      <c r="W177" s="12">
        <f t="shared" si="361"/>
        <v>0</v>
      </c>
      <c r="X177" s="12">
        <f t="shared" si="361"/>
        <v>0</v>
      </c>
      <c r="Y177" s="12">
        <f t="shared" si="361"/>
        <v>0</v>
      </c>
      <c r="Z177" s="12">
        <f t="shared" si="361"/>
        <v>0</v>
      </c>
      <c r="AA177" s="12">
        <f t="shared" si="361"/>
        <v>0</v>
      </c>
      <c r="AB177" s="12">
        <f t="shared" si="361"/>
        <v>0</v>
      </c>
      <c r="AC177" s="12">
        <f t="shared" si="361"/>
        <v>0</v>
      </c>
      <c r="AD177" s="12">
        <f t="shared" si="361"/>
        <v>0</v>
      </c>
      <c r="AE177" s="12">
        <f t="shared" si="361"/>
        <v>0</v>
      </c>
      <c r="AF177" s="12">
        <f t="shared" si="361"/>
        <v>0</v>
      </c>
      <c r="AG177" s="12">
        <f t="shared" si="361"/>
        <v>0</v>
      </c>
      <c r="AH177" s="12">
        <f t="shared" si="361"/>
        <v>0</v>
      </c>
      <c r="AI177" s="12">
        <f t="shared" si="361"/>
        <v>0</v>
      </c>
      <c r="AJ177" s="12">
        <f t="shared" si="361"/>
        <v>0</v>
      </c>
      <c r="AK177" s="12">
        <f t="shared" si="361"/>
        <v>0</v>
      </c>
      <c r="AL177" s="12">
        <f t="shared" si="361"/>
        <v>0</v>
      </c>
      <c r="AM177" s="12">
        <f t="shared" si="361"/>
        <v>0</v>
      </c>
      <c r="AN177" s="12">
        <f t="shared" si="361"/>
        <v>0</v>
      </c>
      <c r="AO177" s="12">
        <f t="shared" ref="AO177:BT177" si="362">AO175*$F$49+IF(AO$6&gt;=$F$35,AO175*($F$50+$F$51),0)</f>
        <v>0</v>
      </c>
      <c r="AP177" s="12">
        <f t="shared" si="362"/>
        <v>0</v>
      </c>
      <c r="AQ177" s="12">
        <f t="shared" si="362"/>
        <v>0</v>
      </c>
      <c r="AR177" s="12">
        <f t="shared" si="362"/>
        <v>0</v>
      </c>
      <c r="AS177" s="12">
        <f t="shared" si="362"/>
        <v>0</v>
      </c>
      <c r="AT177" s="12">
        <f t="shared" si="362"/>
        <v>0</v>
      </c>
      <c r="AU177" s="12">
        <f t="shared" si="362"/>
        <v>0</v>
      </c>
      <c r="AV177" s="12">
        <f t="shared" si="362"/>
        <v>0</v>
      </c>
      <c r="AW177" s="12">
        <f t="shared" si="362"/>
        <v>0</v>
      </c>
      <c r="AX177" s="12">
        <f t="shared" si="362"/>
        <v>0</v>
      </c>
      <c r="AY177" s="12">
        <f t="shared" si="362"/>
        <v>0</v>
      </c>
      <c r="AZ177" s="12">
        <f t="shared" si="362"/>
        <v>0</v>
      </c>
      <c r="BA177" s="12">
        <f t="shared" si="362"/>
        <v>0</v>
      </c>
      <c r="BB177" s="12">
        <f t="shared" si="362"/>
        <v>0</v>
      </c>
      <c r="BC177" s="12">
        <f t="shared" si="362"/>
        <v>0</v>
      </c>
      <c r="BD177" s="12">
        <f t="shared" si="362"/>
        <v>0</v>
      </c>
      <c r="BE177" s="12">
        <f t="shared" si="362"/>
        <v>0</v>
      </c>
      <c r="BF177" s="12">
        <f t="shared" si="362"/>
        <v>0</v>
      </c>
      <c r="BG177" s="12">
        <f t="shared" si="362"/>
        <v>0</v>
      </c>
      <c r="BH177" s="12">
        <f t="shared" si="362"/>
        <v>0</v>
      </c>
      <c r="BI177" s="12">
        <f t="shared" si="362"/>
        <v>0</v>
      </c>
      <c r="BJ177" s="12">
        <f t="shared" si="362"/>
        <v>0</v>
      </c>
      <c r="BK177" s="12">
        <f t="shared" si="362"/>
        <v>0</v>
      </c>
      <c r="BL177" s="12">
        <f t="shared" si="362"/>
        <v>0</v>
      </c>
      <c r="BM177" s="12">
        <f t="shared" si="362"/>
        <v>0</v>
      </c>
      <c r="BN177" s="12">
        <f t="shared" si="362"/>
        <v>0</v>
      </c>
      <c r="BO177" s="12">
        <f t="shared" si="362"/>
        <v>0</v>
      </c>
      <c r="BP177" s="12">
        <f t="shared" si="362"/>
        <v>0</v>
      </c>
      <c r="BQ177" s="12">
        <f t="shared" si="362"/>
        <v>4179.628999999999</v>
      </c>
      <c r="BR177" s="12">
        <f t="shared" si="362"/>
        <v>4179.628999999999</v>
      </c>
      <c r="BS177" s="12">
        <f t="shared" si="362"/>
        <v>4179.628999999999</v>
      </c>
      <c r="BT177" s="12">
        <f t="shared" si="362"/>
        <v>4179.628999999999</v>
      </c>
      <c r="BU177" s="12">
        <f t="shared" ref="BU177:CZ177" si="363">BU175*$F$49+IF(BU$6&gt;=$F$35,BU175*($F$50+$F$51),0)</f>
        <v>4179.628999999999</v>
      </c>
      <c r="BV177" s="12">
        <f t="shared" si="363"/>
        <v>4179.628999999999</v>
      </c>
      <c r="BW177" s="12">
        <f t="shared" si="363"/>
        <v>835.92579999999964</v>
      </c>
      <c r="BX177" s="12">
        <f t="shared" si="363"/>
        <v>835.92579999999964</v>
      </c>
      <c r="BY177" s="12">
        <f t="shared" si="363"/>
        <v>835.92579999999964</v>
      </c>
      <c r="BZ177" s="12">
        <f t="shared" si="363"/>
        <v>835.92579999999964</v>
      </c>
      <c r="CA177" s="12">
        <f t="shared" si="363"/>
        <v>835.92579999999964</v>
      </c>
      <c r="CB177" s="12">
        <f t="shared" si="363"/>
        <v>835.92579999999964</v>
      </c>
      <c r="CC177" s="12">
        <f t="shared" si="363"/>
        <v>835.92579999999964</v>
      </c>
      <c r="CD177" s="12">
        <f t="shared" si="363"/>
        <v>835.92579999999964</v>
      </c>
      <c r="CE177" s="12">
        <f t="shared" si="363"/>
        <v>835.92579999999964</v>
      </c>
      <c r="CF177" s="12">
        <f t="shared" si="363"/>
        <v>835.92579999999964</v>
      </c>
      <c r="CG177" s="12">
        <f t="shared" si="363"/>
        <v>835.92579999999964</v>
      </c>
      <c r="CH177" s="12">
        <f t="shared" si="363"/>
        <v>835.92579999999964</v>
      </c>
      <c r="CI177" s="12">
        <f t="shared" si="363"/>
        <v>835.92579999999964</v>
      </c>
      <c r="CJ177" s="12">
        <f t="shared" si="363"/>
        <v>835.92579999999964</v>
      </c>
      <c r="CK177" s="12">
        <f t="shared" si="363"/>
        <v>835.92579999999964</v>
      </c>
      <c r="CL177" s="12">
        <f t="shared" si="363"/>
        <v>835.92579999999964</v>
      </c>
      <c r="CM177" s="12">
        <f t="shared" si="363"/>
        <v>835.92579999999964</v>
      </c>
      <c r="CN177" s="12">
        <f t="shared" si="363"/>
        <v>835.92579999999964</v>
      </c>
      <c r="CO177" s="12">
        <f t="shared" si="363"/>
        <v>835.92579999999964</v>
      </c>
      <c r="CP177" s="12">
        <f t="shared" si="363"/>
        <v>835.92579999999964</v>
      </c>
      <c r="CQ177" s="12">
        <f t="shared" si="363"/>
        <v>835.92579999999964</v>
      </c>
      <c r="CR177" s="12">
        <f t="shared" si="363"/>
        <v>835.92579999999964</v>
      </c>
      <c r="CS177" s="12">
        <f t="shared" si="363"/>
        <v>835.92579999999964</v>
      </c>
      <c r="CT177" s="12">
        <f t="shared" si="363"/>
        <v>835.92579999999964</v>
      </c>
      <c r="CU177" s="12">
        <f t="shared" si="363"/>
        <v>835.92579999999964</v>
      </c>
      <c r="CV177" s="12">
        <f t="shared" si="363"/>
        <v>835.92579999999964</v>
      </c>
      <c r="CW177" s="12">
        <f t="shared" si="363"/>
        <v>835.92579999999964</v>
      </c>
      <c r="CX177" s="12">
        <f t="shared" si="363"/>
        <v>835.92579999999964</v>
      </c>
      <c r="CY177" s="12">
        <f t="shared" si="363"/>
        <v>835.92579999999964</v>
      </c>
      <c r="CZ177" s="12">
        <f t="shared" si="363"/>
        <v>835.92579999999964</v>
      </c>
      <c r="DA177" s="12">
        <f t="shared" ref="DA177:EF177" si="364">DA175*$F$49+IF(DA$6&gt;=$F$35,DA175*($F$50+$F$51),0)</f>
        <v>0</v>
      </c>
      <c r="DB177" s="12">
        <f t="shared" si="364"/>
        <v>2925.7402999999995</v>
      </c>
      <c r="DC177" s="12">
        <f t="shared" si="364"/>
        <v>2925.7402999999995</v>
      </c>
      <c r="DD177" s="12">
        <f t="shared" si="364"/>
        <v>2925.7402999999995</v>
      </c>
      <c r="DE177" s="12">
        <f t="shared" si="364"/>
        <v>2925.7402999999995</v>
      </c>
      <c r="DF177" s="12">
        <f t="shared" si="364"/>
        <v>2925.7402999999995</v>
      </c>
      <c r="DG177" s="12">
        <f t="shared" si="364"/>
        <v>2925.7402999999995</v>
      </c>
      <c r="DH177" s="12">
        <f t="shared" si="364"/>
        <v>2925.7402999999995</v>
      </c>
      <c r="DI177" s="12">
        <f t="shared" si="364"/>
        <v>2925.7402999999995</v>
      </c>
      <c r="DJ177" s="12">
        <f t="shared" si="364"/>
        <v>2925.7402999999995</v>
      </c>
      <c r="DK177" s="12">
        <f t="shared" si="364"/>
        <v>2925.7402999999995</v>
      </c>
      <c r="DL177" s="12">
        <f t="shared" si="364"/>
        <v>0</v>
      </c>
      <c r="DM177" s="12">
        <f t="shared" si="364"/>
        <v>0</v>
      </c>
      <c r="DN177" s="12">
        <f t="shared" si="364"/>
        <v>0</v>
      </c>
      <c r="DO177" s="12">
        <f t="shared" si="364"/>
        <v>0</v>
      </c>
      <c r="DP177" s="12">
        <f t="shared" si="364"/>
        <v>0</v>
      </c>
      <c r="DQ177" s="12">
        <f t="shared" si="364"/>
        <v>0</v>
      </c>
      <c r="DR177" s="12">
        <f t="shared" si="364"/>
        <v>0</v>
      </c>
      <c r="DS177" s="12">
        <f t="shared" si="364"/>
        <v>0</v>
      </c>
      <c r="DT177" s="12">
        <f t="shared" si="364"/>
        <v>0</v>
      </c>
      <c r="DU177" s="12">
        <f t="shared" si="364"/>
        <v>0</v>
      </c>
      <c r="DV177" s="12">
        <f t="shared" si="364"/>
        <v>0</v>
      </c>
      <c r="DW177" s="12">
        <f t="shared" si="364"/>
        <v>0</v>
      </c>
      <c r="DX177" s="12">
        <f t="shared" si="364"/>
        <v>0</v>
      </c>
      <c r="DY177" s="12">
        <f t="shared" si="364"/>
        <v>0</v>
      </c>
      <c r="DZ177" s="12">
        <f t="shared" si="364"/>
        <v>0</v>
      </c>
      <c r="EA177" s="12">
        <f t="shared" si="364"/>
        <v>0</v>
      </c>
      <c r="EB177" s="12">
        <f t="shared" si="364"/>
        <v>0</v>
      </c>
      <c r="EC177" s="12">
        <f t="shared" si="364"/>
        <v>0</v>
      </c>
      <c r="ED177" s="12">
        <f t="shared" si="364"/>
        <v>0</v>
      </c>
      <c r="EE177" s="12">
        <f t="shared" si="364"/>
        <v>0</v>
      </c>
      <c r="EF177" s="12">
        <f t="shared" si="364"/>
        <v>0</v>
      </c>
      <c r="EG177" s="12">
        <f t="shared" ref="EG177:FH177" si="365">EG175*$F$49+IF(EG$6&gt;=$F$35,EG175*($F$50+$F$51),0)</f>
        <v>0</v>
      </c>
      <c r="EH177" s="12">
        <f t="shared" si="365"/>
        <v>0</v>
      </c>
      <c r="EI177" s="12">
        <f t="shared" si="365"/>
        <v>0</v>
      </c>
      <c r="EJ177" s="12">
        <f t="shared" si="365"/>
        <v>0</v>
      </c>
      <c r="EK177" s="12">
        <f t="shared" si="365"/>
        <v>0</v>
      </c>
      <c r="EL177" s="12">
        <f t="shared" si="365"/>
        <v>0</v>
      </c>
      <c r="EM177" s="12">
        <f t="shared" si="365"/>
        <v>0</v>
      </c>
      <c r="EN177" s="12">
        <f t="shared" si="365"/>
        <v>0</v>
      </c>
      <c r="EO177" s="12">
        <f t="shared" si="365"/>
        <v>0</v>
      </c>
      <c r="EP177" s="12">
        <f t="shared" si="365"/>
        <v>0</v>
      </c>
      <c r="EQ177" s="12">
        <f t="shared" si="365"/>
        <v>0</v>
      </c>
      <c r="ER177" s="12">
        <f t="shared" si="365"/>
        <v>0</v>
      </c>
      <c r="ES177" s="12">
        <f t="shared" si="365"/>
        <v>0</v>
      </c>
      <c r="ET177" s="12">
        <f t="shared" si="365"/>
        <v>0</v>
      </c>
      <c r="EU177" s="12">
        <f t="shared" si="365"/>
        <v>0</v>
      </c>
      <c r="EV177" s="12">
        <f t="shared" si="365"/>
        <v>0</v>
      </c>
      <c r="EW177" s="12">
        <f t="shared" si="365"/>
        <v>0</v>
      </c>
      <c r="EX177" s="12">
        <f t="shared" si="365"/>
        <v>0</v>
      </c>
      <c r="EY177" s="12">
        <f t="shared" si="365"/>
        <v>0</v>
      </c>
      <c r="EZ177" s="12">
        <f t="shared" si="365"/>
        <v>0</v>
      </c>
      <c r="FA177" s="12">
        <f t="shared" si="365"/>
        <v>0</v>
      </c>
      <c r="FB177" s="12">
        <f t="shared" si="365"/>
        <v>0</v>
      </c>
      <c r="FC177" s="12">
        <f t="shared" si="365"/>
        <v>0</v>
      </c>
      <c r="FD177" s="12">
        <f t="shared" si="365"/>
        <v>0</v>
      </c>
      <c r="FE177" s="12">
        <f t="shared" si="365"/>
        <v>0</v>
      </c>
      <c r="FF177" s="12">
        <f t="shared" si="365"/>
        <v>0</v>
      </c>
      <c r="FG177" s="12">
        <f t="shared" si="365"/>
        <v>0</v>
      </c>
      <c r="FH177" s="12">
        <f t="shared" si="365"/>
        <v>0</v>
      </c>
    </row>
    <row r="178" spans="1:164" x14ac:dyDescent="0.2">
      <c r="A178" s="10"/>
      <c r="B178" s="10"/>
      <c r="C178" s="10" t="s">
        <v>750</v>
      </c>
      <c r="D178" s="10"/>
      <c r="E178" s="10"/>
      <c r="F178" s="10"/>
      <c r="G178" s="10"/>
      <c r="H178" s="12">
        <f t="shared" si="360"/>
        <v>50155.547999999988</v>
      </c>
      <c r="I178" s="12">
        <f>IF(I$6&lt;$F$35,SUM($I176:I176),0)</f>
        <v>0</v>
      </c>
      <c r="J178" s="12">
        <f>IF(J$6&lt;$F$35,SUM($I176:J176),0)</f>
        <v>0</v>
      </c>
      <c r="K178" s="12">
        <f>IF(K$6&lt;$F$35,SUM($I176:K176),0)</f>
        <v>0</v>
      </c>
      <c r="L178" s="12">
        <f>IF(L$6&lt;$F$35,SUM($I176:L176),0)</f>
        <v>0</v>
      </c>
      <c r="M178" s="12">
        <f>IF(M$6&lt;$F$35,SUM($I176:M176),0)</f>
        <v>0</v>
      </c>
      <c r="N178" s="12">
        <f>IF(N$6&lt;$F$35,SUM($I176:N176),0)</f>
        <v>0</v>
      </c>
      <c r="O178" s="12">
        <f>IF(O$6&lt;$F$35,SUM($I176:O176),0)</f>
        <v>0</v>
      </c>
      <c r="P178" s="12">
        <f>IF(P$6&lt;$F$35,SUM($I176:P176),0)</f>
        <v>0</v>
      </c>
      <c r="Q178" s="12">
        <f>IF(Q$6&lt;$F$35,SUM($I176:Q176),0)</f>
        <v>0</v>
      </c>
      <c r="R178" s="12">
        <f>IF(R$6&lt;$F$35,SUM($I176:R176),0)</f>
        <v>0</v>
      </c>
      <c r="S178" s="12">
        <f>IF(S$6&lt;$F$35,SUM($I176:S176),0)</f>
        <v>0</v>
      </c>
      <c r="T178" s="12">
        <f>IF(T$6&lt;$F$35,SUM($I176:T176),0)</f>
        <v>0</v>
      </c>
      <c r="U178" s="12">
        <f>IF(U$6&lt;$F$35,SUM($I176:U176),0)</f>
        <v>0</v>
      </c>
      <c r="V178" s="12">
        <f>IF(V$6&lt;$F$35,SUM($I176:V176),0)</f>
        <v>0</v>
      </c>
      <c r="W178" s="12">
        <f>IF(W$6&lt;$F$35,SUM($I176:W176),0)</f>
        <v>0</v>
      </c>
      <c r="X178" s="12">
        <f>IF(X$6&lt;$F$35,SUM($I176:X176),0)</f>
        <v>0</v>
      </c>
      <c r="Y178" s="12">
        <f>IF(Y$6&lt;$F$35,SUM($I176:Y176),0)</f>
        <v>0</v>
      </c>
      <c r="Z178" s="12">
        <f>IF(Z$6&lt;$F$35,SUM($I176:Z176),0)</f>
        <v>0</v>
      </c>
      <c r="AA178" s="12">
        <f>IF(AA$6&lt;$F$35,SUM($I176:AA176),0)</f>
        <v>0</v>
      </c>
      <c r="AB178" s="12">
        <f>IF(AB$6&lt;$F$35,SUM($I176:AB176),0)</f>
        <v>0</v>
      </c>
      <c r="AC178" s="12">
        <f>IF(AC$6&lt;$F$35,SUM($I176:AC176),0)</f>
        <v>0</v>
      </c>
      <c r="AD178" s="12">
        <f>IF(AD$6&lt;$F$35,SUM($I176:AD176),0)</f>
        <v>0</v>
      </c>
      <c r="AE178" s="12">
        <f>IF(AE$6&lt;$F$35,SUM($I176:AE176),0)</f>
        <v>0</v>
      </c>
      <c r="AF178" s="12">
        <f>IF(AF$6&lt;$F$35,SUM($I176:AF176),0)</f>
        <v>0</v>
      </c>
      <c r="AG178" s="12">
        <f>IF(AG$6&lt;$F$35,SUM($I176:AG176),0)</f>
        <v>0</v>
      </c>
      <c r="AH178" s="12">
        <f>IF(AH$6&lt;$F$35,SUM($I176:AH176),0)</f>
        <v>0</v>
      </c>
      <c r="AI178" s="12">
        <f>IF(AI$6&lt;$F$35,SUM($I176:AI176),0)</f>
        <v>0</v>
      </c>
      <c r="AJ178" s="12">
        <f>IF(AJ$6&lt;$F$35,SUM($I176:AJ176),0)</f>
        <v>0</v>
      </c>
      <c r="AK178" s="12">
        <f>IF(AK$6&lt;$F$35,SUM($I176:AK176),0)</f>
        <v>0</v>
      </c>
      <c r="AL178" s="12">
        <f>IF(AL$6&lt;$F$35,SUM($I176:AL176),0)</f>
        <v>0</v>
      </c>
      <c r="AM178" s="12">
        <f>IF(AM$6&lt;$F$35,SUM($I176:AM176),0)</f>
        <v>0</v>
      </c>
      <c r="AN178" s="12">
        <f>IF(AN$6&lt;$F$35,SUM($I176:AN176),0)</f>
        <v>0</v>
      </c>
      <c r="AO178" s="12">
        <f>IF(AO$6&lt;$F$35,SUM($I176:AO176),0)</f>
        <v>0</v>
      </c>
      <c r="AP178" s="12">
        <f>IF(AP$6&lt;$F$35,SUM($I176:AP176),0)</f>
        <v>0</v>
      </c>
      <c r="AQ178" s="12">
        <f>IF(AQ$6&lt;$F$35,SUM($I176:AQ176),0)</f>
        <v>0</v>
      </c>
      <c r="AR178" s="12">
        <f>IF(AR$6&lt;$F$35,SUM($I176:AR176),0)</f>
        <v>0</v>
      </c>
      <c r="AS178" s="12">
        <f>IF(AS$6&lt;$F$35,SUM($I176:AS176),0)</f>
        <v>0</v>
      </c>
      <c r="AT178" s="12">
        <f>IF(AT$6&lt;$F$35,SUM($I176:AT176),0)</f>
        <v>0</v>
      </c>
      <c r="AU178" s="12">
        <f>IF(AU$6&lt;$F$35,SUM($I176:AU176),0)</f>
        <v>0</v>
      </c>
      <c r="AV178" s="12">
        <f>IF(AV$6&lt;$F$35,SUM($I176:AV176),0)</f>
        <v>0</v>
      </c>
      <c r="AW178" s="12">
        <f>IF(AW$6&lt;$F$35,SUM($I176:AW176),0)</f>
        <v>0</v>
      </c>
      <c r="AX178" s="12">
        <f>IF(AX$6&lt;$F$35,SUM($I176:AX176),0)</f>
        <v>0</v>
      </c>
      <c r="AY178" s="12">
        <f>IF(AY$6&lt;$F$35,SUM($I176:AY176),0)</f>
        <v>0</v>
      </c>
      <c r="AZ178" s="12">
        <f>IF(AZ$6&lt;$F$35,SUM($I176:AZ176),0)</f>
        <v>0</v>
      </c>
      <c r="BA178" s="12">
        <f>IF(BA$6&lt;$F$35,SUM($I176:BA176),0)</f>
        <v>0</v>
      </c>
      <c r="BB178" s="12">
        <f>IF(BB$6&lt;$F$35,SUM($I176:BB176),0)</f>
        <v>0</v>
      </c>
      <c r="BC178" s="12">
        <f>IF(BC$6&lt;$F$35,SUM($I176:BC176),0)</f>
        <v>0</v>
      </c>
      <c r="BD178" s="12">
        <f>IF(BD$6&lt;$F$35,SUM($I176:BD176),0)</f>
        <v>0</v>
      </c>
      <c r="BE178" s="12">
        <f>IF(BE$6&lt;$F$35,SUM($I176:BE176),0)</f>
        <v>0</v>
      </c>
      <c r="BF178" s="12">
        <f>IF(BF$6&lt;$F$35,SUM($I176:BF176),0)</f>
        <v>0</v>
      </c>
      <c r="BG178" s="12">
        <f>IF(BG$6&lt;$F$35,SUM($I176:BG176),0)</f>
        <v>0</v>
      </c>
      <c r="BH178" s="12">
        <f>IF(BH$6&lt;$F$35,SUM($I176:BH176),0)</f>
        <v>0</v>
      </c>
      <c r="BI178" s="12">
        <f>IF(BI$6&lt;$F$35,SUM($I176:BI176),0)</f>
        <v>0</v>
      </c>
      <c r="BJ178" s="12">
        <f>IF(BJ$6&lt;$F$35,SUM($I176:BJ176),0)</f>
        <v>0</v>
      </c>
      <c r="BK178" s="12">
        <f>IF(BK$6&lt;$F$35,SUM($I176:BK176),0)</f>
        <v>0</v>
      </c>
      <c r="BL178" s="12">
        <f>IF(BL$6&lt;$F$35,SUM($I176:BL176),0)</f>
        <v>0</v>
      </c>
      <c r="BM178" s="12">
        <f>IF(BM$6&lt;$F$35,SUM($I176:BM176),0)</f>
        <v>0</v>
      </c>
      <c r="BN178" s="12">
        <f>IF(BN$6&lt;$F$35,SUM($I176:BN176),0)</f>
        <v>0</v>
      </c>
      <c r="BO178" s="12">
        <f>IF(BO$6&lt;$F$35,SUM($I176:BO176),0)</f>
        <v>0</v>
      </c>
      <c r="BP178" s="12">
        <f>IF(BP$6&lt;$F$35,SUM($I176:BP176),0)</f>
        <v>0</v>
      </c>
      <c r="BQ178" s="12">
        <f>IF(BQ$6&lt;$F$35,SUM($I176:BQ176),0)</f>
        <v>116.10080555555552</v>
      </c>
      <c r="BR178" s="12">
        <f>IF(BR$6&lt;$F$35,SUM($I176:BR176),0)</f>
        <v>235.51877698412693</v>
      </c>
      <c r="BS178" s="12">
        <f>IF(BS$6&lt;$F$35,SUM($I176:BS176),0)</f>
        <v>358.44904169000927</v>
      </c>
      <c r="BT178" s="12">
        <f>IF(BT$6&lt;$F$35,SUM($I176:BT176),0)</f>
        <v>485.10446593243347</v>
      </c>
      <c r="BU178" s="12">
        <f>IF(BU$6&lt;$F$35,SUM($I176:BU176),0)</f>
        <v>615.71787218243344</v>
      </c>
      <c r="BV178" s="12">
        <f>IF(BV$6&lt;$F$35,SUM($I176:BV176),0)</f>
        <v>750.54461411791726</v>
      </c>
      <c r="BW178" s="12">
        <f>IF(BW$6&lt;$F$35,SUM($I176:BW176),0)</f>
        <v>778.4088074512506</v>
      </c>
      <c r="BX178" s="12">
        <f>IF(BX$6&lt;$F$35,SUM($I176:BX176),0)</f>
        <v>807.23383503745742</v>
      </c>
      <c r="BY178" s="12">
        <f>IF(BY$6&lt;$F$35,SUM($I176:BY176),0)</f>
        <v>837.0883278946003</v>
      </c>
      <c r="BZ178" s="12">
        <f>IF(BZ$6&lt;$F$35,SUM($I176:BZ176),0)</f>
        <v>868.04854270941507</v>
      </c>
      <c r="CA178" s="12">
        <f>IF(CA$6&lt;$F$35,SUM($I176:CA176),0)</f>
        <v>900.19953501710734</v>
      </c>
      <c r="CB178" s="12">
        <f>IF(CB$6&lt;$F$35,SUM($I176:CB176),0)</f>
        <v>933.63656701710738</v>
      </c>
      <c r="CC178" s="12">
        <f>IF(CC$6&lt;$F$35,SUM($I176:CC176),0)</f>
        <v>968.46680868377405</v>
      </c>
      <c r="CD178" s="12">
        <f>IF(CD$6&lt;$F$35,SUM($I176:CD176),0)</f>
        <v>1004.8114086837741</v>
      </c>
      <c r="CE178" s="12">
        <f>IF(CE$6&lt;$F$35,SUM($I176:CE176),0)</f>
        <v>1042.8080359565013</v>
      </c>
      <c r="CF178" s="12">
        <f>IF(CF$6&lt;$F$35,SUM($I176:CF176),0)</f>
        <v>1082.6140264326918</v>
      </c>
      <c r="CG178" s="12">
        <f>IF(CG$6&lt;$F$35,SUM($I176:CG176),0)</f>
        <v>1124.4103164326918</v>
      </c>
      <c r="CH178" s="12">
        <f>IF(CH$6&lt;$F$35,SUM($I176:CH176),0)</f>
        <v>1168.4064111695338</v>
      </c>
      <c r="CI178" s="12">
        <f>IF(CI$6&lt;$F$35,SUM($I176:CI176),0)</f>
        <v>1214.8467333917561</v>
      </c>
      <c r="CJ178" s="12">
        <f>IF(CJ$6&lt;$F$35,SUM($I176:CJ176),0)</f>
        <v>1264.018839274109</v>
      </c>
      <c r="CK178" s="12">
        <f>IF(CK$6&lt;$F$35,SUM($I176:CK176),0)</f>
        <v>1316.2642017741091</v>
      </c>
      <c r="CL178" s="12">
        <f>IF(CL$6&lt;$F$35,SUM($I176:CL176),0)</f>
        <v>1371.9925884407758</v>
      </c>
      <c r="CM178" s="12">
        <f>IF(CM$6&lt;$F$35,SUM($I176:CM176),0)</f>
        <v>1431.7015741550615</v>
      </c>
      <c r="CN178" s="12">
        <f>IF(CN$6&lt;$F$35,SUM($I176:CN176),0)</f>
        <v>1496.003558770446</v>
      </c>
      <c r="CO178" s="12">
        <f>IF(CO$6&lt;$F$35,SUM($I176:CO176),0)</f>
        <v>1565.6640421037794</v>
      </c>
      <c r="CP178" s="12">
        <f>IF(CP$6&lt;$F$35,SUM($I176:CP176),0)</f>
        <v>1641.6572966492338</v>
      </c>
      <c r="CQ178" s="12">
        <f>IF(CQ$6&lt;$F$35,SUM($I176:CQ176),0)</f>
        <v>1725.2498766492338</v>
      </c>
      <c r="CR178" s="12">
        <f>IF(CR$6&lt;$F$35,SUM($I176:CR176),0)</f>
        <v>1818.1305210936782</v>
      </c>
      <c r="CS178" s="12">
        <f>IF(CS$6&lt;$F$35,SUM($I176:CS176),0)</f>
        <v>1922.6212460936781</v>
      </c>
      <c r="CT178" s="12">
        <f>IF(CT$6&lt;$F$35,SUM($I176:CT176),0)</f>
        <v>2042.0392175222496</v>
      </c>
      <c r="CU178" s="12">
        <f>IF(CU$6&lt;$F$35,SUM($I176:CU176),0)</f>
        <v>2181.3601841889163</v>
      </c>
      <c r="CV178" s="12">
        <f>IF(CV$6&lt;$F$35,SUM($I176:CV176),0)</f>
        <v>2348.5453441889163</v>
      </c>
      <c r="CW178" s="12">
        <f>IF(CW$6&lt;$F$35,SUM($I176:CW176),0)</f>
        <v>2557.526794188916</v>
      </c>
      <c r="CX178" s="12">
        <f>IF(CX$6&lt;$F$35,SUM($I176:CX176),0)</f>
        <v>2836.1687275222494</v>
      </c>
      <c r="CY178" s="12">
        <f>IF(CY$6&lt;$F$35,SUM($I176:CY176),0)</f>
        <v>3254.1316275222493</v>
      </c>
      <c r="CZ178" s="12">
        <f>IF(CZ$6&lt;$F$35,SUM($I176:CZ176),0)</f>
        <v>4090.0574275222489</v>
      </c>
      <c r="DA178" s="12">
        <f>IF(DA$6&lt;$F$35,SUM($I176:DA176),0)</f>
        <v>0</v>
      </c>
      <c r="DB178" s="12">
        <f>IF(DB$6&lt;$F$35,SUM($I176:DB176),0)</f>
        <v>0</v>
      </c>
      <c r="DC178" s="12">
        <f>IF(DC$6&lt;$F$35,SUM($I176:DC176),0)</f>
        <v>0</v>
      </c>
      <c r="DD178" s="12">
        <f>IF(DD$6&lt;$F$35,SUM($I176:DD176),0)</f>
        <v>0</v>
      </c>
      <c r="DE178" s="12">
        <f>IF(DE$6&lt;$F$35,SUM($I176:DE176),0)</f>
        <v>0</v>
      </c>
      <c r="DF178" s="12">
        <f>IF(DF$6&lt;$F$35,SUM($I176:DF176),0)</f>
        <v>0</v>
      </c>
      <c r="DG178" s="12">
        <f>IF(DG$6&lt;$F$35,SUM($I176:DG176),0)</f>
        <v>0</v>
      </c>
      <c r="DH178" s="12">
        <f>IF(DH$6&lt;$F$35,SUM($I176:DH176),0)</f>
        <v>0</v>
      </c>
      <c r="DI178" s="12">
        <f>IF(DI$6&lt;$F$35,SUM($I176:DI176),0)</f>
        <v>0</v>
      </c>
      <c r="DJ178" s="12">
        <f>IF(DJ$6&lt;$F$35,SUM($I176:DJ176),0)</f>
        <v>0</v>
      </c>
      <c r="DK178" s="12">
        <f>IF(DK$6&lt;$F$35,SUM($I176:DK176),0)</f>
        <v>0</v>
      </c>
      <c r="DL178" s="12">
        <f>IF(DL$6&lt;$F$35,SUM($I176:DL176),0)</f>
        <v>0</v>
      </c>
      <c r="DM178" s="12">
        <f>IF(DM$6&lt;$F$35,SUM($I176:DM176),0)</f>
        <v>0</v>
      </c>
      <c r="DN178" s="12">
        <f>IF(DN$6&lt;$F$35,SUM($I176:DN176),0)</f>
        <v>0</v>
      </c>
      <c r="DO178" s="12">
        <f>IF(DO$6&lt;$F$35,SUM($I176:DO176),0)</f>
        <v>0</v>
      </c>
      <c r="DP178" s="12">
        <f>IF(DP$6&lt;$F$35,SUM($I176:DP176),0)</f>
        <v>0</v>
      </c>
      <c r="DQ178" s="12">
        <f>IF(DQ$6&lt;$F$35,SUM($I176:DQ176),0)</f>
        <v>0</v>
      </c>
      <c r="DR178" s="12">
        <f>IF(DR$6&lt;$F$35,SUM($I176:DR176),0)</f>
        <v>0</v>
      </c>
      <c r="DS178" s="12">
        <f>IF(DS$6&lt;$F$35,SUM($I176:DS176),0)</f>
        <v>0</v>
      </c>
      <c r="DT178" s="12">
        <f>IF(DT$6&lt;$F$35,SUM($I176:DT176),0)</f>
        <v>0</v>
      </c>
      <c r="DU178" s="12">
        <f>IF(DU$6&lt;$F$35,SUM($I176:DU176),0)</f>
        <v>0</v>
      </c>
      <c r="DV178" s="12">
        <f>IF(DV$6&lt;$F$35,SUM($I176:DV176),0)</f>
        <v>0</v>
      </c>
      <c r="DW178" s="12">
        <f>IF(DW$6&lt;$F$35,SUM($I176:DW176),0)</f>
        <v>0</v>
      </c>
      <c r="DX178" s="12">
        <f>IF(DX$6&lt;$F$35,SUM($I176:DX176),0)</f>
        <v>0</v>
      </c>
      <c r="DY178" s="12">
        <f>IF(DY$6&lt;$F$35,SUM($I176:DY176),0)</f>
        <v>0</v>
      </c>
      <c r="DZ178" s="12">
        <f>IF(DZ$6&lt;$F$35,SUM($I176:DZ176),0)</f>
        <v>0</v>
      </c>
      <c r="EA178" s="12">
        <f>IF(EA$6&lt;$F$35,SUM($I176:EA176),0)</f>
        <v>0</v>
      </c>
      <c r="EB178" s="12">
        <f>IF(EB$6&lt;$F$35,SUM($I176:EB176),0)</f>
        <v>0</v>
      </c>
      <c r="EC178" s="12">
        <f>IF(EC$6&lt;$F$35,SUM($I176:EC176),0)</f>
        <v>0</v>
      </c>
      <c r="ED178" s="12">
        <f>IF(ED$6&lt;$F$35,SUM($I176:ED176),0)</f>
        <v>0</v>
      </c>
      <c r="EE178" s="12">
        <f>IF(EE$6&lt;$F$35,SUM($I176:EE176),0)</f>
        <v>0</v>
      </c>
      <c r="EF178" s="12">
        <f>IF(EF$6&lt;$F$35,SUM($I176:EF176),0)</f>
        <v>0</v>
      </c>
      <c r="EG178" s="12">
        <f>IF(EG$6&lt;$F$35,SUM($I176:EG176),0)</f>
        <v>0</v>
      </c>
      <c r="EH178" s="12">
        <f>IF(EH$6&lt;$F$35,SUM($I176:EH176),0)</f>
        <v>0</v>
      </c>
      <c r="EI178" s="12">
        <f>IF(EI$6&lt;$F$35,SUM($I176:EI176),0)</f>
        <v>0</v>
      </c>
      <c r="EJ178" s="12">
        <f>IF(EJ$6&lt;$F$35,SUM($I176:EJ176),0)</f>
        <v>0</v>
      </c>
      <c r="EK178" s="12">
        <f>IF(EK$6&lt;$F$35,SUM($I176:EK176),0)</f>
        <v>0</v>
      </c>
      <c r="EL178" s="12">
        <f>IF(EL$6&lt;$F$35,SUM($I176:EL176),0)</f>
        <v>0</v>
      </c>
      <c r="EM178" s="12">
        <f>IF(EM$6&lt;$F$35,SUM($I176:EM176),0)</f>
        <v>0</v>
      </c>
      <c r="EN178" s="12">
        <f>IF(EN$6&lt;$F$35,SUM($I176:EN176),0)</f>
        <v>0</v>
      </c>
      <c r="EO178" s="12">
        <f>IF(EO$6&lt;$F$35,SUM($I176:EO176),0)</f>
        <v>0</v>
      </c>
      <c r="EP178" s="12">
        <f>IF(EP$6&lt;$F$35,SUM($I176:EP176),0)</f>
        <v>0</v>
      </c>
      <c r="EQ178" s="12">
        <f>IF(EQ$6&lt;$F$35,SUM($I176:EQ176),0)</f>
        <v>0</v>
      </c>
      <c r="ER178" s="12">
        <f>IF(ER$6&lt;$F$35,SUM($I176:ER176),0)</f>
        <v>0</v>
      </c>
      <c r="ES178" s="12">
        <f>IF(ES$6&lt;$F$35,SUM($I176:ES176),0)</f>
        <v>0</v>
      </c>
      <c r="ET178" s="12">
        <f>IF(ET$6&lt;$F$35,SUM($I176:ET176),0)</f>
        <v>0</v>
      </c>
      <c r="EU178" s="12">
        <f>IF(EU$6&lt;$F$35,SUM($I176:EU176),0)</f>
        <v>0</v>
      </c>
      <c r="EV178" s="12">
        <f>IF(EV$6&lt;$F$35,SUM($I176:EV176),0)</f>
        <v>0</v>
      </c>
      <c r="EW178" s="12">
        <f>IF(EW$6&lt;$F$35,SUM($I176:EW176),0)</f>
        <v>0</v>
      </c>
      <c r="EX178" s="12">
        <f>IF(EX$6&lt;$F$35,SUM($I176:EX176),0)</f>
        <v>0</v>
      </c>
      <c r="EY178" s="12">
        <f>IF(EY$6&lt;$F$35,SUM($I176:EY176),0)</f>
        <v>0</v>
      </c>
      <c r="EZ178" s="12">
        <f>IF(EZ$6&lt;$F$35,SUM($I176:EZ176),0)</f>
        <v>0</v>
      </c>
      <c r="FA178" s="12">
        <f>IF(FA$6&lt;$F$35,SUM($I176:FA176),0)</f>
        <v>0</v>
      </c>
      <c r="FB178" s="12">
        <f>IF(FB$6&lt;$F$35,SUM($I176:FB176),0)</f>
        <v>0</v>
      </c>
      <c r="FC178" s="12">
        <f>IF(FC$6&lt;$F$35,SUM($I176:FC176),0)</f>
        <v>0</v>
      </c>
      <c r="FD178" s="12">
        <f>IF(FD$6&lt;$F$35,SUM($I176:FD176),0)</f>
        <v>0</v>
      </c>
      <c r="FE178" s="12">
        <f>IF(FE$6&lt;$F$35,SUM($I176:FE176),0)</f>
        <v>0</v>
      </c>
      <c r="FF178" s="12">
        <f>IF(FF$6&lt;$F$35,SUM($I176:FF176),0)</f>
        <v>0</v>
      </c>
      <c r="FG178" s="12">
        <f>IF(FG$6&lt;$F$35,SUM($I176:FG176),0)</f>
        <v>0</v>
      </c>
      <c r="FH178" s="12">
        <f>IF(FH$6&lt;$F$35,SUM($I176:FH176),0)</f>
        <v>0</v>
      </c>
    </row>
    <row r="179" spans="1:164" x14ac:dyDescent="0.2">
      <c r="A179" s="10"/>
      <c r="B179" s="10"/>
      <c r="C179" s="10" t="s">
        <v>709</v>
      </c>
      <c r="D179" s="10"/>
      <c r="E179" s="10"/>
      <c r="F179" s="10"/>
      <c r="G179" s="10"/>
      <c r="H179" s="12">
        <f t="shared" si="360"/>
        <v>16718.515999999996</v>
      </c>
      <c r="I179" s="12">
        <f t="shared" ref="I179:AN179" si="366">IF(I$6=$F$35,SUMIF($I$6:$FH$6,"&lt;"&amp;$F$35,$I$175:$FH$175)*$F$51,0)</f>
        <v>0</v>
      </c>
      <c r="J179" s="12">
        <f t="shared" si="366"/>
        <v>0</v>
      </c>
      <c r="K179" s="12">
        <f t="shared" si="366"/>
        <v>0</v>
      </c>
      <c r="L179" s="12">
        <f t="shared" si="366"/>
        <v>0</v>
      </c>
      <c r="M179" s="12">
        <f t="shared" si="366"/>
        <v>0</v>
      </c>
      <c r="N179" s="12">
        <f t="shared" si="366"/>
        <v>0</v>
      </c>
      <c r="O179" s="12">
        <f t="shared" si="366"/>
        <v>0</v>
      </c>
      <c r="P179" s="12">
        <f t="shared" si="366"/>
        <v>0</v>
      </c>
      <c r="Q179" s="12">
        <f t="shared" si="366"/>
        <v>0</v>
      </c>
      <c r="R179" s="12">
        <f t="shared" si="366"/>
        <v>0</v>
      </c>
      <c r="S179" s="12">
        <f t="shared" si="366"/>
        <v>0</v>
      </c>
      <c r="T179" s="12">
        <f t="shared" si="366"/>
        <v>0</v>
      </c>
      <c r="U179" s="12">
        <f t="shared" si="366"/>
        <v>0</v>
      </c>
      <c r="V179" s="12">
        <f t="shared" si="366"/>
        <v>0</v>
      </c>
      <c r="W179" s="12">
        <f t="shared" si="366"/>
        <v>0</v>
      </c>
      <c r="X179" s="12">
        <f t="shared" si="366"/>
        <v>0</v>
      </c>
      <c r="Y179" s="12">
        <f t="shared" si="366"/>
        <v>0</v>
      </c>
      <c r="Z179" s="12">
        <f t="shared" si="366"/>
        <v>0</v>
      </c>
      <c r="AA179" s="12">
        <f t="shared" si="366"/>
        <v>0</v>
      </c>
      <c r="AB179" s="12">
        <f t="shared" si="366"/>
        <v>0</v>
      </c>
      <c r="AC179" s="12">
        <f t="shared" si="366"/>
        <v>0</v>
      </c>
      <c r="AD179" s="12">
        <f t="shared" si="366"/>
        <v>0</v>
      </c>
      <c r="AE179" s="12">
        <f t="shared" si="366"/>
        <v>0</v>
      </c>
      <c r="AF179" s="12">
        <f t="shared" si="366"/>
        <v>0</v>
      </c>
      <c r="AG179" s="12">
        <f t="shared" si="366"/>
        <v>0</v>
      </c>
      <c r="AH179" s="12">
        <f t="shared" si="366"/>
        <v>0</v>
      </c>
      <c r="AI179" s="12">
        <f t="shared" si="366"/>
        <v>0</v>
      </c>
      <c r="AJ179" s="12">
        <f t="shared" si="366"/>
        <v>0</v>
      </c>
      <c r="AK179" s="12">
        <f t="shared" si="366"/>
        <v>0</v>
      </c>
      <c r="AL179" s="12">
        <f t="shared" si="366"/>
        <v>0</v>
      </c>
      <c r="AM179" s="12">
        <f t="shared" si="366"/>
        <v>0</v>
      </c>
      <c r="AN179" s="12">
        <f t="shared" si="366"/>
        <v>0</v>
      </c>
      <c r="AO179" s="12">
        <f t="shared" ref="AO179:BT179" si="367">IF(AO$6=$F$35,SUMIF($I$6:$FH$6,"&lt;"&amp;$F$35,$I$175:$FH$175)*$F$51,0)</f>
        <v>0</v>
      </c>
      <c r="AP179" s="12">
        <f t="shared" si="367"/>
        <v>0</v>
      </c>
      <c r="AQ179" s="12">
        <f t="shared" si="367"/>
        <v>0</v>
      </c>
      <c r="AR179" s="12">
        <f t="shared" si="367"/>
        <v>0</v>
      </c>
      <c r="AS179" s="12">
        <f t="shared" si="367"/>
        <v>0</v>
      </c>
      <c r="AT179" s="12">
        <f t="shared" si="367"/>
        <v>0</v>
      </c>
      <c r="AU179" s="12">
        <f t="shared" si="367"/>
        <v>0</v>
      </c>
      <c r="AV179" s="12">
        <f t="shared" si="367"/>
        <v>0</v>
      </c>
      <c r="AW179" s="12">
        <f t="shared" si="367"/>
        <v>0</v>
      </c>
      <c r="AX179" s="12">
        <f t="shared" si="367"/>
        <v>0</v>
      </c>
      <c r="AY179" s="12">
        <f t="shared" si="367"/>
        <v>0</v>
      </c>
      <c r="AZ179" s="12">
        <f t="shared" si="367"/>
        <v>0</v>
      </c>
      <c r="BA179" s="12">
        <f t="shared" si="367"/>
        <v>0</v>
      </c>
      <c r="BB179" s="12">
        <f t="shared" si="367"/>
        <v>0</v>
      </c>
      <c r="BC179" s="12">
        <f t="shared" si="367"/>
        <v>0</v>
      </c>
      <c r="BD179" s="12">
        <f t="shared" si="367"/>
        <v>0</v>
      </c>
      <c r="BE179" s="12">
        <f t="shared" si="367"/>
        <v>0</v>
      </c>
      <c r="BF179" s="12">
        <f t="shared" si="367"/>
        <v>0</v>
      </c>
      <c r="BG179" s="12">
        <f t="shared" si="367"/>
        <v>0</v>
      </c>
      <c r="BH179" s="12">
        <f t="shared" si="367"/>
        <v>0</v>
      </c>
      <c r="BI179" s="12">
        <f t="shared" si="367"/>
        <v>0</v>
      </c>
      <c r="BJ179" s="12">
        <f t="shared" si="367"/>
        <v>0</v>
      </c>
      <c r="BK179" s="12">
        <f t="shared" si="367"/>
        <v>0</v>
      </c>
      <c r="BL179" s="12">
        <f t="shared" si="367"/>
        <v>0</v>
      </c>
      <c r="BM179" s="12">
        <f t="shared" si="367"/>
        <v>0</v>
      </c>
      <c r="BN179" s="12">
        <f t="shared" si="367"/>
        <v>0</v>
      </c>
      <c r="BO179" s="12">
        <f t="shared" si="367"/>
        <v>0</v>
      </c>
      <c r="BP179" s="12">
        <f t="shared" si="367"/>
        <v>0</v>
      </c>
      <c r="BQ179" s="12">
        <f t="shared" si="367"/>
        <v>0</v>
      </c>
      <c r="BR179" s="12">
        <f t="shared" si="367"/>
        <v>0</v>
      </c>
      <c r="BS179" s="12">
        <f t="shared" si="367"/>
        <v>0</v>
      </c>
      <c r="BT179" s="12">
        <f t="shared" si="367"/>
        <v>0</v>
      </c>
      <c r="BU179" s="12">
        <f t="shared" ref="BU179:CZ179" si="368">IF(BU$6=$F$35,SUMIF($I$6:$FH$6,"&lt;"&amp;$F$35,$I$175:$FH$175)*$F$51,0)</f>
        <v>0</v>
      </c>
      <c r="BV179" s="12">
        <f t="shared" si="368"/>
        <v>0</v>
      </c>
      <c r="BW179" s="12">
        <f t="shared" si="368"/>
        <v>0</v>
      </c>
      <c r="BX179" s="12">
        <f t="shared" si="368"/>
        <v>0</v>
      </c>
      <c r="BY179" s="12">
        <f t="shared" si="368"/>
        <v>0</v>
      </c>
      <c r="BZ179" s="12">
        <f t="shared" si="368"/>
        <v>0</v>
      </c>
      <c r="CA179" s="12">
        <f t="shared" si="368"/>
        <v>0</v>
      </c>
      <c r="CB179" s="12">
        <f t="shared" si="368"/>
        <v>0</v>
      </c>
      <c r="CC179" s="12">
        <f t="shared" si="368"/>
        <v>0</v>
      </c>
      <c r="CD179" s="12">
        <f t="shared" si="368"/>
        <v>0</v>
      </c>
      <c r="CE179" s="12">
        <f t="shared" si="368"/>
        <v>0</v>
      </c>
      <c r="CF179" s="12">
        <f t="shared" si="368"/>
        <v>0</v>
      </c>
      <c r="CG179" s="12">
        <f t="shared" si="368"/>
        <v>0</v>
      </c>
      <c r="CH179" s="12">
        <f t="shared" si="368"/>
        <v>0</v>
      </c>
      <c r="CI179" s="12">
        <f t="shared" si="368"/>
        <v>0</v>
      </c>
      <c r="CJ179" s="12">
        <f t="shared" si="368"/>
        <v>0</v>
      </c>
      <c r="CK179" s="12">
        <f t="shared" si="368"/>
        <v>0</v>
      </c>
      <c r="CL179" s="12">
        <f t="shared" si="368"/>
        <v>0</v>
      </c>
      <c r="CM179" s="12">
        <f t="shared" si="368"/>
        <v>0</v>
      </c>
      <c r="CN179" s="12">
        <f t="shared" si="368"/>
        <v>0</v>
      </c>
      <c r="CO179" s="12">
        <f t="shared" si="368"/>
        <v>0</v>
      </c>
      <c r="CP179" s="12">
        <f t="shared" si="368"/>
        <v>0</v>
      </c>
      <c r="CQ179" s="12">
        <f t="shared" si="368"/>
        <v>0</v>
      </c>
      <c r="CR179" s="12">
        <f t="shared" si="368"/>
        <v>0</v>
      </c>
      <c r="CS179" s="12">
        <f t="shared" si="368"/>
        <v>0</v>
      </c>
      <c r="CT179" s="12">
        <f t="shared" si="368"/>
        <v>0</v>
      </c>
      <c r="CU179" s="12">
        <f t="shared" si="368"/>
        <v>0</v>
      </c>
      <c r="CV179" s="12">
        <f t="shared" si="368"/>
        <v>0</v>
      </c>
      <c r="CW179" s="12">
        <f t="shared" si="368"/>
        <v>0</v>
      </c>
      <c r="CX179" s="12">
        <f t="shared" si="368"/>
        <v>0</v>
      </c>
      <c r="CY179" s="12">
        <f t="shared" si="368"/>
        <v>0</v>
      </c>
      <c r="CZ179" s="12">
        <f t="shared" si="368"/>
        <v>0</v>
      </c>
      <c r="DA179" s="12">
        <f t="shared" ref="DA179:EF179" si="369">IF(DA$6=$F$35,SUMIF($I$6:$FH$6,"&lt;"&amp;$F$35,$I$175:$FH$175)*$F$51,0)</f>
        <v>16718.515999999996</v>
      </c>
      <c r="DB179" s="12">
        <f t="shared" si="369"/>
        <v>0</v>
      </c>
      <c r="DC179" s="12">
        <f t="shared" si="369"/>
        <v>0</v>
      </c>
      <c r="DD179" s="12">
        <f t="shared" si="369"/>
        <v>0</v>
      </c>
      <c r="DE179" s="12">
        <f t="shared" si="369"/>
        <v>0</v>
      </c>
      <c r="DF179" s="12">
        <f t="shared" si="369"/>
        <v>0</v>
      </c>
      <c r="DG179" s="12">
        <f t="shared" si="369"/>
        <v>0</v>
      </c>
      <c r="DH179" s="12">
        <f t="shared" si="369"/>
        <v>0</v>
      </c>
      <c r="DI179" s="12">
        <f t="shared" si="369"/>
        <v>0</v>
      </c>
      <c r="DJ179" s="12">
        <f t="shared" si="369"/>
        <v>0</v>
      </c>
      <c r="DK179" s="12">
        <f t="shared" si="369"/>
        <v>0</v>
      </c>
      <c r="DL179" s="12">
        <f t="shared" si="369"/>
        <v>0</v>
      </c>
      <c r="DM179" s="12">
        <f t="shared" si="369"/>
        <v>0</v>
      </c>
      <c r="DN179" s="12">
        <f t="shared" si="369"/>
        <v>0</v>
      </c>
      <c r="DO179" s="12">
        <f t="shared" si="369"/>
        <v>0</v>
      </c>
      <c r="DP179" s="12">
        <f t="shared" si="369"/>
        <v>0</v>
      </c>
      <c r="DQ179" s="12">
        <f t="shared" si="369"/>
        <v>0</v>
      </c>
      <c r="DR179" s="12">
        <f t="shared" si="369"/>
        <v>0</v>
      </c>
      <c r="DS179" s="12">
        <f t="shared" si="369"/>
        <v>0</v>
      </c>
      <c r="DT179" s="12">
        <f t="shared" si="369"/>
        <v>0</v>
      </c>
      <c r="DU179" s="12">
        <f t="shared" si="369"/>
        <v>0</v>
      </c>
      <c r="DV179" s="12">
        <f t="shared" si="369"/>
        <v>0</v>
      </c>
      <c r="DW179" s="12">
        <f t="shared" si="369"/>
        <v>0</v>
      </c>
      <c r="DX179" s="12">
        <f t="shared" si="369"/>
        <v>0</v>
      </c>
      <c r="DY179" s="12">
        <f t="shared" si="369"/>
        <v>0</v>
      </c>
      <c r="DZ179" s="12">
        <f t="shared" si="369"/>
        <v>0</v>
      </c>
      <c r="EA179" s="12">
        <f t="shared" si="369"/>
        <v>0</v>
      </c>
      <c r="EB179" s="12">
        <f t="shared" si="369"/>
        <v>0</v>
      </c>
      <c r="EC179" s="12">
        <f t="shared" si="369"/>
        <v>0</v>
      </c>
      <c r="ED179" s="12">
        <f t="shared" si="369"/>
        <v>0</v>
      </c>
      <c r="EE179" s="12">
        <f t="shared" si="369"/>
        <v>0</v>
      </c>
      <c r="EF179" s="12">
        <f t="shared" si="369"/>
        <v>0</v>
      </c>
      <c r="EG179" s="12">
        <f t="shared" ref="EG179:FH179" si="370">IF(EG$6=$F$35,SUMIF($I$6:$FH$6,"&lt;"&amp;$F$35,$I$175:$FH$175)*$F$51,0)</f>
        <v>0</v>
      </c>
      <c r="EH179" s="12">
        <f t="shared" si="370"/>
        <v>0</v>
      </c>
      <c r="EI179" s="12">
        <f t="shared" si="370"/>
        <v>0</v>
      </c>
      <c r="EJ179" s="12">
        <f t="shared" si="370"/>
        <v>0</v>
      </c>
      <c r="EK179" s="12">
        <f t="shared" si="370"/>
        <v>0</v>
      </c>
      <c r="EL179" s="12">
        <f t="shared" si="370"/>
        <v>0</v>
      </c>
      <c r="EM179" s="12">
        <f t="shared" si="370"/>
        <v>0</v>
      </c>
      <c r="EN179" s="12">
        <f t="shared" si="370"/>
        <v>0</v>
      </c>
      <c r="EO179" s="12">
        <f t="shared" si="370"/>
        <v>0</v>
      </c>
      <c r="EP179" s="12">
        <f t="shared" si="370"/>
        <v>0</v>
      </c>
      <c r="EQ179" s="12">
        <f t="shared" si="370"/>
        <v>0</v>
      </c>
      <c r="ER179" s="12">
        <f t="shared" si="370"/>
        <v>0</v>
      </c>
      <c r="ES179" s="12">
        <f t="shared" si="370"/>
        <v>0</v>
      </c>
      <c r="ET179" s="12">
        <f t="shared" si="370"/>
        <v>0</v>
      </c>
      <c r="EU179" s="12">
        <f t="shared" si="370"/>
        <v>0</v>
      </c>
      <c r="EV179" s="12">
        <f t="shared" si="370"/>
        <v>0</v>
      </c>
      <c r="EW179" s="12">
        <f t="shared" si="370"/>
        <v>0</v>
      </c>
      <c r="EX179" s="12">
        <f t="shared" si="370"/>
        <v>0</v>
      </c>
      <c r="EY179" s="12">
        <f t="shared" si="370"/>
        <v>0</v>
      </c>
      <c r="EZ179" s="12">
        <f t="shared" si="370"/>
        <v>0</v>
      </c>
      <c r="FA179" s="12">
        <f t="shared" si="370"/>
        <v>0</v>
      </c>
      <c r="FB179" s="12">
        <f t="shared" si="370"/>
        <v>0</v>
      </c>
      <c r="FC179" s="12">
        <f t="shared" si="370"/>
        <v>0</v>
      </c>
      <c r="FD179" s="12">
        <f t="shared" si="370"/>
        <v>0</v>
      </c>
      <c r="FE179" s="12">
        <f t="shared" si="370"/>
        <v>0</v>
      </c>
      <c r="FF179" s="12">
        <f t="shared" si="370"/>
        <v>0</v>
      </c>
      <c r="FG179" s="12">
        <f t="shared" si="370"/>
        <v>0</v>
      </c>
      <c r="FH179" s="12">
        <f t="shared" si="370"/>
        <v>0</v>
      </c>
    </row>
    <row r="180" spans="1:164" x14ac:dyDescent="0.2">
      <c r="A180" s="10"/>
      <c r="B180" s="10"/>
      <c r="C180" s="10" t="s">
        <v>751</v>
      </c>
      <c r="D180" s="10"/>
      <c r="E180" s="10"/>
      <c r="F180" s="10"/>
      <c r="G180" s="10"/>
      <c r="H180" s="12">
        <f t="shared" si="360"/>
        <v>271675.88499999978</v>
      </c>
      <c r="I180" s="12">
        <f t="shared" ref="I180:AN180" si="371">IF(I$6=$F$46,SUMIF($I$6:$FH$6,"&lt;"&amp;$F$46,$I$175:$FH$175)*$F$52,0)</f>
        <v>0</v>
      </c>
      <c r="J180" s="12">
        <f t="shared" si="371"/>
        <v>0</v>
      </c>
      <c r="K180" s="12">
        <f t="shared" si="371"/>
        <v>0</v>
      </c>
      <c r="L180" s="12">
        <f t="shared" si="371"/>
        <v>0</v>
      </c>
      <c r="M180" s="12">
        <f t="shared" si="371"/>
        <v>0</v>
      </c>
      <c r="N180" s="12">
        <f t="shared" si="371"/>
        <v>0</v>
      </c>
      <c r="O180" s="12">
        <f t="shared" si="371"/>
        <v>0</v>
      </c>
      <c r="P180" s="12">
        <f t="shared" si="371"/>
        <v>0</v>
      </c>
      <c r="Q180" s="12">
        <f t="shared" si="371"/>
        <v>0</v>
      </c>
      <c r="R180" s="12">
        <f t="shared" si="371"/>
        <v>0</v>
      </c>
      <c r="S180" s="12">
        <f t="shared" si="371"/>
        <v>0</v>
      </c>
      <c r="T180" s="12">
        <f t="shared" si="371"/>
        <v>0</v>
      </c>
      <c r="U180" s="12">
        <f t="shared" si="371"/>
        <v>0</v>
      </c>
      <c r="V180" s="12">
        <f t="shared" si="371"/>
        <v>0</v>
      </c>
      <c r="W180" s="12">
        <f t="shared" si="371"/>
        <v>0</v>
      </c>
      <c r="X180" s="12">
        <f t="shared" si="371"/>
        <v>0</v>
      </c>
      <c r="Y180" s="12">
        <f t="shared" si="371"/>
        <v>0</v>
      </c>
      <c r="Z180" s="12">
        <f t="shared" si="371"/>
        <v>0</v>
      </c>
      <c r="AA180" s="12">
        <f t="shared" si="371"/>
        <v>0</v>
      </c>
      <c r="AB180" s="12">
        <f t="shared" si="371"/>
        <v>0</v>
      </c>
      <c r="AC180" s="12">
        <f t="shared" si="371"/>
        <v>0</v>
      </c>
      <c r="AD180" s="12">
        <f t="shared" si="371"/>
        <v>0</v>
      </c>
      <c r="AE180" s="12">
        <f t="shared" si="371"/>
        <v>0</v>
      </c>
      <c r="AF180" s="12">
        <f t="shared" si="371"/>
        <v>0</v>
      </c>
      <c r="AG180" s="12">
        <f t="shared" si="371"/>
        <v>0</v>
      </c>
      <c r="AH180" s="12">
        <f t="shared" si="371"/>
        <v>0</v>
      </c>
      <c r="AI180" s="12">
        <f t="shared" si="371"/>
        <v>0</v>
      </c>
      <c r="AJ180" s="12">
        <f t="shared" si="371"/>
        <v>0</v>
      </c>
      <c r="AK180" s="12">
        <f t="shared" si="371"/>
        <v>0</v>
      </c>
      <c r="AL180" s="12">
        <f t="shared" si="371"/>
        <v>0</v>
      </c>
      <c r="AM180" s="12">
        <f t="shared" si="371"/>
        <v>0</v>
      </c>
      <c r="AN180" s="12">
        <f t="shared" si="371"/>
        <v>0</v>
      </c>
      <c r="AO180" s="12">
        <f t="shared" ref="AO180:BT180" si="372">IF(AO$6=$F$46,SUMIF($I$6:$FH$6,"&lt;"&amp;$F$46,$I$175:$FH$175)*$F$52,0)</f>
        <v>0</v>
      </c>
      <c r="AP180" s="12">
        <f t="shared" si="372"/>
        <v>0</v>
      </c>
      <c r="AQ180" s="12">
        <f t="shared" si="372"/>
        <v>0</v>
      </c>
      <c r="AR180" s="12">
        <f t="shared" si="372"/>
        <v>0</v>
      </c>
      <c r="AS180" s="12">
        <f t="shared" si="372"/>
        <v>0</v>
      </c>
      <c r="AT180" s="12">
        <f t="shared" si="372"/>
        <v>0</v>
      </c>
      <c r="AU180" s="12">
        <f t="shared" si="372"/>
        <v>0</v>
      </c>
      <c r="AV180" s="12">
        <f t="shared" si="372"/>
        <v>0</v>
      </c>
      <c r="AW180" s="12">
        <f t="shared" si="372"/>
        <v>0</v>
      </c>
      <c r="AX180" s="12">
        <f t="shared" si="372"/>
        <v>0</v>
      </c>
      <c r="AY180" s="12">
        <f t="shared" si="372"/>
        <v>0</v>
      </c>
      <c r="AZ180" s="12">
        <f t="shared" si="372"/>
        <v>0</v>
      </c>
      <c r="BA180" s="12">
        <f t="shared" si="372"/>
        <v>0</v>
      </c>
      <c r="BB180" s="12">
        <f t="shared" si="372"/>
        <v>0</v>
      </c>
      <c r="BC180" s="12">
        <f t="shared" si="372"/>
        <v>0</v>
      </c>
      <c r="BD180" s="12">
        <f t="shared" si="372"/>
        <v>0</v>
      </c>
      <c r="BE180" s="12">
        <f t="shared" si="372"/>
        <v>0</v>
      </c>
      <c r="BF180" s="12">
        <f t="shared" si="372"/>
        <v>0</v>
      </c>
      <c r="BG180" s="12">
        <f t="shared" si="372"/>
        <v>0</v>
      </c>
      <c r="BH180" s="12">
        <f t="shared" si="372"/>
        <v>0</v>
      </c>
      <c r="BI180" s="12">
        <f t="shared" si="372"/>
        <v>0</v>
      </c>
      <c r="BJ180" s="12">
        <f t="shared" si="372"/>
        <v>0</v>
      </c>
      <c r="BK180" s="12">
        <f t="shared" si="372"/>
        <v>0</v>
      </c>
      <c r="BL180" s="12">
        <f t="shared" si="372"/>
        <v>0</v>
      </c>
      <c r="BM180" s="12">
        <f t="shared" si="372"/>
        <v>0</v>
      </c>
      <c r="BN180" s="12">
        <f t="shared" si="372"/>
        <v>0</v>
      </c>
      <c r="BO180" s="12">
        <f t="shared" si="372"/>
        <v>0</v>
      </c>
      <c r="BP180" s="12">
        <f t="shared" si="372"/>
        <v>0</v>
      </c>
      <c r="BQ180" s="12">
        <f t="shared" si="372"/>
        <v>0</v>
      </c>
      <c r="BR180" s="12">
        <f t="shared" si="372"/>
        <v>0</v>
      </c>
      <c r="BS180" s="12">
        <f t="shared" si="372"/>
        <v>0</v>
      </c>
      <c r="BT180" s="12">
        <f t="shared" si="372"/>
        <v>0</v>
      </c>
      <c r="BU180" s="12">
        <f t="shared" ref="BU180:CZ180" si="373">IF(BU$6=$F$46,SUMIF($I$6:$FH$6,"&lt;"&amp;$F$46,$I$175:$FH$175)*$F$52,0)</f>
        <v>0</v>
      </c>
      <c r="BV180" s="12">
        <f t="shared" si="373"/>
        <v>0</v>
      </c>
      <c r="BW180" s="12">
        <f t="shared" si="373"/>
        <v>0</v>
      </c>
      <c r="BX180" s="12">
        <f t="shared" si="373"/>
        <v>0</v>
      </c>
      <c r="BY180" s="12">
        <f t="shared" si="373"/>
        <v>0</v>
      </c>
      <c r="BZ180" s="12">
        <f t="shared" si="373"/>
        <v>0</v>
      </c>
      <c r="CA180" s="12">
        <f t="shared" si="373"/>
        <v>0</v>
      </c>
      <c r="CB180" s="12">
        <f t="shared" si="373"/>
        <v>0</v>
      </c>
      <c r="CC180" s="12">
        <f t="shared" si="373"/>
        <v>0</v>
      </c>
      <c r="CD180" s="12">
        <f t="shared" si="373"/>
        <v>0</v>
      </c>
      <c r="CE180" s="12">
        <f t="shared" si="373"/>
        <v>0</v>
      </c>
      <c r="CF180" s="12">
        <f t="shared" si="373"/>
        <v>0</v>
      </c>
      <c r="CG180" s="12">
        <f t="shared" si="373"/>
        <v>0</v>
      </c>
      <c r="CH180" s="12">
        <f t="shared" si="373"/>
        <v>0</v>
      </c>
      <c r="CI180" s="12">
        <f t="shared" si="373"/>
        <v>0</v>
      </c>
      <c r="CJ180" s="12">
        <f t="shared" si="373"/>
        <v>0</v>
      </c>
      <c r="CK180" s="12">
        <f t="shared" si="373"/>
        <v>0</v>
      </c>
      <c r="CL180" s="12">
        <f t="shared" si="373"/>
        <v>0</v>
      </c>
      <c r="CM180" s="12">
        <f t="shared" si="373"/>
        <v>0</v>
      </c>
      <c r="CN180" s="12">
        <f t="shared" si="373"/>
        <v>0</v>
      </c>
      <c r="CO180" s="12">
        <f t="shared" si="373"/>
        <v>0</v>
      </c>
      <c r="CP180" s="12">
        <f t="shared" si="373"/>
        <v>0</v>
      </c>
      <c r="CQ180" s="12">
        <f t="shared" si="373"/>
        <v>0</v>
      </c>
      <c r="CR180" s="12">
        <f t="shared" si="373"/>
        <v>0</v>
      </c>
      <c r="CS180" s="12">
        <f t="shared" si="373"/>
        <v>0</v>
      </c>
      <c r="CT180" s="12">
        <f t="shared" si="373"/>
        <v>0</v>
      </c>
      <c r="CU180" s="12">
        <f t="shared" si="373"/>
        <v>0</v>
      </c>
      <c r="CV180" s="12">
        <f t="shared" si="373"/>
        <v>0</v>
      </c>
      <c r="CW180" s="12">
        <f t="shared" si="373"/>
        <v>0</v>
      </c>
      <c r="CX180" s="12">
        <f t="shared" si="373"/>
        <v>0</v>
      </c>
      <c r="CY180" s="12">
        <f t="shared" si="373"/>
        <v>0</v>
      </c>
      <c r="CZ180" s="12">
        <f t="shared" si="373"/>
        <v>0</v>
      </c>
      <c r="DA180" s="12">
        <f t="shared" ref="DA180:EF180" si="374">IF(DA$6=$F$46,SUMIF($I$6:$FH$6,"&lt;"&amp;$F$46,$I$175:$FH$175)*$F$52,0)</f>
        <v>0</v>
      </c>
      <c r="DB180" s="12">
        <f t="shared" si="374"/>
        <v>0</v>
      </c>
      <c r="DC180" s="12">
        <f t="shared" si="374"/>
        <v>0</v>
      </c>
      <c r="DD180" s="12">
        <f t="shared" si="374"/>
        <v>0</v>
      </c>
      <c r="DE180" s="12">
        <f t="shared" si="374"/>
        <v>0</v>
      </c>
      <c r="DF180" s="12">
        <f t="shared" si="374"/>
        <v>0</v>
      </c>
      <c r="DG180" s="12">
        <f t="shared" si="374"/>
        <v>0</v>
      </c>
      <c r="DH180" s="12">
        <f t="shared" si="374"/>
        <v>0</v>
      </c>
      <c r="DI180" s="12">
        <f t="shared" si="374"/>
        <v>0</v>
      </c>
      <c r="DJ180" s="12">
        <f t="shared" si="374"/>
        <v>0</v>
      </c>
      <c r="DK180" s="12">
        <f t="shared" si="374"/>
        <v>0</v>
      </c>
      <c r="DL180" s="12">
        <f t="shared" si="374"/>
        <v>271675.88499999978</v>
      </c>
      <c r="DM180" s="12">
        <f t="shared" si="374"/>
        <v>0</v>
      </c>
      <c r="DN180" s="12">
        <f t="shared" si="374"/>
        <v>0</v>
      </c>
      <c r="DO180" s="12">
        <f t="shared" si="374"/>
        <v>0</v>
      </c>
      <c r="DP180" s="12">
        <f t="shared" si="374"/>
        <v>0</v>
      </c>
      <c r="DQ180" s="12">
        <f t="shared" si="374"/>
        <v>0</v>
      </c>
      <c r="DR180" s="12">
        <f t="shared" si="374"/>
        <v>0</v>
      </c>
      <c r="DS180" s="12">
        <f t="shared" si="374"/>
        <v>0</v>
      </c>
      <c r="DT180" s="12">
        <f t="shared" si="374"/>
        <v>0</v>
      </c>
      <c r="DU180" s="12">
        <f t="shared" si="374"/>
        <v>0</v>
      </c>
      <c r="DV180" s="12">
        <f t="shared" si="374"/>
        <v>0</v>
      </c>
      <c r="DW180" s="12">
        <f t="shared" si="374"/>
        <v>0</v>
      </c>
      <c r="DX180" s="12">
        <f t="shared" si="374"/>
        <v>0</v>
      </c>
      <c r="DY180" s="12">
        <f t="shared" si="374"/>
        <v>0</v>
      </c>
      <c r="DZ180" s="12">
        <f t="shared" si="374"/>
        <v>0</v>
      </c>
      <c r="EA180" s="12">
        <f t="shared" si="374"/>
        <v>0</v>
      </c>
      <c r="EB180" s="12">
        <f t="shared" si="374"/>
        <v>0</v>
      </c>
      <c r="EC180" s="12">
        <f t="shared" si="374"/>
        <v>0</v>
      </c>
      <c r="ED180" s="12">
        <f t="shared" si="374"/>
        <v>0</v>
      </c>
      <c r="EE180" s="12">
        <f t="shared" si="374"/>
        <v>0</v>
      </c>
      <c r="EF180" s="12">
        <f t="shared" si="374"/>
        <v>0</v>
      </c>
      <c r="EG180" s="12">
        <f t="shared" ref="EG180:FH180" si="375">IF(EG$6=$F$46,SUMIF($I$6:$FH$6,"&lt;"&amp;$F$46,$I$175:$FH$175)*$F$52,0)</f>
        <v>0</v>
      </c>
      <c r="EH180" s="12">
        <f t="shared" si="375"/>
        <v>0</v>
      </c>
      <c r="EI180" s="12">
        <f t="shared" si="375"/>
        <v>0</v>
      </c>
      <c r="EJ180" s="12">
        <f t="shared" si="375"/>
        <v>0</v>
      </c>
      <c r="EK180" s="12">
        <f t="shared" si="375"/>
        <v>0</v>
      </c>
      <c r="EL180" s="12">
        <f t="shared" si="375"/>
        <v>0</v>
      </c>
      <c r="EM180" s="12">
        <f t="shared" si="375"/>
        <v>0</v>
      </c>
      <c r="EN180" s="12">
        <f t="shared" si="375"/>
        <v>0</v>
      </c>
      <c r="EO180" s="12">
        <f t="shared" si="375"/>
        <v>0</v>
      </c>
      <c r="EP180" s="12">
        <f t="shared" si="375"/>
        <v>0</v>
      </c>
      <c r="EQ180" s="12">
        <f t="shared" si="375"/>
        <v>0</v>
      </c>
      <c r="ER180" s="12">
        <f t="shared" si="375"/>
        <v>0</v>
      </c>
      <c r="ES180" s="12">
        <f t="shared" si="375"/>
        <v>0</v>
      </c>
      <c r="ET180" s="12">
        <f t="shared" si="375"/>
        <v>0</v>
      </c>
      <c r="EU180" s="12">
        <f t="shared" si="375"/>
        <v>0</v>
      </c>
      <c r="EV180" s="12">
        <f t="shared" si="375"/>
        <v>0</v>
      </c>
      <c r="EW180" s="12">
        <f t="shared" si="375"/>
        <v>0</v>
      </c>
      <c r="EX180" s="12">
        <f t="shared" si="375"/>
        <v>0</v>
      </c>
      <c r="EY180" s="12">
        <f t="shared" si="375"/>
        <v>0</v>
      </c>
      <c r="EZ180" s="12">
        <f t="shared" si="375"/>
        <v>0</v>
      </c>
      <c r="FA180" s="12">
        <f t="shared" si="375"/>
        <v>0</v>
      </c>
      <c r="FB180" s="12">
        <f t="shared" si="375"/>
        <v>0</v>
      </c>
      <c r="FC180" s="12">
        <f t="shared" si="375"/>
        <v>0</v>
      </c>
      <c r="FD180" s="12">
        <f t="shared" si="375"/>
        <v>0</v>
      </c>
      <c r="FE180" s="12">
        <f t="shared" si="375"/>
        <v>0</v>
      </c>
      <c r="FF180" s="12">
        <f t="shared" si="375"/>
        <v>0</v>
      </c>
      <c r="FG180" s="12">
        <f t="shared" si="375"/>
        <v>0</v>
      </c>
      <c r="FH180" s="12">
        <f t="shared" si="375"/>
        <v>0</v>
      </c>
    </row>
    <row r="181" spans="1:164" x14ac:dyDescent="0.2">
      <c r="A181" s="10"/>
      <c r="B181" s="10"/>
      <c r="C181" s="238" t="s">
        <v>747</v>
      </c>
      <c r="D181" s="238"/>
      <c r="E181" s="238"/>
      <c r="F181" s="238"/>
      <c r="G181" s="238"/>
      <c r="H181" s="239">
        <f t="shared" si="360"/>
        <v>417962.89999999979</v>
      </c>
      <c r="I181" s="239">
        <f t="shared" ref="I181:AN181" si="376">SUM(I177:I180)</f>
        <v>0</v>
      </c>
      <c r="J181" s="239">
        <f t="shared" si="376"/>
        <v>0</v>
      </c>
      <c r="K181" s="239">
        <f t="shared" si="376"/>
        <v>0</v>
      </c>
      <c r="L181" s="239">
        <f t="shared" si="376"/>
        <v>0</v>
      </c>
      <c r="M181" s="239">
        <f t="shared" si="376"/>
        <v>0</v>
      </c>
      <c r="N181" s="239">
        <f t="shared" si="376"/>
        <v>0</v>
      </c>
      <c r="O181" s="239">
        <f t="shared" si="376"/>
        <v>0</v>
      </c>
      <c r="P181" s="239">
        <f t="shared" si="376"/>
        <v>0</v>
      </c>
      <c r="Q181" s="239">
        <f t="shared" si="376"/>
        <v>0</v>
      </c>
      <c r="R181" s="239">
        <f t="shared" si="376"/>
        <v>0</v>
      </c>
      <c r="S181" s="239">
        <f t="shared" si="376"/>
        <v>0</v>
      </c>
      <c r="T181" s="239">
        <f t="shared" si="376"/>
        <v>0</v>
      </c>
      <c r="U181" s="239">
        <f t="shared" si="376"/>
        <v>0</v>
      </c>
      <c r="V181" s="239">
        <f t="shared" si="376"/>
        <v>0</v>
      </c>
      <c r="W181" s="239">
        <f t="shared" si="376"/>
        <v>0</v>
      </c>
      <c r="X181" s="239">
        <f t="shared" si="376"/>
        <v>0</v>
      </c>
      <c r="Y181" s="239">
        <f t="shared" si="376"/>
        <v>0</v>
      </c>
      <c r="Z181" s="239">
        <f t="shared" si="376"/>
        <v>0</v>
      </c>
      <c r="AA181" s="239">
        <f t="shared" si="376"/>
        <v>0</v>
      </c>
      <c r="AB181" s="239">
        <f t="shared" si="376"/>
        <v>0</v>
      </c>
      <c r="AC181" s="239">
        <f t="shared" si="376"/>
        <v>0</v>
      </c>
      <c r="AD181" s="239">
        <f t="shared" si="376"/>
        <v>0</v>
      </c>
      <c r="AE181" s="239">
        <f t="shared" si="376"/>
        <v>0</v>
      </c>
      <c r="AF181" s="239">
        <f t="shared" si="376"/>
        <v>0</v>
      </c>
      <c r="AG181" s="239">
        <f t="shared" si="376"/>
        <v>0</v>
      </c>
      <c r="AH181" s="239">
        <f t="shared" si="376"/>
        <v>0</v>
      </c>
      <c r="AI181" s="239">
        <f t="shared" si="376"/>
        <v>0</v>
      </c>
      <c r="AJ181" s="239">
        <f t="shared" si="376"/>
        <v>0</v>
      </c>
      <c r="AK181" s="239">
        <f t="shared" si="376"/>
        <v>0</v>
      </c>
      <c r="AL181" s="239">
        <f t="shared" si="376"/>
        <v>0</v>
      </c>
      <c r="AM181" s="239">
        <f t="shared" si="376"/>
        <v>0</v>
      </c>
      <c r="AN181" s="239">
        <f t="shared" si="376"/>
        <v>0</v>
      </c>
      <c r="AO181" s="239">
        <f t="shared" ref="AO181:BT181" si="377">SUM(AO177:AO180)</f>
        <v>0</v>
      </c>
      <c r="AP181" s="239">
        <f t="shared" si="377"/>
        <v>0</v>
      </c>
      <c r="AQ181" s="239">
        <f t="shared" si="377"/>
        <v>0</v>
      </c>
      <c r="AR181" s="239">
        <f t="shared" si="377"/>
        <v>0</v>
      </c>
      <c r="AS181" s="239">
        <f t="shared" si="377"/>
        <v>0</v>
      </c>
      <c r="AT181" s="239">
        <f t="shared" si="377"/>
        <v>0</v>
      </c>
      <c r="AU181" s="239">
        <f t="shared" si="377"/>
        <v>0</v>
      </c>
      <c r="AV181" s="239">
        <f t="shared" si="377"/>
        <v>0</v>
      </c>
      <c r="AW181" s="239">
        <f t="shared" si="377"/>
        <v>0</v>
      </c>
      <c r="AX181" s="239">
        <f t="shared" si="377"/>
        <v>0</v>
      </c>
      <c r="AY181" s="239">
        <f t="shared" si="377"/>
        <v>0</v>
      </c>
      <c r="AZ181" s="239">
        <f t="shared" si="377"/>
        <v>0</v>
      </c>
      <c r="BA181" s="239">
        <f t="shared" si="377"/>
        <v>0</v>
      </c>
      <c r="BB181" s="239">
        <f t="shared" si="377"/>
        <v>0</v>
      </c>
      <c r="BC181" s="239">
        <f t="shared" si="377"/>
        <v>0</v>
      </c>
      <c r="BD181" s="239">
        <f t="shared" si="377"/>
        <v>0</v>
      </c>
      <c r="BE181" s="239">
        <f t="shared" si="377"/>
        <v>0</v>
      </c>
      <c r="BF181" s="239">
        <f t="shared" si="377"/>
        <v>0</v>
      </c>
      <c r="BG181" s="239">
        <f t="shared" si="377"/>
        <v>0</v>
      </c>
      <c r="BH181" s="239">
        <f t="shared" si="377"/>
        <v>0</v>
      </c>
      <c r="BI181" s="239">
        <f t="shared" si="377"/>
        <v>0</v>
      </c>
      <c r="BJ181" s="239">
        <f t="shared" si="377"/>
        <v>0</v>
      </c>
      <c r="BK181" s="239">
        <f t="shared" si="377"/>
        <v>0</v>
      </c>
      <c r="BL181" s="239">
        <f t="shared" si="377"/>
        <v>0</v>
      </c>
      <c r="BM181" s="239">
        <f t="shared" si="377"/>
        <v>0</v>
      </c>
      <c r="BN181" s="239">
        <f t="shared" si="377"/>
        <v>0</v>
      </c>
      <c r="BO181" s="239">
        <f t="shared" si="377"/>
        <v>0</v>
      </c>
      <c r="BP181" s="239">
        <f t="shared" si="377"/>
        <v>0</v>
      </c>
      <c r="BQ181" s="239">
        <f t="shared" si="377"/>
        <v>4295.7298055555548</v>
      </c>
      <c r="BR181" s="239">
        <f t="shared" si="377"/>
        <v>4415.1477769841258</v>
      </c>
      <c r="BS181" s="239">
        <f t="shared" si="377"/>
        <v>4538.0780416900079</v>
      </c>
      <c r="BT181" s="239">
        <f t="shared" si="377"/>
        <v>4664.7334659324324</v>
      </c>
      <c r="BU181" s="239">
        <f t="shared" ref="BU181:CZ181" si="378">SUM(BU177:BU180)</f>
        <v>4795.346872182432</v>
      </c>
      <c r="BV181" s="239">
        <f t="shared" si="378"/>
        <v>4930.1736141179163</v>
      </c>
      <c r="BW181" s="239">
        <f t="shared" si="378"/>
        <v>1614.3346074512501</v>
      </c>
      <c r="BX181" s="239">
        <f t="shared" si="378"/>
        <v>1643.1596350374571</v>
      </c>
      <c r="BY181" s="239">
        <f t="shared" si="378"/>
        <v>1673.0141278945998</v>
      </c>
      <c r="BZ181" s="239">
        <f t="shared" si="378"/>
        <v>1703.9743427094147</v>
      </c>
      <c r="CA181" s="239">
        <f t="shared" si="378"/>
        <v>1736.1253350171069</v>
      </c>
      <c r="CB181" s="239">
        <f t="shared" si="378"/>
        <v>1769.5623670171071</v>
      </c>
      <c r="CC181" s="239">
        <f t="shared" si="378"/>
        <v>1804.3926086837737</v>
      </c>
      <c r="CD181" s="239">
        <f t="shared" si="378"/>
        <v>1840.7372086837736</v>
      </c>
      <c r="CE181" s="239">
        <f t="shared" si="378"/>
        <v>1878.733835956501</v>
      </c>
      <c r="CF181" s="239">
        <f t="shared" si="378"/>
        <v>1918.5398264326914</v>
      </c>
      <c r="CG181" s="239">
        <f t="shared" si="378"/>
        <v>1960.3361164326916</v>
      </c>
      <c r="CH181" s="239">
        <f t="shared" si="378"/>
        <v>2004.3322111695334</v>
      </c>
      <c r="CI181" s="239">
        <f t="shared" si="378"/>
        <v>2050.7725333917556</v>
      </c>
      <c r="CJ181" s="239">
        <f t="shared" si="378"/>
        <v>2099.9446392741088</v>
      </c>
      <c r="CK181" s="239">
        <f t="shared" si="378"/>
        <v>2152.1900017741086</v>
      </c>
      <c r="CL181" s="239">
        <f t="shared" si="378"/>
        <v>2207.9183884407753</v>
      </c>
      <c r="CM181" s="239">
        <f t="shared" si="378"/>
        <v>2267.6273741550613</v>
      </c>
      <c r="CN181" s="239">
        <f t="shared" si="378"/>
        <v>2331.9293587704456</v>
      </c>
      <c r="CO181" s="239">
        <f t="shared" si="378"/>
        <v>2401.5898421037791</v>
      </c>
      <c r="CP181" s="239">
        <f t="shared" si="378"/>
        <v>2477.5830966492335</v>
      </c>
      <c r="CQ181" s="239">
        <f t="shared" si="378"/>
        <v>2561.1756766492335</v>
      </c>
      <c r="CR181" s="239">
        <f t="shared" si="378"/>
        <v>2654.056321093678</v>
      </c>
      <c r="CS181" s="239">
        <f t="shared" si="378"/>
        <v>2758.5470460936776</v>
      </c>
      <c r="CT181" s="239">
        <f t="shared" si="378"/>
        <v>2877.9650175222491</v>
      </c>
      <c r="CU181" s="239">
        <f t="shared" si="378"/>
        <v>3017.2859841889158</v>
      </c>
      <c r="CV181" s="239">
        <f t="shared" si="378"/>
        <v>3184.4711441889158</v>
      </c>
      <c r="CW181" s="239">
        <f t="shared" si="378"/>
        <v>3393.4525941889156</v>
      </c>
      <c r="CX181" s="239">
        <f t="shared" si="378"/>
        <v>3672.0945275222489</v>
      </c>
      <c r="CY181" s="239">
        <f t="shared" si="378"/>
        <v>4090.0574275222489</v>
      </c>
      <c r="CZ181" s="239">
        <f t="shared" si="378"/>
        <v>4925.9832275222489</v>
      </c>
      <c r="DA181" s="239">
        <f t="shared" ref="DA181:EF181" si="379">SUM(DA177:DA180)</f>
        <v>16718.515999999996</v>
      </c>
      <c r="DB181" s="239">
        <f t="shared" si="379"/>
        <v>2925.7402999999995</v>
      </c>
      <c r="DC181" s="239">
        <f t="shared" si="379"/>
        <v>2925.7402999999995</v>
      </c>
      <c r="DD181" s="239">
        <f t="shared" si="379"/>
        <v>2925.7402999999995</v>
      </c>
      <c r="DE181" s="239">
        <f t="shared" si="379"/>
        <v>2925.7402999999995</v>
      </c>
      <c r="DF181" s="239">
        <f t="shared" si="379"/>
        <v>2925.7402999999995</v>
      </c>
      <c r="DG181" s="239">
        <f t="shared" si="379"/>
        <v>2925.7402999999995</v>
      </c>
      <c r="DH181" s="239">
        <f t="shared" si="379"/>
        <v>2925.7402999999995</v>
      </c>
      <c r="DI181" s="239">
        <f t="shared" si="379"/>
        <v>2925.7402999999995</v>
      </c>
      <c r="DJ181" s="239">
        <f t="shared" si="379"/>
        <v>2925.7402999999995</v>
      </c>
      <c r="DK181" s="239">
        <f t="shared" si="379"/>
        <v>2925.7402999999995</v>
      </c>
      <c r="DL181" s="239">
        <f t="shared" si="379"/>
        <v>271675.88499999978</v>
      </c>
      <c r="DM181" s="239">
        <f t="shared" si="379"/>
        <v>0</v>
      </c>
      <c r="DN181" s="239">
        <f t="shared" si="379"/>
        <v>0</v>
      </c>
      <c r="DO181" s="239">
        <f t="shared" si="379"/>
        <v>0</v>
      </c>
      <c r="DP181" s="239">
        <f t="shared" si="379"/>
        <v>0</v>
      </c>
      <c r="DQ181" s="239">
        <f t="shared" si="379"/>
        <v>0</v>
      </c>
      <c r="DR181" s="239">
        <f t="shared" si="379"/>
        <v>0</v>
      </c>
      <c r="DS181" s="239">
        <f t="shared" si="379"/>
        <v>0</v>
      </c>
      <c r="DT181" s="239">
        <f t="shared" si="379"/>
        <v>0</v>
      </c>
      <c r="DU181" s="239">
        <f t="shared" si="379"/>
        <v>0</v>
      </c>
      <c r="DV181" s="239">
        <f t="shared" si="379"/>
        <v>0</v>
      </c>
      <c r="DW181" s="239">
        <f t="shared" si="379"/>
        <v>0</v>
      </c>
      <c r="DX181" s="239">
        <f t="shared" si="379"/>
        <v>0</v>
      </c>
      <c r="DY181" s="239">
        <f t="shared" si="379"/>
        <v>0</v>
      </c>
      <c r="DZ181" s="239">
        <f t="shared" si="379"/>
        <v>0</v>
      </c>
      <c r="EA181" s="239">
        <f t="shared" si="379"/>
        <v>0</v>
      </c>
      <c r="EB181" s="239">
        <f t="shared" si="379"/>
        <v>0</v>
      </c>
      <c r="EC181" s="239">
        <f t="shared" si="379"/>
        <v>0</v>
      </c>
      <c r="ED181" s="239">
        <f t="shared" si="379"/>
        <v>0</v>
      </c>
      <c r="EE181" s="239">
        <f t="shared" si="379"/>
        <v>0</v>
      </c>
      <c r="EF181" s="239">
        <f t="shared" si="379"/>
        <v>0</v>
      </c>
      <c r="EG181" s="239">
        <f t="shared" ref="EG181:FH181" si="380">SUM(EG177:EG180)</f>
        <v>0</v>
      </c>
      <c r="EH181" s="239">
        <f t="shared" si="380"/>
        <v>0</v>
      </c>
      <c r="EI181" s="239">
        <f t="shared" si="380"/>
        <v>0</v>
      </c>
      <c r="EJ181" s="239">
        <f t="shared" si="380"/>
        <v>0</v>
      </c>
      <c r="EK181" s="239">
        <f t="shared" si="380"/>
        <v>0</v>
      </c>
      <c r="EL181" s="239">
        <f t="shared" si="380"/>
        <v>0</v>
      </c>
      <c r="EM181" s="239">
        <f t="shared" si="380"/>
        <v>0</v>
      </c>
      <c r="EN181" s="239">
        <f t="shared" si="380"/>
        <v>0</v>
      </c>
      <c r="EO181" s="239">
        <f t="shared" si="380"/>
        <v>0</v>
      </c>
      <c r="EP181" s="239">
        <f t="shared" si="380"/>
        <v>0</v>
      </c>
      <c r="EQ181" s="239">
        <f t="shared" si="380"/>
        <v>0</v>
      </c>
      <c r="ER181" s="239">
        <f t="shared" si="380"/>
        <v>0</v>
      </c>
      <c r="ES181" s="239">
        <f t="shared" si="380"/>
        <v>0</v>
      </c>
      <c r="ET181" s="239">
        <f t="shared" si="380"/>
        <v>0</v>
      </c>
      <c r="EU181" s="239">
        <f t="shared" si="380"/>
        <v>0</v>
      </c>
      <c r="EV181" s="239">
        <f t="shared" si="380"/>
        <v>0</v>
      </c>
      <c r="EW181" s="239">
        <f t="shared" si="380"/>
        <v>0</v>
      </c>
      <c r="EX181" s="239">
        <f t="shared" si="380"/>
        <v>0</v>
      </c>
      <c r="EY181" s="239">
        <f t="shared" si="380"/>
        <v>0</v>
      </c>
      <c r="EZ181" s="239">
        <f t="shared" si="380"/>
        <v>0</v>
      </c>
      <c r="FA181" s="239">
        <f t="shared" si="380"/>
        <v>0</v>
      </c>
      <c r="FB181" s="239">
        <f t="shared" si="380"/>
        <v>0</v>
      </c>
      <c r="FC181" s="239">
        <f t="shared" si="380"/>
        <v>0</v>
      </c>
      <c r="FD181" s="239">
        <f t="shared" si="380"/>
        <v>0</v>
      </c>
      <c r="FE181" s="239">
        <f t="shared" si="380"/>
        <v>0</v>
      </c>
      <c r="FF181" s="239">
        <f t="shared" si="380"/>
        <v>0</v>
      </c>
      <c r="FG181" s="239">
        <f t="shared" si="380"/>
        <v>0</v>
      </c>
      <c r="FH181" s="239">
        <f t="shared" si="380"/>
        <v>0</v>
      </c>
    </row>
    <row r="182" spans="1:164" x14ac:dyDescent="0.2">
      <c r="A182" s="10"/>
      <c r="B182" s="10"/>
      <c r="C182" s="10" t="s">
        <v>753</v>
      </c>
      <c r="D182" s="10"/>
      <c r="E182" s="10"/>
      <c r="F182" s="10"/>
      <c r="G182" s="10"/>
      <c r="H182" s="12">
        <f t="shared" si="360"/>
        <v>-20898.144999999957</v>
      </c>
      <c r="I182" s="12">
        <f t="shared" ref="I182:AN182" si="381">-I175*$F$61</f>
        <v>0</v>
      </c>
      <c r="J182" s="12">
        <f t="shared" si="381"/>
        <v>0</v>
      </c>
      <c r="K182" s="12">
        <f t="shared" si="381"/>
        <v>0</v>
      </c>
      <c r="L182" s="12">
        <f t="shared" si="381"/>
        <v>0</v>
      </c>
      <c r="M182" s="12">
        <f t="shared" si="381"/>
        <v>0</v>
      </c>
      <c r="N182" s="12">
        <f t="shared" si="381"/>
        <v>0</v>
      </c>
      <c r="O182" s="12">
        <f t="shared" si="381"/>
        <v>0</v>
      </c>
      <c r="P182" s="12">
        <f t="shared" si="381"/>
        <v>0</v>
      </c>
      <c r="Q182" s="12">
        <f t="shared" si="381"/>
        <v>0</v>
      </c>
      <c r="R182" s="12">
        <f t="shared" si="381"/>
        <v>0</v>
      </c>
      <c r="S182" s="12">
        <f t="shared" si="381"/>
        <v>0</v>
      </c>
      <c r="T182" s="12">
        <f t="shared" si="381"/>
        <v>0</v>
      </c>
      <c r="U182" s="12">
        <f t="shared" si="381"/>
        <v>0</v>
      </c>
      <c r="V182" s="12">
        <f t="shared" si="381"/>
        <v>0</v>
      </c>
      <c r="W182" s="12">
        <f t="shared" si="381"/>
        <v>0</v>
      </c>
      <c r="X182" s="12">
        <f t="shared" si="381"/>
        <v>0</v>
      </c>
      <c r="Y182" s="12">
        <f t="shared" si="381"/>
        <v>0</v>
      </c>
      <c r="Z182" s="12">
        <f t="shared" si="381"/>
        <v>0</v>
      </c>
      <c r="AA182" s="12">
        <f t="shared" si="381"/>
        <v>0</v>
      </c>
      <c r="AB182" s="12">
        <f t="shared" si="381"/>
        <v>0</v>
      </c>
      <c r="AC182" s="12">
        <f t="shared" si="381"/>
        <v>0</v>
      </c>
      <c r="AD182" s="12">
        <f t="shared" si="381"/>
        <v>0</v>
      </c>
      <c r="AE182" s="12">
        <f t="shared" si="381"/>
        <v>0</v>
      </c>
      <c r="AF182" s="12">
        <f t="shared" si="381"/>
        <v>0</v>
      </c>
      <c r="AG182" s="12">
        <f t="shared" si="381"/>
        <v>0</v>
      </c>
      <c r="AH182" s="12">
        <f t="shared" si="381"/>
        <v>0</v>
      </c>
      <c r="AI182" s="12">
        <f t="shared" si="381"/>
        <v>0</v>
      </c>
      <c r="AJ182" s="12">
        <f t="shared" si="381"/>
        <v>0</v>
      </c>
      <c r="AK182" s="12">
        <f t="shared" si="381"/>
        <v>0</v>
      </c>
      <c r="AL182" s="12">
        <f t="shared" si="381"/>
        <v>0</v>
      </c>
      <c r="AM182" s="12">
        <f t="shared" si="381"/>
        <v>0</v>
      </c>
      <c r="AN182" s="12">
        <f t="shared" si="381"/>
        <v>0</v>
      </c>
      <c r="AO182" s="12">
        <f t="shared" ref="AO182:BT182" si="382">-AO175*$F$61</f>
        <v>0</v>
      </c>
      <c r="AP182" s="12">
        <f t="shared" si="382"/>
        <v>0</v>
      </c>
      <c r="AQ182" s="12">
        <f t="shared" si="382"/>
        <v>0</v>
      </c>
      <c r="AR182" s="12">
        <f t="shared" si="382"/>
        <v>0</v>
      </c>
      <c r="AS182" s="12">
        <f t="shared" si="382"/>
        <v>0</v>
      </c>
      <c r="AT182" s="12">
        <f t="shared" si="382"/>
        <v>0</v>
      </c>
      <c r="AU182" s="12">
        <f t="shared" si="382"/>
        <v>0</v>
      </c>
      <c r="AV182" s="12">
        <f t="shared" si="382"/>
        <v>0</v>
      </c>
      <c r="AW182" s="12">
        <f t="shared" si="382"/>
        <v>0</v>
      </c>
      <c r="AX182" s="12">
        <f t="shared" si="382"/>
        <v>0</v>
      </c>
      <c r="AY182" s="12">
        <f t="shared" si="382"/>
        <v>0</v>
      </c>
      <c r="AZ182" s="12">
        <f t="shared" si="382"/>
        <v>0</v>
      </c>
      <c r="BA182" s="12">
        <f t="shared" si="382"/>
        <v>0</v>
      </c>
      <c r="BB182" s="12">
        <f t="shared" si="382"/>
        <v>0</v>
      </c>
      <c r="BC182" s="12">
        <f t="shared" si="382"/>
        <v>0</v>
      </c>
      <c r="BD182" s="12">
        <f t="shared" si="382"/>
        <v>0</v>
      </c>
      <c r="BE182" s="12">
        <f t="shared" si="382"/>
        <v>0</v>
      </c>
      <c r="BF182" s="12">
        <f t="shared" si="382"/>
        <v>0</v>
      </c>
      <c r="BG182" s="12">
        <f t="shared" si="382"/>
        <v>0</v>
      </c>
      <c r="BH182" s="12">
        <f t="shared" si="382"/>
        <v>0</v>
      </c>
      <c r="BI182" s="12">
        <f t="shared" si="382"/>
        <v>0</v>
      </c>
      <c r="BJ182" s="12">
        <f t="shared" si="382"/>
        <v>0</v>
      </c>
      <c r="BK182" s="12">
        <f t="shared" si="382"/>
        <v>0</v>
      </c>
      <c r="BL182" s="12">
        <f t="shared" si="382"/>
        <v>0</v>
      </c>
      <c r="BM182" s="12">
        <f t="shared" si="382"/>
        <v>0</v>
      </c>
      <c r="BN182" s="12">
        <f t="shared" si="382"/>
        <v>0</v>
      </c>
      <c r="BO182" s="12">
        <f t="shared" si="382"/>
        <v>0</v>
      </c>
      <c r="BP182" s="12">
        <f t="shared" si="382"/>
        <v>0</v>
      </c>
      <c r="BQ182" s="12">
        <f t="shared" si="382"/>
        <v>-1393.2096666666664</v>
      </c>
      <c r="BR182" s="12">
        <f t="shared" si="382"/>
        <v>-1393.2096666666664</v>
      </c>
      <c r="BS182" s="12">
        <f t="shared" si="382"/>
        <v>-1393.2096666666664</v>
      </c>
      <c r="BT182" s="12">
        <f t="shared" si="382"/>
        <v>-1393.2096666666664</v>
      </c>
      <c r="BU182" s="12">
        <f t="shared" ref="BU182:CZ182" si="383">-BU175*$F$61</f>
        <v>-1393.2096666666664</v>
      </c>
      <c r="BV182" s="12">
        <f t="shared" si="383"/>
        <v>-1393.2096666666664</v>
      </c>
      <c r="BW182" s="12">
        <f t="shared" si="383"/>
        <v>-278.64193333333327</v>
      </c>
      <c r="BX182" s="12">
        <f t="shared" si="383"/>
        <v>-278.64193333333327</v>
      </c>
      <c r="BY182" s="12">
        <f t="shared" si="383"/>
        <v>-278.64193333333327</v>
      </c>
      <c r="BZ182" s="12">
        <f t="shared" si="383"/>
        <v>-278.64193333333327</v>
      </c>
      <c r="CA182" s="12">
        <f t="shared" si="383"/>
        <v>-278.64193333333327</v>
      </c>
      <c r="CB182" s="12">
        <f t="shared" si="383"/>
        <v>-278.64193333333327</v>
      </c>
      <c r="CC182" s="12">
        <f t="shared" si="383"/>
        <v>-278.64193333333327</v>
      </c>
      <c r="CD182" s="12">
        <f t="shared" si="383"/>
        <v>-278.64193333333327</v>
      </c>
      <c r="CE182" s="12">
        <f t="shared" si="383"/>
        <v>-278.64193333333327</v>
      </c>
      <c r="CF182" s="12">
        <f t="shared" si="383"/>
        <v>-278.64193333333327</v>
      </c>
      <c r="CG182" s="12">
        <f t="shared" si="383"/>
        <v>-278.64193333333327</v>
      </c>
      <c r="CH182" s="12">
        <f t="shared" si="383"/>
        <v>-278.64193333333327</v>
      </c>
      <c r="CI182" s="12">
        <f t="shared" si="383"/>
        <v>-278.64193333333327</v>
      </c>
      <c r="CJ182" s="12">
        <f t="shared" si="383"/>
        <v>-278.64193333333327</v>
      </c>
      <c r="CK182" s="12">
        <f t="shared" si="383"/>
        <v>-278.64193333333327</v>
      </c>
      <c r="CL182" s="12">
        <f t="shared" si="383"/>
        <v>-278.64193333333327</v>
      </c>
      <c r="CM182" s="12">
        <f t="shared" si="383"/>
        <v>-278.64193333333327</v>
      </c>
      <c r="CN182" s="12">
        <f t="shared" si="383"/>
        <v>-278.64193333333327</v>
      </c>
      <c r="CO182" s="12">
        <f t="shared" si="383"/>
        <v>-278.64193333333327</v>
      </c>
      <c r="CP182" s="12">
        <f t="shared" si="383"/>
        <v>-278.64193333333327</v>
      </c>
      <c r="CQ182" s="12">
        <f t="shared" si="383"/>
        <v>-278.64193333333327</v>
      </c>
      <c r="CR182" s="12">
        <f t="shared" si="383"/>
        <v>-278.64193333333327</v>
      </c>
      <c r="CS182" s="12">
        <f t="shared" si="383"/>
        <v>-278.64193333333327</v>
      </c>
      <c r="CT182" s="12">
        <f t="shared" si="383"/>
        <v>-278.64193333333327</v>
      </c>
      <c r="CU182" s="12">
        <f t="shared" si="383"/>
        <v>-278.64193333333327</v>
      </c>
      <c r="CV182" s="12">
        <f t="shared" si="383"/>
        <v>-278.64193333333327</v>
      </c>
      <c r="CW182" s="12">
        <f t="shared" si="383"/>
        <v>-278.64193333333327</v>
      </c>
      <c r="CX182" s="12">
        <f t="shared" si="383"/>
        <v>-278.64193333333327</v>
      </c>
      <c r="CY182" s="12">
        <f t="shared" si="383"/>
        <v>-278.64193333333327</v>
      </c>
      <c r="CZ182" s="12">
        <f t="shared" si="383"/>
        <v>-278.64193333333327</v>
      </c>
      <c r="DA182" s="12">
        <f t="shared" ref="DA182:EF182" si="384">-DA175*$F$61</f>
        <v>0</v>
      </c>
      <c r="DB182" s="12">
        <f t="shared" si="384"/>
        <v>-417.96289999999993</v>
      </c>
      <c r="DC182" s="12">
        <f t="shared" si="384"/>
        <v>-417.96289999999993</v>
      </c>
      <c r="DD182" s="12">
        <f t="shared" si="384"/>
        <v>-417.96289999999993</v>
      </c>
      <c r="DE182" s="12">
        <f t="shared" si="384"/>
        <v>-417.96289999999993</v>
      </c>
      <c r="DF182" s="12">
        <f t="shared" si="384"/>
        <v>-417.96289999999993</v>
      </c>
      <c r="DG182" s="12">
        <f t="shared" si="384"/>
        <v>-417.96289999999993</v>
      </c>
      <c r="DH182" s="12">
        <f t="shared" si="384"/>
        <v>-417.96289999999993</v>
      </c>
      <c r="DI182" s="12">
        <f t="shared" si="384"/>
        <v>-417.96289999999993</v>
      </c>
      <c r="DJ182" s="12">
        <f t="shared" si="384"/>
        <v>-417.96289999999993</v>
      </c>
      <c r="DK182" s="12">
        <f t="shared" si="384"/>
        <v>-417.96289999999993</v>
      </c>
      <c r="DL182" s="12">
        <f t="shared" si="384"/>
        <v>0</v>
      </c>
      <c r="DM182" s="12">
        <f t="shared" si="384"/>
        <v>0</v>
      </c>
      <c r="DN182" s="12">
        <f t="shared" si="384"/>
        <v>0</v>
      </c>
      <c r="DO182" s="12">
        <f t="shared" si="384"/>
        <v>0</v>
      </c>
      <c r="DP182" s="12">
        <f t="shared" si="384"/>
        <v>0</v>
      </c>
      <c r="DQ182" s="12">
        <f t="shared" si="384"/>
        <v>0</v>
      </c>
      <c r="DR182" s="12">
        <f t="shared" si="384"/>
        <v>0</v>
      </c>
      <c r="DS182" s="12">
        <f t="shared" si="384"/>
        <v>0</v>
      </c>
      <c r="DT182" s="12">
        <f t="shared" si="384"/>
        <v>0</v>
      </c>
      <c r="DU182" s="12">
        <f t="shared" si="384"/>
        <v>0</v>
      </c>
      <c r="DV182" s="12">
        <f t="shared" si="384"/>
        <v>0</v>
      </c>
      <c r="DW182" s="12">
        <f t="shared" si="384"/>
        <v>0</v>
      </c>
      <c r="DX182" s="12">
        <f t="shared" si="384"/>
        <v>0</v>
      </c>
      <c r="DY182" s="12">
        <f t="shared" si="384"/>
        <v>0</v>
      </c>
      <c r="DZ182" s="12">
        <f t="shared" si="384"/>
        <v>0</v>
      </c>
      <c r="EA182" s="12">
        <f t="shared" si="384"/>
        <v>0</v>
      </c>
      <c r="EB182" s="12">
        <f t="shared" si="384"/>
        <v>0</v>
      </c>
      <c r="EC182" s="12">
        <f t="shared" si="384"/>
        <v>0</v>
      </c>
      <c r="ED182" s="12">
        <f t="shared" si="384"/>
        <v>0</v>
      </c>
      <c r="EE182" s="12">
        <f t="shared" si="384"/>
        <v>0</v>
      </c>
      <c r="EF182" s="12">
        <f t="shared" si="384"/>
        <v>0</v>
      </c>
      <c r="EG182" s="12">
        <f t="shared" ref="EG182:FH182" si="385">-EG175*$F$61</f>
        <v>0</v>
      </c>
      <c r="EH182" s="12">
        <f t="shared" si="385"/>
        <v>0</v>
      </c>
      <c r="EI182" s="12">
        <f t="shared" si="385"/>
        <v>0</v>
      </c>
      <c r="EJ182" s="12">
        <f t="shared" si="385"/>
        <v>0</v>
      </c>
      <c r="EK182" s="12">
        <f t="shared" si="385"/>
        <v>0</v>
      </c>
      <c r="EL182" s="12">
        <f t="shared" si="385"/>
        <v>0</v>
      </c>
      <c r="EM182" s="12">
        <f t="shared" si="385"/>
        <v>0</v>
      </c>
      <c r="EN182" s="12">
        <f t="shared" si="385"/>
        <v>0</v>
      </c>
      <c r="EO182" s="12">
        <f t="shared" si="385"/>
        <v>0</v>
      </c>
      <c r="EP182" s="12">
        <f t="shared" si="385"/>
        <v>0</v>
      </c>
      <c r="EQ182" s="12">
        <f t="shared" si="385"/>
        <v>0</v>
      </c>
      <c r="ER182" s="12">
        <f t="shared" si="385"/>
        <v>0</v>
      </c>
      <c r="ES182" s="12">
        <f t="shared" si="385"/>
        <v>0</v>
      </c>
      <c r="ET182" s="12">
        <f t="shared" si="385"/>
        <v>0</v>
      </c>
      <c r="EU182" s="12">
        <f t="shared" si="385"/>
        <v>0</v>
      </c>
      <c r="EV182" s="12">
        <f t="shared" si="385"/>
        <v>0</v>
      </c>
      <c r="EW182" s="12">
        <f t="shared" si="385"/>
        <v>0</v>
      </c>
      <c r="EX182" s="12">
        <f t="shared" si="385"/>
        <v>0</v>
      </c>
      <c r="EY182" s="12">
        <f t="shared" si="385"/>
        <v>0</v>
      </c>
      <c r="EZ182" s="12">
        <f t="shared" si="385"/>
        <v>0</v>
      </c>
      <c r="FA182" s="12">
        <f t="shared" si="385"/>
        <v>0</v>
      </c>
      <c r="FB182" s="12">
        <f t="shared" si="385"/>
        <v>0</v>
      </c>
      <c r="FC182" s="12">
        <f t="shared" si="385"/>
        <v>0</v>
      </c>
      <c r="FD182" s="12">
        <f t="shared" si="385"/>
        <v>0</v>
      </c>
      <c r="FE182" s="12">
        <f t="shared" si="385"/>
        <v>0</v>
      </c>
      <c r="FF182" s="12">
        <f t="shared" si="385"/>
        <v>0</v>
      </c>
      <c r="FG182" s="12">
        <f t="shared" si="385"/>
        <v>0</v>
      </c>
      <c r="FH182" s="12">
        <f t="shared" si="385"/>
        <v>0</v>
      </c>
    </row>
    <row r="183" spans="1:164" x14ac:dyDescent="0.2">
      <c r="A183" s="10"/>
      <c r="B183" s="10"/>
      <c r="C183" s="10" t="s">
        <v>492</v>
      </c>
      <c r="D183" s="10"/>
      <c r="E183" s="10"/>
      <c r="F183" s="10"/>
      <c r="G183" s="10"/>
      <c r="H183" s="12">
        <f t="shared" si="360"/>
        <v>-15882.590199999995</v>
      </c>
      <c r="I183" s="12">
        <f t="shared" ref="I183:AN183" si="386">-(I181+I182)*$F$62</f>
        <v>0</v>
      </c>
      <c r="J183" s="12">
        <f t="shared" si="386"/>
        <v>0</v>
      </c>
      <c r="K183" s="12">
        <f t="shared" si="386"/>
        <v>0</v>
      </c>
      <c r="L183" s="12">
        <f t="shared" si="386"/>
        <v>0</v>
      </c>
      <c r="M183" s="12">
        <f t="shared" si="386"/>
        <v>0</v>
      </c>
      <c r="N183" s="12">
        <f t="shared" si="386"/>
        <v>0</v>
      </c>
      <c r="O183" s="12">
        <f t="shared" si="386"/>
        <v>0</v>
      </c>
      <c r="P183" s="12">
        <f t="shared" si="386"/>
        <v>0</v>
      </c>
      <c r="Q183" s="12">
        <f t="shared" si="386"/>
        <v>0</v>
      </c>
      <c r="R183" s="12">
        <f t="shared" si="386"/>
        <v>0</v>
      </c>
      <c r="S183" s="12">
        <f t="shared" si="386"/>
        <v>0</v>
      </c>
      <c r="T183" s="12">
        <f t="shared" si="386"/>
        <v>0</v>
      </c>
      <c r="U183" s="12">
        <f t="shared" si="386"/>
        <v>0</v>
      </c>
      <c r="V183" s="12">
        <f t="shared" si="386"/>
        <v>0</v>
      </c>
      <c r="W183" s="12">
        <f t="shared" si="386"/>
        <v>0</v>
      </c>
      <c r="X183" s="12">
        <f t="shared" si="386"/>
        <v>0</v>
      </c>
      <c r="Y183" s="12">
        <f t="shared" si="386"/>
        <v>0</v>
      </c>
      <c r="Z183" s="12">
        <f t="shared" si="386"/>
        <v>0</v>
      </c>
      <c r="AA183" s="12">
        <f t="shared" si="386"/>
        <v>0</v>
      </c>
      <c r="AB183" s="12">
        <f t="shared" si="386"/>
        <v>0</v>
      </c>
      <c r="AC183" s="12">
        <f t="shared" si="386"/>
        <v>0</v>
      </c>
      <c r="AD183" s="12">
        <f t="shared" si="386"/>
        <v>0</v>
      </c>
      <c r="AE183" s="12">
        <f t="shared" si="386"/>
        <v>0</v>
      </c>
      <c r="AF183" s="12">
        <f t="shared" si="386"/>
        <v>0</v>
      </c>
      <c r="AG183" s="12">
        <f t="shared" si="386"/>
        <v>0</v>
      </c>
      <c r="AH183" s="12">
        <f t="shared" si="386"/>
        <v>0</v>
      </c>
      <c r="AI183" s="12">
        <f t="shared" si="386"/>
        <v>0</v>
      </c>
      <c r="AJ183" s="12">
        <f t="shared" si="386"/>
        <v>0</v>
      </c>
      <c r="AK183" s="12">
        <f t="shared" si="386"/>
        <v>0</v>
      </c>
      <c r="AL183" s="12">
        <f t="shared" si="386"/>
        <v>0</v>
      </c>
      <c r="AM183" s="12">
        <f t="shared" si="386"/>
        <v>0</v>
      </c>
      <c r="AN183" s="12">
        <f t="shared" si="386"/>
        <v>0</v>
      </c>
      <c r="AO183" s="12">
        <f t="shared" ref="AO183:BT183" si="387">-(AO181+AO182)*$F$62</f>
        <v>0</v>
      </c>
      <c r="AP183" s="12">
        <f t="shared" si="387"/>
        <v>0</v>
      </c>
      <c r="AQ183" s="12">
        <f t="shared" si="387"/>
        <v>0</v>
      </c>
      <c r="AR183" s="12">
        <f t="shared" si="387"/>
        <v>0</v>
      </c>
      <c r="AS183" s="12">
        <f t="shared" si="387"/>
        <v>0</v>
      </c>
      <c r="AT183" s="12">
        <f t="shared" si="387"/>
        <v>0</v>
      </c>
      <c r="AU183" s="12">
        <f t="shared" si="387"/>
        <v>0</v>
      </c>
      <c r="AV183" s="12">
        <f t="shared" si="387"/>
        <v>0</v>
      </c>
      <c r="AW183" s="12">
        <f t="shared" si="387"/>
        <v>0</v>
      </c>
      <c r="AX183" s="12">
        <f t="shared" si="387"/>
        <v>0</v>
      </c>
      <c r="AY183" s="12">
        <f t="shared" si="387"/>
        <v>0</v>
      </c>
      <c r="AZ183" s="12">
        <f t="shared" si="387"/>
        <v>0</v>
      </c>
      <c r="BA183" s="12">
        <f t="shared" si="387"/>
        <v>0</v>
      </c>
      <c r="BB183" s="12">
        <f t="shared" si="387"/>
        <v>0</v>
      </c>
      <c r="BC183" s="12">
        <f t="shared" si="387"/>
        <v>0</v>
      </c>
      <c r="BD183" s="12">
        <f t="shared" si="387"/>
        <v>0</v>
      </c>
      <c r="BE183" s="12">
        <f t="shared" si="387"/>
        <v>0</v>
      </c>
      <c r="BF183" s="12">
        <f t="shared" si="387"/>
        <v>0</v>
      </c>
      <c r="BG183" s="12">
        <f t="shared" si="387"/>
        <v>0</v>
      </c>
      <c r="BH183" s="12">
        <f t="shared" si="387"/>
        <v>0</v>
      </c>
      <c r="BI183" s="12">
        <f t="shared" si="387"/>
        <v>0</v>
      </c>
      <c r="BJ183" s="12">
        <f t="shared" si="387"/>
        <v>0</v>
      </c>
      <c r="BK183" s="12">
        <f t="shared" si="387"/>
        <v>0</v>
      </c>
      <c r="BL183" s="12">
        <f t="shared" si="387"/>
        <v>0</v>
      </c>
      <c r="BM183" s="12">
        <f t="shared" si="387"/>
        <v>0</v>
      </c>
      <c r="BN183" s="12">
        <f t="shared" si="387"/>
        <v>0</v>
      </c>
      <c r="BO183" s="12">
        <f t="shared" si="387"/>
        <v>0</v>
      </c>
      <c r="BP183" s="12">
        <f t="shared" si="387"/>
        <v>0</v>
      </c>
      <c r="BQ183" s="12">
        <f t="shared" si="387"/>
        <v>-116.10080555555552</v>
      </c>
      <c r="BR183" s="12">
        <f t="shared" si="387"/>
        <v>-120.87752441269836</v>
      </c>
      <c r="BS183" s="12">
        <f t="shared" si="387"/>
        <v>-125.79473500093366</v>
      </c>
      <c r="BT183" s="12">
        <f t="shared" si="387"/>
        <v>-130.86095197063062</v>
      </c>
      <c r="BU183" s="12">
        <f t="shared" ref="BU183:CZ183" si="388">-(BU181+BU182)*$F$62</f>
        <v>-136.08548822063062</v>
      </c>
      <c r="BV183" s="12">
        <f t="shared" si="388"/>
        <v>-141.47855789804998</v>
      </c>
      <c r="BW183" s="12">
        <f t="shared" si="388"/>
        <v>-53.42770696471667</v>
      </c>
      <c r="BX183" s="12">
        <f t="shared" si="388"/>
        <v>-54.580708068164952</v>
      </c>
      <c r="BY183" s="12">
        <f t="shared" si="388"/>
        <v>-55.774887782450662</v>
      </c>
      <c r="BZ183" s="12">
        <f t="shared" si="388"/>
        <v>-57.013296375043254</v>
      </c>
      <c r="CA183" s="12">
        <f t="shared" si="388"/>
        <v>-58.299336067350943</v>
      </c>
      <c r="CB183" s="12">
        <f t="shared" si="388"/>
        <v>-59.636817347350956</v>
      </c>
      <c r="CC183" s="12">
        <f t="shared" si="388"/>
        <v>-61.030027014017612</v>
      </c>
      <c r="CD183" s="12">
        <f t="shared" si="388"/>
        <v>-62.483811014017611</v>
      </c>
      <c r="CE183" s="12">
        <f t="shared" si="388"/>
        <v>-64.003676104926711</v>
      </c>
      <c r="CF183" s="12">
        <f t="shared" si="388"/>
        <v>-65.595915723974329</v>
      </c>
      <c r="CG183" s="12">
        <f t="shared" si="388"/>
        <v>-67.267767323974326</v>
      </c>
      <c r="CH183" s="12">
        <f t="shared" si="388"/>
        <v>-69.027611113448003</v>
      </c>
      <c r="CI183" s="12">
        <f t="shared" si="388"/>
        <v>-70.885224002336898</v>
      </c>
      <c r="CJ183" s="12">
        <f t="shared" si="388"/>
        <v>-72.852108237631015</v>
      </c>
      <c r="CK183" s="12">
        <f t="shared" si="388"/>
        <v>-74.941922737631018</v>
      </c>
      <c r="CL183" s="12">
        <f t="shared" si="388"/>
        <v>-77.17105820429768</v>
      </c>
      <c r="CM183" s="12">
        <f t="shared" si="388"/>
        <v>-79.559417632869113</v>
      </c>
      <c r="CN183" s="12">
        <f t="shared" si="388"/>
        <v>-82.131497017484492</v>
      </c>
      <c r="CO183" s="12">
        <f t="shared" si="388"/>
        <v>-84.917916350817833</v>
      </c>
      <c r="CP183" s="12">
        <f t="shared" si="388"/>
        <v>-87.957646532636005</v>
      </c>
      <c r="CQ183" s="12">
        <f t="shared" si="388"/>
        <v>-91.301349732636012</v>
      </c>
      <c r="CR183" s="12">
        <f t="shared" si="388"/>
        <v>-95.016575510413787</v>
      </c>
      <c r="CS183" s="12">
        <f t="shared" si="388"/>
        <v>-99.196204510413779</v>
      </c>
      <c r="CT183" s="12">
        <f t="shared" si="388"/>
        <v>-103.97292336755663</v>
      </c>
      <c r="CU183" s="12">
        <f t="shared" si="388"/>
        <v>-109.5457620342233</v>
      </c>
      <c r="CV183" s="12">
        <f t="shared" si="388"/>
        <v>-116.2331684342233</v>
      </c>
      <c r="CW183" s="12">
        <f t="shared" si="388"/>
        <v>-124.5924264342233</v>
      </c>
      <c r="CX183" s="12">
        <f t="shared" si="388"/>
        <v>-135.73810376755662</v>
      </c>
      <c r="CY183" s="12">
        <f t="shared" si="388"/>
        <v>-152.45661976755662</v>
      </c>
      <c r="CZ183" s="12">
        <f t="shared" si="388"/>
        <v>-185.89365176755663</v>
      </c>
      <c r="DA183" s="12">
        <f t="shared" ref="DA183:EF183" si="389">-(DA181+DA182)*$F$62</f>
        <v>-668.74063999999987</v>
      </c>
      <c r="DB183" s="12">
        <f t="shared" si="389"/>
        <v>-100.31109599999998</v>
      </c>
      <c r="DC183" s="12">
        <f t="shared" si="389"/>
        <v>-100.31109599999998</v>
      </c>
      <c r="DD183" s="12">
        <f t="shared" si="389"/>
        <v>-100.31109599999998</v>
      </c>
      <c r="DE183" s="12">
        <f t="shared" si="389"/>
        <v>-100.31109599999998</v>
      </c>
      <c r="DF183" s="12">
        <f t="shared" si="389"/>
        <v>-100.31109599999998</v>
      </c>
      <c r="DG183" s="12">
        <f t="shared" si="389"/>
        <v>-100.31109599999998</v>
      </c>
      <c r="DH183" s="12">
        <f t="shared" si="389"/>
        <v>-100.31109599999998</v>
      </c>
      <c r="DI183" s="12">
        <f t="shared" si="389"/>
        <v>-100.31109599999998</v>
      </c>
      <c r="DJ183" s="12">
        <f t="shared" si="389"/>
        <v>-100.31109599999998</v>
      </c>
      <c r="DK183" s="12">
        <f t="shared" si="389"/>
        <v>-100.31109599999998</v>
      </c>
      <c r="DL183" s="12">
        <f t="shared" si="389"/>
        <v>-10867.035399999992</v>
      </c>
      <c r="DM183" s="12">
        <f t="shared" si="389"/>
        <v>0</v>
      </c>
      <c r="DN183" s="12">
        <f t="shared" si="389"/>
        <v>0</v>
      </c>
      <c r="DO183" s="12">
        <f t="shared" si="389"/>
        <v>0</v>
      </c>
      <c r="DP183" s="12">
        <f t="shared" si="389"/>
        <v>0</v>
      </c>
      <c r="DQ183" s="12">
        <f t="shared" si="389"/>
        <v>0</v>
      </c>
      <c r="DR183" s="12">
        <f t="shared" si="389"/>
        <v>0</v>
      </c>
      <c r="DS183" s="12">
        <f t="shared" si="389"/>
        <v>0</v>
      </c>
      <c r="DT183" s="12">
        <f t="shared" si="389"/>
        <v>0</v>
      </c>
      <c r="DU183" s="12">
        <f t="shared" si="389"/>
        <v>0</v>
      </c>
      <c r="DV183" s="12">
        <f t="shared" si="389"/>
        <v>0</v>
      </c>
      <c r="DW183" s="12">
        <f t="shared" si="389"/>
        <v>0</v>
      </c>
      <c r="DX183" s="12">
        <f t="shared" si="389"/>
        <v>0</v>
      </c>
      <c r="DY183" s="12">
        <f t="shared" si="389"/>
        <v>0</v>
      </c>
      <c r="DZ183" s="12">
        <f t="shared" si="389"/>
        <v>0</v>
      </c>
      <c r="EA183" s="12">
        <f t="shared" si="389"/>
        <v>0</v>
      </c>
      <c r="EB183" s="12">
        <f t="shared" si="389"/>
        <v>0</v>
      </c>
      <c r="EC183" s="12">
        <f t="shared" si="389"/>
        <v>0</v>
      </c>
      <c r="ED183" s="12">
        <f t="shared" si="389"/>
        <v>0</v>
      </c>
      <c r="EE183" s="12">
        <f t="shared" si="389"/>
        <v>0</v>
      </c>
      <c r="EF183" s="12">
        <f t="shared" si="389"/>
        <v>0</v>
      </c>
      <c r="EG183" s="12">
        <f t="shared" ref="EG183:FH183" si="390">-(EG181+EG182)*$F$62</f>
        <v>0</v>
      </c>
      <c r="EH183" s="12">
        <f t="shared" si="390"/>
        <v>0</v>
      </c>
      <c r="EI183" s="12">
        <f t="shared" si="390"/>
        <v>0</v>
      </c>
      <c r="EJ183" s="12">
        <f t="shared" si="390"/>
        <v>0</v>
      </c>
      <c r="EK183" s="12">
        <f t="shared" si="390"/>
        <v>0</v>
      </c>
      <c r="EL183" s="12">
        <f t="shared" si="390"/>
        <v>0</v>
      </c>
      <c r="EM183" s="12">
        <f t="shared" si="390"/>
        <v>0</v>
      </c>
      <c r="EN183" s="12">
        <f t="shared" si="390"/>
        <v>0</v>
      </c>
      <c r="EO183" s="12">
        <f t="shared" si="390"/>
        <v>0</v>
      </c>
      <c r="EP183" s="12">
        <f t="shared" si="390"/>
        <v>0</v>
      </c>
      <c r="EQ183" s="12">
        <f t="shared" si="390"/>
        <v>0</v>
      </c>
      <c r="ER183" s="12">
        <f t="shared" si="390"/>
        <v>0</v>
      </c>
      <c r="ES183" s="12">
        <f t="shared" si="390"/>
        <v>0</v>
      </c>
      <c r="ET183" s="12">
        <f t="shared" si="390"/>
        <v>0</v>
      </c>
      <c r="EU183" s="12">
        <f t="shared" si="390"/>
        <v>0</v>
      </c>
      <c r="EV183" s="12">
        <f t="shared" si="390"/>
        <v>0</v>
      </c>
      <c r="EW183" s="12">
        <f t="shared" si="390"/>
        <v>0</v>
      </c>
      <c r="EX183" s="12">
        <f t="shared" si="390"/>
        <v>0</v>
      </c>
      <c r="EY183" s="12">
        <f t="shared" si="390"/>
        <v>0</v>
      </c>
      <c r="EZ183" s="12">
        <f t="shared" si="390"/>
        <v>0</v>
      </c>
      <c r="FA183" s="12">
        <f t="shared" si="390"/>
        <v>0</v>
      </c>
      <c r="FB183" s="12">
        <f t="shared" si="390"/>
        <v>0</v>
      </c>
      <c r="FC183" s="12">
        <f t="shared" si="390"/>
        <v>0</v>
      </c>
      <c r="FD183" s="12">
        <f t="shared" si="390"/>
        <v>0</v>
      </c>
      <c r="FE183" s="12">
        <f t="shared" si="390"/>
        <v>0</v>
      </c>
      <c r="FF183" s="12">
        <f t="shared" si="390"/>
        <v>0</v>
      </c>
      <c r="FG183" s="12">
        <f t="shared" si="390"/>
        <v>0</v>
      </c>
      <c r="FH183" s="12">
        <f t="shared" si="390"/>
        <v>0</v>
      </c>
    </row>
    <row r="184" spans="1:164" x14ac:dyDescent="0.2">
      <c r="A184" s="10"/>
      <c r="B184" s="10"/>
      <c r="C184" s="10" t="s">
        <v>754</v>
      </c>
      <c r="D184" s="10"/>
      <c r="E184" s="10"/>
      <c r="F184" s="10"/>
      <c r="G184" s="10"/>
      <c r="H184" s="12">
        <f t="shared" si="360"/>
        <v>0</v>
      </c>
      <c r="I184" s="12">
        <f t="shared" ref="I184:AN184" si="391">-I181*$F$63</f>
        <v>0</v>
      </c>
      <c r="J184" s="12">
        <f t="shared" si="391"/>
        <v>0</v>
      </c>
      <c r="K184" s="12">
        <f t="shared" si="391"/>
        <v>0</v>
      </c>
      <c r="L184" s="12">
        <f t="shared" si="391"/>
        <v>0</v>
      </c>
      <c r="M184" s="12">
        <f t="shared" si="391"/>
        <v>0</v>
      </c>
      <c r="N184" s="12">
        <f t="shared" si="391"/>
        <v>0</v>
      </c>
      <c r="O184" s="12">
        <f t="shared" si="391"/>
        <v>0</v>
      </c>
      <c r="P184" s="12">
        <f t="shared" si="391"/>
        <v>0</v>
      </c>
      <c r="Q184" s="12">
        <f t="shared" si="391"/>
        <v>0</v>
      </c>
      <c r="R184" s="12">
        <f t="shared" si="391"/>
        <v>0</v>
      </c>
      <c r="S184" s="12">
        <f t="shared" si="391"/>
        <v>0</v>
      </c>
      <c r="T184" s="12">
        <f t="shared" si="391"/>
        <v>0</v>
      </c>
      <c r="U184" s="12">
        <f t="shared" si="391"/>
        <v>0</v>
      </c>
      <c r="V184" s="12">
        <f t="shared" si="391"/>
        <v>0</v>
      </c>
      <c r="W184" s="12">
        <f t="shared" si="391"/>
        <v>0</v>
      </c>
      <c r="X184" s="12">
        <f t="shared" si="391"/>
        <v>0</v>
      </c>
      <c r="Y184" s="12">
        <f t="shared" si="391"/>
        <v>0</v>
      </c>
      <c r="Z184" s="12">
        <f t="shared" si="391"/>
        <v>0</v>
      </c>
      <c r="AA184" s="12">
        <f t="shared" si="391"/>
        <v>0</v>
      </c>
      <c r="AB184" s="12">
        <f t="shared" si="391"/>
        <v>0</v>
      </c>
      <c r="AC184" s="12">
        <f t="shared" si="391"/>
        <v>0</v>
      </c>
      <c r="AD184" s="12">
        <f t="shared" si="391"/>
        <v>0</v>
      </c>
      <c r="AE184" s="12">
        <f t="shared" si="391"/>
        <v>0</v>
      </c>
      <c r="AF184" s="12">
        <f t="shared" si="391"/>
        <v>0</v>
      </c>
      <c r="AG184" s="12">
        <f t="shared" si="391"/>
        <v>0</v>
      </c>
      <c r="AH184" s="12">
        <f t="shared" si="391"/>
        <v>0</v>
      </c>
      <c r="AI184" s="12">
        <f t="shared" si="391"/>
        <v>0</v>
      </c>
      <c r="AJ184" s="12">
        <f t="shared" si="391"/>
        <v>0</v>
      </c>
      <c r="AK184" s="12">
        <f t="shared" si="391"/>
        <v>0</v>
      </c>
      <c r="AL184" s="12">
        <f t="shared" si="391"/>
        <v>0</v>
      </c>
      <c r="AM184" s="12">
        <f t="shared" si="391"/>
        <v>0</v>
      </c>
      <c r="AN184" s="12">
        <f t="shared" si="391"/>
        <v>0</v>
      </c>
      <c r="AO184" s="12">
        <f t="shared" ref="AO184:BT184" si="392">-AO181*$F$63</f>
        <v>0</v>
      </c>
      <c r="AP184" s="12">
        <f t="shared" si="392"/>
        <v>0</v>
      </c>
      <c r="AQ184" s="12">
        <f t="shared" si="392"/>
        <v>0</v>
      </c>
      <c r="AR184" s="12">
        <f t="shared" si="392"/>
        <v>0</v>
      </c>
      <c r="AS184" s="12">
        <f t="shared" si="392"/>
        <v>0</v>
      </c>
      <c r="AT184" s="12">
        <f t="shared" si="392"/>
        <v>0</v>
      </c>
      <c r="AU184" s="12">
        <f t="shared" si="392"/>
        <v>0</v>
      </c>
      <c r="AV184" s="12">
        <f t="shared" si="392"/>
        <v>0</v>
      </c>
      <c r="AW184" s="12">
        <f t="shared" si="392"/>
        <v>0</v>
      </c>
      <c r="AX184" s="12">
        <f t="shared" si="392"/>
        <v>0</v>
      </c>
      <c r="AY184" s="12">
        <f t="shared" si="392"/>
        <v>0</v>
      </c>
      <c r="AZ184" s="12">
        <f t="shared" si="392"/>
        <v>0</v>
      </c>
      <c r="BA184" s="12">
        <f t="shared" si="392"/>
        <v>0</v>
      </c>
      <c r="BB184" s="12">
        <f t="shared" si="392"/>
        <v>0</v>
      </c>
      <c r="BC184" s="12">
        <f t="shared" si="392"/>
        <v>0</v>
      </c>
      <c r="BD184" s="12">
        <f t="shared" si="392"/>
        <v>0</v>
      </c>
      <c r="BE184" s="12">
        <f t="shared" si="392"/>
        <v>0</v>
      </c>
      <c r="BF184" s="12">
        <f t="shared" si="392"/>
        <v>0</v>
      </c>
      <c r="BG184" s="12">
        <f t="shared" si="392"/>
        <v>0</v>
      </c>
      <c r="BH184" s="12">
        <f t="shared" si="392"/>
        <v>0</v>
      </c>
      <c r="BI184" s="12">
        <f t="shared" si="392"/>
        <v>0</v>
      </c>
      <c r="BJ184" s="12">
        <f t="shared" si="392"/>
        <v>0</v>
      </c>
      <c r="BK184" s="12">
        <f t="shared" si="392"/>
        <v>0</v>
      </c>
      <c r="BL184" s="12">
        <f t="shared" si="392"/>
        <v>0</v>
      </c>
      <c r="BM184" s="12">
        <f t="shared" si="392"/>
        <v>0</v>
      </c>
      <c r="BN184" s="12">
        <f t="shared" si="392"/>
        <v>0</v>
      </c>
      <c r="BO184" s="12">
        <f t="shared" si="392"/>
        <v>0</v>
      </c>
      <c r="BP184" s="12">
        <f t="shared" si="392"/>
        <v>0</v>
      </c>
      <c r="BQ184" s="12">
        <f t="shared" si="392"/>
        <v>0</v>
      </c>
      <c r="BR184" s="12">
        <f t="shared" si="392"/>
        <v>0</v>
      </c>
      <c r="BS184" s="12">
        <f t="shared" si="392"/>
        <v>0</v>
      </c>
      <c r="BT184" s="12">
        <f t="shared" si="392"/>
        <v>0</v>
      </c>
      <c r="BU184" s="12">
        <f t="shared" ref="BU184:CZ184" si="393">-BU181*$F$63</f>
        <v>0</v>
      </c>
      <c r="BV184" s="12">
        <f t="shared" si="393"/>
        <v>0</v>
      </c>
      <c r="BW184" s="12">
        <f t="shared" si="393"/>
        <v>0</v>
      </c>
      <c r="BX184" s="12">
        <f t="shared" si="393"/>
        <v>0</v>
      </c>
      <c r="BY184" s="12">
        <f t="shared" si="393"/>
        <v>0</v>
      </c>
      <c r="BZ184" s="12">
        <f t="shared" si="393"/>
        <v>0</v>
      </c>
      <c r="CA184" s="12">
        <f t="shared" si="393"/>
        <v>0</v>
      </c>
      <c r="CB184" s="12">
        <f t="shared" si="393"/>
        <v>0</v>
      </c>
      <c r="CC184" s="12">
        <f t="shared" si="393"/>
        <v>0</v>
      </c>
      <c r="CD184" s="12">
        <f t="shared" si="393"/>
        <v>0</v>
      </c>
      <c r="CE184" s="12">
        <f t="shared" si="393"/>
        <v>0</v>
      </c>
      <c r="CF184" s="12">
        <f t="shared" si="393"/>
        <v>0</v>
      </c>
      <c r="CG184" s="12">
        <f t="shared" si="393"/>
        <v>0</v>
      </c>
      <c r="CH184" s="12">
        <f t="shared" si="393"/>
        <v>0</v>
      </c>
      <c r="CI184" s="12">
        <f t="shared" si="393"/>
        <v>0</v>
      </c>
      <c r="CJ184" s="12">
        <f t="shared" si="393"/>
        <v>0</v>
      </c>
      <c r="CK184" s="12">
        <f t="shared" si="393"/>
        <v>0</v>
      </c>
      <c r="CL184" s="12">
        <f t="shared" si="393"/>
        <v>0</v>
      </c>
      <c r="CM184" s="12">
        <f t="shared" si="393"/>
        <v>0</v>
      </c>
      <c r="CN184" s="12">
        <f t="shared" si="393"/>
        <v>0</v>
      </c>
      <c r="CO184" s="12">
        <f t="shared" si="393"/>
        <v>0</v>
      </c>
      <c r="CP184" s="12">
        <f t="shared" si="393"/>
        <v>0</v>
      </c>
      <c r="CQ184" s="12">
        <f t="shared" si="393"/>
        <v>0</v>
      </c>
      <c r="CR184" s="12">
        <f t="shared" si="393"/>
        <v>0</v>
      </c>
      <c r="CS184" s="12">
        <f t="shared" si="393"/>
        <v>0</v>
      </c>
      <c r="CT184" s="12">
        <f t="shared" si="393"/>
        <v>0</v>
      </c>
      <c r="CU184" s="12">
        <f t="shared" si="393"/>
        <v>0</v>
      </c>
      <c r="CV184" s="12">
        <f t="shared" si="393"/>
        <v>0</v>
      </c>
      <c r="CW184" s="12">
        <f t="shared" si="393"/>
        <v>0</v>
      </c>
      <c r="CX184" s="12">
        <f t="shared" si="393"/>
        <v>0</v>
      </c>
      <c r="CY184" s="12">
        <f t="shared" si="393"/>
        <v>0</v>
      </c>
      <c r="CZ184" s="12">
        <f t="shared" si="393"/>
        <v>0</v>
      </c>
      <c r="DA184" s="12">
        <f t="shared" ref="DA184:EF184" si="394">-DA181*$F$63</f>
        <v>0</v>
      </c>
      <c r="DB184" s="12">
        <f t="shared" si="394"/>
        <v>0</v>
      </c>
      <c r="DC184" s="12">
        <f t="shared" si="394"/>
        <v>0</v>
      </c>
      <c r="DD184" s="12">
        <f t="shared" si="394"/>
        <v>0</v>
      </c>
      <c r="DE184" s="12">
        <f t="shared" si="394"/>
        <v>0</v>
      </c>
      <c r="DF184" s="12">
        <f t="shared" si="394"/>
        <v>0</v>
      </c>
      <c r="DG184" s="12">
        <f t="shared" si="394"/>
        <v>0</v>
      </c>
      <c r="DH184" s="12">
        <f t="shared" si="394"/>
        <v>0</v>
      </c>
      <c r="DI184" s="12">
        <f t="shared" si="394"/>
        <v>0</v>
      </c>
      <c r="DJ184" s="12">
        <f t="shared" si="394"/>
        <v>0</v>
      </c>
      <c r="DK184" s="12">
        <f t="shared" si="394"/>
        <v>0</v>
      </c>
      <c r="DL184" s="12">
        <f t="shared" si="394"/>
        <v>0</v>
      </c>
      <c r="DM184" s="12">
        <f t="shared" si="394"/>
        <v>0</v>
      </c>
      <c r="DN184" s="12">
        <f t="shared" si="394"/>
        <v>0</v>
      </c>
      <c r="DO184" s="12">
        <f t="shared" si="394"/>
        <v>0</v>
      </c>
      <c r="DP184" s="12">
        <f t="shared" si="394"/>
        <v>0</v>
      </c>
      <c r="DQ184" s="12">
        <f t="shared" si="394"/>
        <v>0</v>
      </c>
      <c r="DR184" s="12">
        <f t="shared" si="394"/>
        <v>0</v>
      </c>
      <c r="DS184" s="12">
        <f t="shared" si="394"/>
        <v>0</v>
      </c>
      <c r="DT184" s="12">
        <f t="shared" si="394"/>
        <v>0</v>
      </c>
      <c r="DU184" s="12">
        <f t="shared" si="394"/>
        <v>0</v>
      </c>
      <c r="DV184" s="12">
        <f t="shared" si="394"/>
        <v>0</v>
      </c>
      <c r="DW184" s="12">
        <f t="shared" si="394"/>
        <v>0</v>
      </c>
      <c r="DX184" s="12">
        <f t="shared" si="394"/>
        <v>0</v>
      </c>
      <c r="DY184" s="12">
        <f t="shared" si="394"/>
        <v>0</v>
      </c>
      <c r="DZ184" s="12">
        <f t="shared" si="394"/>
        <v>0</v>
      </c>
      <c r="EA184" s="12">
        <f t="shared" si="394"/>
        <v>0</v>
      </c>
      <c r="EB184" s="12">
        <f t="shared" si="394"/>
        <v>0</v>
      </c>
      <c r="EC184" s="12">
        <f t="shared" si="394"/>
        <v>0</v>
      </c>
      <c r="ED184" s="12">
        <f t="shared" si="394"/>
        <v>0</v>
      </c>
      <c r="EE184" s="12">
        <f t="shared" si="394"/>
        <v>0</v>
      </c>
      <c r="EF184" s="12">
        <f t="shared" si="394"/>
        <v>0</v>
      </c>
      <c r="EG184" s="12">
        <f t="shared" ref="EG184:FH184" si="395">-EG181*$F$63</f>
        <v>0</v>
      </c>
      <c r="EH184" s="12">
        <f t="shared" si="395"/>
        <v>0</v>
      </c>
      <c r="EI184" s="12">
        <f t="shared" si="395"/>
        <v>0</v>
      </c>
      <c r="EJ184" s="12">
        <f t="shared" si="395"/>
        <v>0</v>
      </c>
      <c r="EK184" s="12">
        <f t="shared" si="395"/>
        <v>0</v>
      </c>
      <c r="EL184" s="12">
        <f t="shared" si="395"/>
        <v>0</v>
      </c>
      <c r="EM184" s="12">
        <f t="shared" si="395"/>
        <v>0</v>
      </c>
      <c r="EN184" s="12">
        <f t="shared" si="395"/>
        <v>0</v>
      </c>
      <c r="EO184" s="12">
        <f t="shared" si="395"/>
        <v>0</v>
      </c>
      <c r="EP184" s="12">
        <f t="shared" si="395"/>
        <v>0</v>
      </c>
      <c r="EQ184" s="12">
        <f t="shared" si="395"/>
        <v>0</v>
      </c>
      <c r="ER184" s="12">
        <f t="shared" si="395"/>
        <v>0</v>
      </c>
      <c r="ES184" s="12">
        <f t="shared" si="395"/>
        <v>0</v>
      </c>
      <c r="ET184" s="12">
        <f t="shared" si="395"/>
        <v>0</v>
      </c>
      <c r="EU184" s="12">
        <f t="shared" si="395"/>
        <v>0</v>
      </c>
      <c r="EV184" s="12">
        <f t="shared" si="395"/>
        <v>0</v>
      </c>
      <c r="EW184" s="12">
        <f t="shared" si="395"/>
        <v>0</v>
      </c>
      <c r="EX184" s="12">
        <f t="shared" si="395"/>
        <v>0</v>
      </c>
      <c r="EY184" s="12">
        <f t="shared" si="395"/>
        <v>0</v>
      </c>
      <c r="EZ184" s="12">
        <f t="shared" si="395"/>
        <v>0</v>
      </c>
      <c r="FA184" s="12">
        <f t="shared" si="395"/>
        <v>0</v>
      </c>
      <c r="FB184" s="12">
        <f t="shared" si="395"/>
        <v>0</v>
      </c>
      <c r="FC184" s="12">
        <f t="shared" si="395"/>
        <v>0</v>
      </c>
      <c r="FD184" s="12">
        <f t="shared" si="395"/>
        <v>0</v>
      </c>
      <c r="FE184" s="12">
        <f t="shared" si="395"/>
        <v>0</v>
      </c>
      <c r="FF184" s="12">
        <f t="shared" si="395"/>
        <v>0</v>
      </c>
      <c r="FG184" s="12">
        <f t="shared" si="395"/>
        <v>0</v>
      </c>
      <c r="FH184" s="12">
        <f t="shared" si="395"/>
        <v>0</v>
      </c>
    </row>
    <row r="185" spans="1:164" x14ac:dyDescent="0.2">
      <c r="A185" s="10"/>
      <c r="B185" s="10"/>
      <c r="C185" s="238" t="s">
        <v>7</v>
      </c>
      <c r="D185" s="238"/>
      <c r="E185" s="238"/>
      <c r="F185" s="238"/>
      <c r="G185" s="238"/>
      <c r="H185" s="239">
        <f t="shared" si="360"/>
        <v>381182.16479999979</v>
      </c>
      <c r="I185" s="239">
        <f t="shared" ref="I185:AN185" si="396">SUM(I181:I184)</f>
        <v>0</v>
      </c>
      <c r="J185" s="239">
        <f t="shared" si="396"/>
        <v>0</v>
      </c>
      <c r="K185" s="239">
        <f t="shared" si="396"/>
        <v>0</v>
      </c>
      <c r="L185" s="239">
        <f t="shared" si="396"/>
        <v>0</v>
      </c>
      <c r="M185" s="239">
        <f t="shared" si="396"/>
        <v>0</v>
      </c>
      <c r="N185" s="239">
        <f t="shared" si="396"/>
        <v>0</v>
      </c>
      <c r="O185" s="239">
        <f t="shared" si="396"/>
        <v>0</v>
      </c>
      <c r="P185" s="239">
        <f t="shared" si="396"/>
        <v>0</v>
      </c>
      <c r="Q185" s="239">
        <f t="shared" si="396"/>
        <v>0</v>
      </c>
      <c r="R185" s="239">
        <f t="shared" si="396"/>
        <v>0</v>
      </c>
      <c r="S185" s="239">
        <f t="shared" si="396"/>
        <v>0</v>
      </c>
      <c r="T185" s="239">
        <f t="shared" si="396"/>
        <v>0</v>
      </c>
      <c r="U185" s="239">
        <f t="shared" si="396"/>
        <v>0</v>
      </c>
      <c r="V185" s="239">
        <f t="shared" si="396"/>
        <v>0</v>
      </c>
      <c r="W185" s="239">
        <f t="shared" si="396"/>
        <v>0</v>
      </c>
      <c r="X185" s="239">
        <f t="shared" si="396"/>
        <v>0</v>
      </c>
      <c r="Y185" s="239">
        <f t="shared" si="396"/>
        <v>0</v>
      </c>
      <c r="Z185" s="239">
        <f t="shared" si="396"/>
        <v>0</v>
      </c>
      <c r="AA185" s="239">
        <f t="shared" si="396"/>
        <v>0</v>
      </c>
      <c r="AB185" s="239">
        <f t="shared" si="396"/>
        <v>0</v>
      </c>
      <c r="AC185" s="239">
        <f t="shared" si="396"/>
        <v>0</v>
      </c>
      <c r="AD185" s="239">
        <f t="shared" si="396"/>
        <v>0</v>
      </c>
      <c r="AE185" s="239">
        <f t="shared" si="396"/>
        <v>0</v>
      </c>
      <c r="AF185" s="239">
        <f t="shared" si="396"/>
        <v>0</v>
      </c>
      <c r="AG185" s="239">
        <f t="shared" si="396"/>
        <v>0</v>
      </c>
      <c r="AH185" s="239">
        <f t="shared" si="396"/>
        <v>0</v>
      </c>
      <c r="AI185" s="239">
        <f t="shared" si="396"/>
        <v>0</v>
      </c>
      <c r="AJ185" s="239">
        <f t="shared" si="396"/>
        <v>0</v>
      </c>
      <c r="AK185" s="239">
        <f t="shared" si="396"/>
        <v>0</v>
      </c>
      <c r="AL185" s="239">
        <f t="shared" si="396"/>
        <v>0</v>
      </c>
      <c r="AM185" s="239">
        <f t="shared" si="396"/>
        <v>0</v>
      </c>
      <c r="AN185" s="239">
        <f t="shared" si="396"/>
        <v>0</v>
      </c>
      <c r="AO185" s="239">
        <f t="shared" ref="AO185:BT185" si="397">SUM(AO181:AO184)</f>
        <v>0</v>
      </c>
      <c r="AP185" s="239">
        <f t="shared" si="397"/>
        <v>0</v>
      </c>
      <c r="AQ185" s="239">
        <f t="shared" si="397"/>
        <v>0</v>
      </c>
      <c r="AR185" s="239">
        <f t="shared" si="397"/>
        <v>0</v>
      </c>
      <c r="AS185" s="239">
        <f t="shared" si="397"/>
        <v>0</v>
      </c>
      <c r="AT185" s="239">
        <f t="shared" si="397"/>
        <v>0</v>
      </c>
      <c r="AU185" s="239">
        <f t="shared" si="397"/>
        <v>0</v>
      </c>
      <c r="AV185" s="239">
        <f t="shared" si="397"/>
        <v>0</v>
      </c>
      <c r="AW185" s="239">
        <f t="shared" si="397"/>
        <v>0</v>
      </c>
      <c r="AX185" s="239">
        <f t="shared" si="397"/>
        <v>0</v>
      </c>
      <c r="AY185" s="239">
        <f t="shared" si="397"/>
        <v>0</v>
      </c>
      <c r="AZ185" s="239">
        <f t="shared" si="397"/>
        <v>0</v>
      </c>
      <c r="BA185" s="239">
        <f t="shared" si="397"/>
        <v>0</v>
      </c>
      <c r="BB185" s="239">
        <f t="shared" si="397"/>
        <v>0</v>
      </c>
      <c r="BC185" s="239">
        <f t="shared" si="397"/>
        <v>0</v>
      </c>
      <c r="BD185" s="239">
        <f t="shared" si="397"/>
        <v>0</v>
      </c>
      <c r="BE185" s="239">
        <f t="shared" si="397"/>
        <v>0</v>
      </c>
      <c r="BF185" s="239">
        <f t="shared" si="397"/>
        <v>0</v>
      </c>
      <c r="BG185" s="239">
        <f t="shared" si="397"/>
        <v>0</v>
      </c>
      <c r="BH185" s="239">
        <f t="shared" si="397"/>
        <v>0</v>
      </c>
      <c r="BI185" s="239">
        <f t="shared" si="397"/>
        <v>0</v>
      </c>
      <c r="BJ185" s="239">
        <f t="shared" si="397"/>
        <v>0</v>
      </c>
      <c r="BK185" s="239">
        <f t="shared" si="397"/>
        <v>0</v>
      </c>
      <c r="BL185" s="239">
        <f t="shared" si="397"/>
        <v>0</v>
      </c>
      <c r="BM185" s="239">
        <f t="shared" si="397"/>
        <v>0</v>
      </c>
      <c r="BN185" s="239">
        <f t="shared" si="397"/>
        <v>0</v>
      </c>
      <c r="BO185" s="239">
        <f t="shared" si="397"/>
        <v>0</v>
      </c>
      <c r="BP185" s="239">
        <f t="shared" si="397"/>
        <v>0</v>
      </c>
      <c r="BQ185" s="239">
        <f t="shared" si="397"/>
        <v>2786.4193333333328</v>
      </c>
      <c r="BR185" s="239">
        <f t="shared" si="397"/>
        <v>2901.060585904761</v>
      </c>
      <c r="BS185" s="239">
        <f t="shared" si="397"/>
        <v>3019.0736400224077</v>
      </c>
      <c r="BT185" s="239">
        <f t="shared" si="397"/>
        <v>3140.6628472951352</v>
      </c>
      <c r="BU185" s="239">
        <f t="shared" ref="BU185:CZ185" si="398">SUM(BU181:BU184)</f>
        <v>3266.0517172951349</v>
      </c>
      <c r="BV185" s="239">
        <f t="shared" si="398"/>
        <v>3395.4853895531996</v>
      </c>
      <c r="BW185" s="239">
        <f t="shared" si="398"/>
        <v>1282.2649671532001</v>
      </c>
      <c r="BX185" s="239">
        <f t="shared" si="398"/>
        <v>1309.9369936359587</v>
      </c>
      <c r="BY185" s="239">
        <f t="shared" si="398"/>
        <v>1338.5973067788159</v>
      </c>
      <c r="BZ185" s="239">
        <f t="shared" si="398"/>
        <v>1368.3191130010382</v>
      </c>
      <c r="CA185" s="239">
        <f t="shared" si="398"/>
        <v>1399.1840656164227</v>
      </c>
      <c r="CB185" s="239">
        <f t="shared" si="398"/>
        <v>1431.2836163364229</v>
      </c>
      <c r="CC185" s="239">
        <f t="shared" si="398"/>
        <v>1464.7206483364228</v>
      </c>
      <c r="CD185" s="239">
        <f t="shared" si="398"/>
        <v>1499.6114643364226</v>
      </c>
      <c r="CE185" s="239">
        <f t="shared" si="398"/>
        <v>1536.0882265182411</v>
      </c>
      <c r="CF185" s="239">
        <f t="shared" si="398"/>
        <v>1574.3019773753838</v>
      </c>
      <c r="CG185" s="239">
        <f t="shared" si="398"/>
        <v>1614.4264157753839</v>
      </c>
      <c r="CH185" s="239">
        <f t="shared" si="398"/>
        <v>1656.662666722752</v>
      </c>
      <c r="CI185" s="239">
        <f t="shared" si="398"/>
        <v>1701.2453760560854</v>
      </c>
      <c r="CJ185" s="239">
        <f t="shared" si="398"/>
        <v>1748.4505977031445</v>
      </c>
      <c r="CK185" s="239">
        <f t="shared" si="398"/>
        <v>1798.6061457031442</v>
      </c>
      <c r="CL185" s="239">
        <f t="shared" si="398"/>
        <v>1852.1053969031443</v>
      </c>
      <c r="CM185" s="239">
        <f t="shared" si="398"/>
        <v>1909.4260231888588</v>
      </c>
      <c r="CN185" s="239">
        <f t="shared" si="398"/>
        <v>1971.1559284196278</v>
      </c>
      <c r="CO185" s="239">
        <f t="shared" si="398"/>
        <v>2038.0299924196279</v>
      </c>
      <c r="CP185" s="239">
        <f t="shared" si="398"/>
        <v>2110.9835167832643</v>
      </c>
      <c r="CQ185" s="239">
        <f t="shared" si="398"/>
        <v>2191.2323935832642</v>
      </c>
      <c r="CR185" s="239">
        <f t="shared" si="398"/>
        <v>2280.3978122499307</v>
      </c>
      <c r="CS185" s="239">
        <f t="shared" si="398"/>
        <v>2380.7089082499306</v>
      </c>
      <c r="CT185" s="239">
        <f t="shared" si="398"/>
        <v>2495.3501608213592</v>
      </c>
      <c r="CU185" s="239">
        <f t="shared" si="398"/>
        <v>2629.0982888213593</v>
      </c>
      <c r="CV185" s="239">
        <f t="shared" si="398"/>
        <v>2789.596042421359</v>
      </c>
      <c r="CW185" s="239">
        <f t="shared" si="398"/>
        <v>2990.2182344213588</v>
      </c>
      <c r="CX185" s="239">
        <f t="shared" si="398"/>
        <v>3257.7144904213587</v>
      </c>
      <c r="CY185" s="239">
        <f t="shared" si="398"/>
        <v>3658.9588744213588</v>
      </c>
      <c r="CZ185" s="239">
        <f t="shared" si="398"/>
        <v>4461.447642421359</v>
      </c>
      <c r="DA185" s="239">
        <f t="shared" ref="DA185:EF185" si="399">SUM(DA181:DA184)</f>
        <v>16049.775359999996</v>
      </c>
      <c r="DB185" s="239">
        <f t="shared" si="399"/>
        <v>2407.4663039999996</v>
      </c>
      <c r="DC185" s="239">
        <f t="shared" si="399"/>
        <v>2407.4663039999996</v>
      </c>
      <c r="DD185" s="239">
        <f t="shared" si="399"/>
        <v>2407.4663039999996</v>
      </c>
      <c r="DE185" s="239">
        <f t="shared" si="399"/>
        <v>2407.4663039999996</v>
      </c>
      <c r="DF185" s="239">
        <f t="shared" si="399"/>
        <v>2407.4663039999996</v>
      </c>
      <c r="DG185" s="239">
        <f t="shared" si="399"/>
        <v>2407.4663039999996</v>
      </c>
      <c r="DH185" s="239">
        <f t="shared" si="399"/>
        <v>2407.4663039999996</v>
      </c>
      <c r="DI185" s="239">
        <f t="shared" si="399"/>
        <v>2407.4663039999996</v>
      </c>
      <c r="DJ185" s="239">
        <f t="shared" si="399"/>
        <v>2407.4663039999996</v>
      </c>
      <c r="DK185" s="239">
        <f t="shared" si="399"/>
        <v>2407.4663039999996</v>
      </c>
      <c r="DL185" s="239">
        <f t="shared" si="399"/>
        <v>260808.84959999978</v>
      </c>
      <c r="DM185" s="239">
        <f t="shared" si="399"/>
        <v>0</v>
      </c>
      <c r="DN185" s="239">
        <f t="shared" si="399"/>
        <v>0</v>
      </c>
      <c r="DO185" s="239">
        <f t="shared" si="399"/>
        <v>0</v>
      </c>
      <c r="DP185" s="239">
        <f t="shared" si="399"/>
        <v>0</v>
      </c>
      <c r="DQ185" s="239">
        <f t="shared" si="399"/>
        <v>0</v>
      </c>
      <c r="DR185" s="239">
        <f t="shared" si="399"/>
        <v>0</v>
      </c>
      <c r="DS185" s="239">
        <f t="shared" si="399"/>
        <v>0</v>
      </c>
      <c r="DT185" s="239">
        <f t="shared" si="399"/>
        <v>0</v>
      </c>
      <c r="DU185" s="239">
        <f t="shared" si="399"/>
        <v>0</v>
      </c>
      <c r="DV185" s="239">
        <f t="shared" si="399"/>
        <v>0</v>
      </c>
      <c r="DW185" s="239">
        <f t="shared" si="399"/>
        <v>0</v>
      </c>
      <c r="DX185" s="239">
        <f t="shared" si="399"/>
        <v>0</v>
      </c>
      <c r="DY185" s="239">
        <f t="shared" si="399"/>
        <v>0</v>
      </c>
      <c r="DZ185" s="239">
        <f t="shared" si="399"/>
        <v>0</v>
      </c>
      <c r="EA185" s="239">
        <f t="shared" si="399"/>
        <v>0</v>
      </c>
      <c r="EB185" s="239">
        <f t="shared" si="399"/>
        <v>0</v>
      </c>
      <c r="EC185" s="239">
        <f t="shared" si="399"/>
        <v>0</v>
      </c>
      <c r="ED185" s="239">
        <f t="shared" si="399"/>
        <v>0</v>
      </c>
      <c r="EE185" s="239">
        <f t="shared" si="399"/>
        <v>0</v>
      </c>
      <c r="EF185" s="239">
        <f t="shared" si="399"/>
        <v>0</v>
      </c>
      <c r="EG185" s="239">
        <f t="shared" ref="EG185:FH185" si="400">SUM(EG181:EG184)</f>
        <v>0</v>
      </c>
      <c r="EH185" s="239">
        <f t="shared" si="400"/>
        <v>0</v>
      </c>
      <c r="EI185" s="239">
        <f t="shared" si="400"/>
        <v>0</v>
      </c>
      <c r="EJ185" s="239">
        <f t="shared" si="400"/>
        <v>0</v>
      </c>
      <c r="EK185" s="239">
        <f t="shared" si="400"/>
        <v>0</v>
      </c>
      <c r="EL185" s="239">
        <f t="shared" si="400"/>
        <v>0</v>
      </c>
      <c r="EM185" s="239">
        <f t="shared" si="400"/>
        <v>0</v>
      </c>
      <c r="EN185" s="239">
        <f t="shared" si="400"/>
        <v>0</v>
      </c>
      <c r="EO185" s="239">
        <f t="shared" si="400"/>
        <v>0</v>
      </c>
      <c r="EP185" s="239">
        <f t="shared" si="400"/>
        <v>0</v>
      </c>
      <c r="EQ185" s="239">
        <f t="shared" si="400"/>
        <v>0</v>
      </c>
      <c r="ER185" s="239">
        <f t="shared" si="400"/>
        <v>0</v>
      </c>
      <c r="ES185" s="239">
        <f t="shared" si="400"/>
        <v>0</v>
      </c>
      <c r="ET185" s="239">
        <f t="shared" si="400"/>
        <v>0</v>
      </c>
      <c r="EU185" s="239">
        <f t="shared" si="400"/>
        <v>0</v>
      </c>
      <c r="EV185" s="239">
        <f t="shared" si="400"/>
        <v>0</v>
      </c>
      <c r="EW185" s="239">
        <f t="shared" si="400"/>
        <v>0</v>
      </c>
      <c r="EX185" s="239">
        <f t="shared" si="400"/>
        <v>0</v>
      </c>
      <c r="EY185" s="239">
        <f t="shared" si="400"/>
        <v>0</v>
      </c>
      <c r="EZ185" s="239">
        <f t="shared" si="400"/>
        <v>0</v>
      </c>
      <c r="FA185" s="239">
        <f t="shared" si="400"/>
        <v>0</v>
      </c>
      <c r="FB185" s="239">
        <f t="shared" si="400"/>
        <v>0</v>
      </c>
      <c r="FC185" s="239">
        <f t="shared" si="400"/>
        <v>0</v>
      </c>
      <c r="FD185" s="239">
        <f t="shared" si="400"/>
        <v>0</v>
      </c>
      <c r="FE185" s="239">
        <f t="shared" si="400"/>
        <v>0</v>
      </c>
      <c r="FF185" s="239">
        <f t="shared" si="400"/>
        <v>0</v>
      </c>
      <c r="FG185" s="239">
        <f t="shared" si="400"/>
        <v>0</v>
      </c>
      <c r="FH185" s="239">
        <f t="shared" si="400"/>
        <v>0</v>
      </c>
    </row>
    <row r="186" spans="1:164" x14ac:dyDescent="0.2">
      <c r="A186" s="10"/>
      <c r="B186" s="10"/>
      <c r="C186" s="201" t="s">
        <v>756</v>
      </c>
      <c r="D186" s="194"/>
      <c r="E186" s="194"/>
      <c r="F186" s="194"/>
      <c r="G186" s="194"/>
      <c r="H186" s="216"/>
      <c r="I186" s="217">
        <f t="shared" ref="I186:AN186" si="401">((YEAR(I$6)-YEAR($F$34))*12+MONTH(I$6)-MONTH($F$34)+1)</f>
        <v>-65</v>
      </c>
      <c r="J186" s="217">
        <f t="shared" si="401"/>
        <v>-64</v>
      </c>
      <c r="K186" s="217">
        <f t="shared" si="401"/>
        <v>-63</v>
      </c>
      <c r="L186" s="217">
        <f t="shared" si="401"/>
        <v>-62</v>
      </c>
      <c r="M186" s="217">
        <f t="shared" si="401"/>
        <v>-61</v>
      </c>
      <c r="N186" s="217">
        <f t="shared" si="401"/>
        <v>-60</v>
      </c>
      <c r="O186" s="217">
        <f t="shared" si="401"/>
        <v>-59</v>
      </c>
      <c r="P186" s="217">
        <f t="shared" si="401"/>
        <v>-58</v>
      </c>
      <c r="Q186" s="217">
        <f t="shared" si="401"/>
        <v>-57</v>
      </c>
      <c r="R186" s="217">
        <f t="shared" si="401"/>
        <v>-56</v>
      </c>
      <c r="S186" s="217">
        <f t="shared" si="401"/>
        <v>-55</v>
      </c>
      <c r="T186" s="217">
        <f t="shared" si="401"/>
        <v>-54</v>
      </c>
      <c r="U186" s="217">
        <f t="shared" si="401"/>
        <v>-53</v>
      </c>
      <c r="V186" s="217">
        <f t="shared" si="401"/>
        <v>-52</v>
      </c>
      <c r="W186" s="217">
        <f t="shared" si="401"/>
        <v>-51</v>
      </c>
      <c r="X186" s="217">
        <f t="shared" si="401"/>
        <v>-50</v>
      </c>
      <c r="Y186" s="217">
        <f t="shared" si="401"/>
        <v>-49</v>
      </c>
      <c r="Z186" s="217">
        <f t="shared" si="401"/>
        <v>-48</v>
      </c>
      <c r="AA186" s="217">
        <f t="shared" si="401"/>
        <v>-47</v>
      </c>
      <c r="AB186" s="217">
        <f t="shared" si="401"/>
        <v>-46</v>
      </c>
      <c r="AC186" s="217">
        <f t="shared" si="401"/>
        <v>-45</v>
      </c>
      <c r="AD186" s="217">
        <f t="shared" si="401"/>
        <v>-44</v>
      </c>
      <c r="AE186" s="217">
        <f t="shared" si="401"/>
        <v>-43</v>
      </c>
      <c r="AF186" s="217">
        <f t="shared" si="401"/>
        <v>-42</v>
      </c>
      <c r="AG186" s="217">
        <f t="shared" si="401"/>
        <v>-41</v>
      </c>
      <c r="AH186" s="217">
        <f t="shared" si="401"/>
        <v>-40</v>
      </c>
      <c r="AI186" s="217">
        <f t="shared" si="401"/>
        <v>-39</v>
      </c>
      <c r="AJ186" s="217">
        <f t="shared" si="401"/>
        <v>-38</v>
      </c>
      <c r="AK186" s="217">
        <f t="shared" si="401"/>
        <v>-37</v>
      </c>
      <c r="AL186" s="217">
        <f t="shared" si="401"/>
        <v>-36</v>
      </c>
      <c r="AM186" s="217">
        <f t="shared" si="401"/>
        <v>-35</v>
      </c>
      <c r="AN186" s="217">
        <f t="shared" si="401"/>
        <v>-34</v>
      </c>
      <c r="AO186" s="217">
        <f t="shared" ref="AO186:BT186" si="402">((YEAR(AO$6)-YEAR($F$34))*12+MONTH(AO$6)-MONTH($F$34)+1)</f>
        <v>-33</v>
      </c>
      <c r="AP186" s="217">
        <f t="shared" si="402"/>
        <v>-32</v>
      </c>
      <c r="AQ186" s="217">
        <f t="shared" si="402"/>
        <v>-31</v>
      </c>
      <c r="AR186" s="217">
        <f t="shared" si="402"/>
        <v>-30</v>
      </c>
      <c r="AS186" s="217">
        <f t="shared" si="402"/>
        <v>-29</v>
      </c>
      <c r="AT186" s="217">
        <f t="shared" si="402"/>
        <v>-28</v>
      </c>
      <c r="AU186" s="217">
        <f t="shared" si="402"/>
        <v>-27</v>
      </c>
      <c r="AV186" s="217">
        <f t="shared" si="402"/>
        <v>-26</v>
      </c>
      <c r="AW186" s="217">
        <f t="shared" si="402"/>
        <v>-25</v>
      </c>
      <c r="AX186" s="217">
        <f t="shared" si="402"/>
        <v>-24</v>
      </c>
      <c r="AY186" s="217">
        <f t="shared" si="402"/>
        <v>-23</v>
      </c>
      <c r="AZ186" s="217">
        <f t="shared" si="402"/>
        <v>-22</v>
      </c>
      <c r="BA186" s="217">
        <f t="shared" si="402"/>
        <v>-21</v>
      </c>
      <c r="BB186" s="217">
        <f t="shared" si="402"/>
        <v>-20</v>
      </c>
      <c r="BC186" s="217">
        <f t="shared" si="402"/>
        <v>-19</v>
      </c>
      <c r="BD186" s="217">
        <f t="shared" si="402"/>
        <v>-18</v>
      </c>
      <c r="BE186" s="217">
        <f t="shared" si="402"/>
        <v>-17</v>
      </c>
      <c r="BF186" s="217">
        <f t="shared" si="402"/>
        <v>-16</v>
      </c>
      <c r="BG186" s="217">
        <f t="shared" si="402"/>
        <v>-15</v>
      </c>
      <c r="BH186" s="217">
        <f t="shared" si="402"/>
        <v>-14</v>
      </c>
      <c r="BI186" s="217">
        <f t="shared" si="402"/>
        <v>-13</v>
      </c>
      <c r="BJ186" s="217">
        <f t="shared" si="402"/>
        <v>-12</v>
      </c>
      <c r="BK186" s="217">
        <f t="shared" si="402"/>
        <v>-11</v>
      </c>
      <c r="BL186" s="217">
        <f t="shared" si="402"/>
        <v>-10</v>
      </c>
      <c r="BM186" s="217">
        <f t="shared" si="402"/>
        <v>-9</v>
      </c>
      <c r="BN186" s="217">
        <f t="shared" si="402"/>
        <v>-8</v>
      </c>
      <c r="BO186" s="217">
        <f t="shared" si="402"/>
        <v>-7</v>
      </c>
      <c r="BP186" s="217">
        <f t="shared" si="402"/>
        <v>-6</v>
      </c>
      <c r="BQ186" s="217">
        <f t="shared" si="402"/>
        <v>-5</v>
      </c>
      <c r="BR186" s="217">
        <f t="shared" si="402"/>
        <v>-4</v>
      </c>
      <c r="BS186" s="217">
        <f t="shared" si="402"/>
        <v>-3</v>
      </c>
      <c r="BT186" s="217">
        <f t="shared" si="402"/>
        <v>-2</v>
      </c>
      <c r="BU186" s="217">
        <f t="shared" ref="BU186:CZ186" si="403">((YEAR(BU$6)-YEAR($F$34))*12+MONTH(BU$6)-MONTH($F$34)+1)</f>
        <v>-1</v>
      </c>
      <c r="BV186" s="217">
        <f t="shared" si="403"/>
        <v>0</v>
      </c>
      <c r="BW186" s="217">
        <f t="shared" si="403"/>
        <v>1</v>
      </c>
      <c r="BX186" s="217">
        <f t="shared" si="403"/>
        <v>2</v>
      </c>
      <c r="BY186" s="217">
        <f t="shared" si="403"/>
        <v>3</v>
      </c>
      <c r="BZ186" s="217">
        <f t="shared" si="403"/>
        <v>4</v>
      </c>
      <c r="CA186" s="217">
        <f t="shared" si="403"/>
        <v>5</v>
      </c>
      <c r="CB186" s="217">
        <f t="shared" si="403"/>
        <v>6</v>
      </c>
      <c r="CC186" s="217">
        <f t="shared" si="403"/>
        <v>7</v>
      </c>
      <c r="CD186" s="217">
        <f t="shared" si="403"/>
        <v>8</v>
      </c>
      <c r="CE186" s="217">
        <f t="shared" si="403"/>
        <v>9</v>
      </c>
      <c r="CF186" s="217">
        <f t="shared" si="403"/>
        <v>10</v>
      </c>
      <c r="CG186" s="217">
        <f t="shared" si="403"/>
        <v>11</v>
      </c>
      <c r="CH186" s="217">
        <f t="shared" si="403"/>
        <v>12</v>
      </c>
      <c r="CI186" s="217">
        <f t="shared" si="403"/>
        <v>13</v>
      </c>
      <c r="CJ186" s="217">
        <f t="shared" si="403"/>
        <v>14</v>
      </c>
      <c r="CK186" s="217">
        <f t="shared" si="403"/>
        <v>15</v>
      </c>
      <c r="CL186" s="217">
        <f t="shared" si="403"/>
        <v>16</v>
      </c>
      <c r="CM186" s="217">
        <f t="shared" si="403"/>
        <v>17</v>
      </c>
      <c r="CN186" s="217">
        <f t="shared" si="403"/>
        <v>18</v>
      </c>
      <c r="CO186" s="217">
        <f t="shared" si="403"/>
        <v>19</v>
      </c>
      <c r="CP186" s="217">
        <f t="shared" si="403"/>
        <v>20</v>
      </c>
      <c r="CQ186" s="217">
        <f t="shared" si="403"/>
        <v>21</v>
      </c>
      <c r="CR186" s="217">
        <f t="shared" si="403"/>
        <v>22</v>
      </c>
      <c r="CS186" s="217">
        <f t="shared" si="403"/>
        <v>23</v>
      </c>
      <c r="CT186" s="217">
        <f t="shared" si="403"/>
        <v>24</v>
      </c>
      <c r="CU186" s="217">
        <f t="shared" si="403"/>
        <v>25</v>
      </c>
      <c r="CV186" s="217">
        <f t="shared" si="403"/>
        <v>26</v>
      </c>
      <c r="CW186" s="217">
        <f t="shared" si="403"/>
        <v>27</v>
      </c>
      <c r="CX186" s="217">
        <f t="shared" si="403"/>
        <v>28</v>
      </c>
      <c r="CY186" s="217">
        <f t="shared" si="403"/>
        <v>29</v>
      </c>
      <c r="CZ186" s="217">
        <f t="shared" si="403"/>
        <v>30</v>
      </c>
      <c r="DA186" s="217">
        <f t="shared" ref="DA186:EF186" si="404">((YEAR(DA$6)-YEAR($F$34))*12+MONTH(DA$6)-MONTH($F$34)+1)</f>
        <v>31</v>
      </c>
      <c r="DB186" s="217">
        <f t="shared" si="404"/>
        <v>32</v>
      </c>
      <c r="DC186" s="217">
        <f t="shared" si="404"/>
        <v>33</v>
      </c>
      <c r="DD186" s="217">
        <f t="shared" si="404"/>
        <v>34</v>
      </c>
      <c r="DE186" s="217">
        <f t="shared" si="404"/>
        <v>35</v>
      </c>
      <c r="DF186" s="217">
        <f t="shared" si="404"/>
        <v>36</v>
      </c>
      <c r="DG186" s="217">
        <f t="shared" si="404"/>
        <v>37</v>
      </c>
      <c r="DH186" s="217">
        <f t="shared" si="404"/>
        <v>38</v>
      </c>
      <c r="DI186" s="217">
        <f t="shared" si="404"/>
        <v>39</v>
      </c>
      <c r="DJ186" s="217">
        <f t="shared" si="404"/>
        <v>40</v>
      </c>
      <c r="DK186" s="217">
        <f t="shared" si="404"/>
        <v>41</v>
      </c>
      <c r="DL186" s="217">
        <f t="shared" si="404"/>
        <v>42</v>
      </c>
      <c r="DM186" s="217">
        <f t="shared" si="404"/>
        <v>43</v>
      </c>
      <c r="DN186" s="217">
        <f t="shared" si="404"/>
        <v>44</v>
      </c>
      <c r="DO186" s="217">
        <f t="shared" si="404"/>
        <v>45</v>
      </c>
      <c r="DP186" s="217">
        <f t="shared" si="404"/>
        <v>46</v>
      </c>
      <c r="DQ186" s="217">
        <f t="shared" si="404"/>
        <v>47</v>
      </c>
      <c r="DR186" s="217">
        <f t="shared" si="404"/>
        <v>48</v>
      </c>
      <c r="DS186" s="217">
        <f t="shared" si="404"/>
        <v>49</v>
      </c>
      <c r="DT186" s="217">
        <f t="shared" si="404"/>
        <v>50</v>
      </c>
      <c r="DU186" s="217">
        <f t="shared" si="404"/>
        <v>51</v>
      </c>
      <c r="DV186" s="217">
        <f t="shared" si="404"/>
        <v>52</v>
      </c>
      <c r="DW186" s="217">
        <f t="shared" si="404"/>
        <v>53</v>
      </c>
      <c r="DX186" s="217">
        <f t="shared" si="404"/>
        <v>54</v>
      </c>
      <c r="DY186" s="217">
        <f t="shared" si="404"/>
        <v>55</v>
      </c>
      <c r="DZ186" s="217">
        <f t="shared" si="404"/>
        <v>56</v>
      </c>
      <c r="EA186" s="217">
        <f t="shared" si="404"/>
        <v>57</v>
      </c>
      <c r="EB186" s="217">
        <f t="shared" si="404"/>
        <v>58</v>
      </c>
      <c r="EC186" s="217">
        <f t="shared" si="404"/>
        <v>59</v>
      </c>
      <c r="ED186" s="217">
        <f t="shared" si="404"/>
        <v>60</v>
      </c>
      <c r="EE186" s="217">
        <f t="shared" si="404"/>
        <v>61</v>
      </c>
      <c r="EF186" s="217">
        <f t="shared" si="404"/>
        <v>62</v>
      </c>
      <c r="EG186" s="217">
        <f t="shared" ref="EG186:FH186" si="405">((YEAR(EG$6)-YEAR($F$34))*12+MONTH(EG$6)-MONTH($F$34)+1)</f>
        <v>63</v>
      </c>
      <c r="EH186" s="217">
        <f t="shared" si="405"/>
        <v>64</v>
      </c>
      <c r="EI186" s="217">
        <f t="shared" si="405"/>
        <v>65</v>
      </c>
      <c r="EJ186" s="217">
        <f t="shared" si="405"/>
        <v>66</v>
      </c>
      <c r="EK186" s="217">
        <f t="shared" si="405"/>
        <v>67</v>
      </c>
      <c r="EL186" s="217">
        <f t="shared" si="405"/>
        <v>68</v>
      </c>
      <c r="EM186" s="217">
        <f t="shared" si="405"/>
        <v>69</v>
      </c>
      <c r="EN186" s="217">
        <f t="shared" si="405"/>
        <v>70</v>
      </c>
      <c r="EO186" s="217">
        <f t="shared" si="405"/>
        <v>71</v>
      </c>
      <c r="EP186" s="217">
        <f t="shared" si="405"/>
        <v>72</v>
      </c>
      <c r="EQ186" s="217">
        <f t="shared" si="405"/>
        <v>73</v>
      </c>
      <c r="ER186" s="217">
        <f t="shared" si="405"/>
        <v>74</v>
      </c>
      <c r="ES186" s="217">
        <f t="shared" si="405"/>
        <v>75</v>
      </c>
      <c r="ET186" s="217">
        <f t="shared" si="405"/>
        <v>76</v>
      </c>
      <c r="EU186" s="217">
        <f t="shared" si="405"/>
        <v>77</v>
      </c>
      <c r="EV186" s="217">
        <f t="shared" si="405"/>
        <v>78</v>
      </c>
      <c r="EW186" s="217">
        <f t="shared" si="405"/>
        <v>79</v>
      </c>
      <c r="EX186" s="217">
        <f t="shared" si="405"/>
        <v>80</v>
      </c>
      <c r="EY186" s="217">
        <f t="shared" si="405"/>
        <v>81</v>
      </c>
      <c r="EZ186" s="217">
        <f t="shared" si="405"/>
        <v>82</v>
      </c>
      <c r="FA186" s="217">
        <f t="shared" si="405"/>
        <v>83</v>
      </c>
      <c r="FB186" s="217">
        <f t="shared" si="405"/>
        <v>84</v>
      </c>
      <c r="FC186" s="217">
        <f t="shared" si="405"/>
        <v>85</v>
      </c>
      <c r="FD186" s="217">
        <f t="shared" si="405"/>
        <v>86</v>
      </c>
      <c r="FE186" s="217">
        <f t="shared" si="405"/>
        <v>87</v>
      </c>
      <c r="FF186" s="217">
        <f t="shared" si="405"/>
        <v>88</v>
      </c>
      <c r="FG186" s="217">
        <f t="shared" si="405"/>
        <v>89</v>
      </c>
      <c r="FH186" s="217">
        <f t="shared" si="405"/>
        <v>90</v>
      </c>
    </row>
    <row r="187" spans="1:164" x14ac:dyDescent="0.2">
      <c r="A187" s="10"/>
      <c r="B187" s="10"/>
      <c r="C187" s="10" t="s">
        <v>757</v>
      </c>
      <c r="D187" s="10"/>
      <c r="E187" s="10"/>
      <c r="F187" s="10"/>
      <c r="G187" s="10"/>
      <c r="H187" s="18">
        <f t="shared" ref="H187:H196" si="406">SUM(I187:FH187)</f>
        <v>0.99999999999999989</v>
      </c>
      <c r="I187" s="51">
        <f t="shared" ref="I187:AN187" si="407">IF(AND(I186&gt;=1,I186&lt;=$F$31),SIN(PI()*(I186-0.5)/$F$31)*SIN(PI()/(2*$F$31)),0)</f>
        <v>0</v>
      </c>
      <c r="J187" s="51">
        <f t="shared" si="407"/>
        <v>0</v>
      </c>
      <c r="K187" s="51">
        <f t="shared" si="407"/>
        <v>0</v>
      </c>
      <c r="L187" s="51">
        <f t="shared" si="407"/>
        <v>0</v>
      </c>
      <c r="M187" s="51">
        <f t="shared" si="407"/>
        <v>0</v>
      </c>
      <c r="N187" s="51">
        <f t="shared" si="407"/>
        <v>0</v>
      </c>
      <c r="O187" s="51">
        <f t="shared" si="407"/>
        <v>0</v>
      </c>
      <c r="P187" s="51">
        <f t="shared" si="407"/>
        <v>0</v>
      </c>
      <c r="Q187" s="51">
        <f t="shared" si="407"/>
        <v>0</v>
      </c>
      <c r="R187" s="51">
        <f t="shared" si="407"/>
        <v>0</v>
      </c>
      <c r="S187" s="51">
        <f t="shared" si="407"/>
        <v>0</v>
      </c>
      <c r="T187" s="51">
        <f t="shared" si="407"/>
        <v>0</v>
      </c>
      <c r="U187" s="51">
        <f t="shared" si="407"/>
        <v>0</v>
      </c>
      <c r="V187" s="51">
        <f t="shared" si="407"/>
        <v>0</v>
      </c>
      <c r="W187" s="51">
        <f t="shared" si="407"/>
        <v>0</v>
      </c>
      <c r="X187" s="51">
        <f t="shared" si="407"/>
        <v>0</v>
      </c>
      <c r="Y187" s="51">
        <f t="shared" si="407"/>
        <v>0</v>
      </c>
      <c r="Z187" s="51">
        <f t="shared" si="407"/>
        <v>0</v>
      </c>
      <c r="AA187" s="51">
        <f t="shared" si="407"/>
        <v>0</v>
      </c>
      <c r="AB187" s="51">
        <f t="shared" si="407"/>
        <v>0</v>
      </c>
      <c r="AC187" s="51">
        <f t="shared" si="407"/>
        <v>0</v>
      </c>
      <c r="AD187" s="51">
        <f t="shared" si="407"/>
        <v>0</v>
      </c>
      <c r="AE187" s="51">
        <f t="shared" si="407"/>
        <v>0</v>
      </c>
      <c r="AF187" s="51">
        <f t="shared" si="407"/>
        <v>0</v>
      </c>
      <c r="AG187" s="51">
        <f t="shared" si="407"/>
        <v>0</v>
      </c>
      <c r="AH187" s="51">
        <f t="shared" si="407"/>
        <v>0</v>
      </c>
      <c r="AI187" s="51">
        <f t="shared" si="407"/>
        <v>0</v>
      </c>
      <c r="AJ187" s="51">
        <f t="shared" si="407"/>
        <v>0</v>
      </c>
      <c r="AK187" s="51">
        <f t="shared" si="407"/>
        <v>0</v>
      </c>
      <c r="AL187" s="51">
        <f t="shared" si="407"/>
        <v>0</v>
      </c>
      <c r="AM187" s="51">
        <f t="shared" si="407"/>
        <v>0</v>
      </c>
      <c r="AN187" s="51">
        <f t="shared" si="407"/>
        <v>0</v>
      </c>
      <c r="AO187" s="51">
        <f t="shared" ref="AO187:BT187" si="408">IF(AND(AO186&gt;=1,AO186&lt;=$F$31),SIN(PI()*(AO186-0.5)/$F$31)*SIN(PI()/(2*$F$31)),0)</f>
        <v>0</v>
      </c>
      <c r="AP187" s="51">
        <f t="shared" si="408"/>
        <v>0</v>
      </c>
      <c r="AQ187" s="51">
        <f t="shared" si="408"/>
        <v>0</v>
      </c>
      <c r="AR187" s="51">
        <f t="shared" si="408"/>
        <v>0</v>
      </c>
      <c r="AS187" s="51">
        <f t="shared" si="408"/>
        <v>0</v>
      </c>
      <c r="AT187" s="51">
        <f t="shared" si="408"/>
        <v>0</v>
      </c>
      <c r="AU187" s="51">
        <f t="shared" si="408"/>
        <v>0</v>
      </c>
      <c r="AV187" s="51">
        <f t="shared" si="408"/>
        <v>0</v>
      </c>
      <c r="AW187" s="51">
        <f t="shared" si="408"/>
        <v>0</v>
      </c>
      <c r="AX187" s="51">
        <f t="shared" si="408"/>
        <v>0</v>
      </c>
      <c r="AY187" s="51">
        <f t="shared" si="408"/>
        <v>0</v>
      </c>
      <c r="AZ187" s="51">
        <f t="shared" si="408"/>
        <v>0</v>
      </c>
      <c r="BA187" s="51">
        <f t="shared" si="408"/>
        <v>0</v>
      </c>
      <c r="BB187" s="51">
        <f t="shared" si="408"/>
        <v>0</v>
      </c>
      <c r="BC187" s="51">
        <f t="shared" si="408"/>
        <v>0</v>
      </c>
      <c r="BD187" s="51">
        <f t="shared" si="408"/>
        <v>0</v>
      </c>
      <c r="BE187" s="51">
        <f t="shared" si="408"/>
        <v>0</v>
      </c>
      <c r="BF187" s="51">
        <f t="shared" si="408"/>
        <v>0</v>
      </c>
      <c r="BG187" s="51">
        <f t="shared" si="408"/>
        <v>0</v>
      </c>
      <c r="BH187" s="51">
        <f t="shared" si="408"/>
        <v>0</v>
      </c>
      <c r="BI187" s="51">
        <f t="shared" si="408"/>
        <v>0</v>
      </c>
      <c r="BJ187" s="51">
        <f t="shared" si="408"/>
        <v>0</v>
      </c>
      <c r="BK187" s="51">
        <f t="shared" si="408"/>
        <v>0</v>
      </c>
      <c r="BL187" s="51">
        <f t="shared" si="408"/>
        <v>0</v>
      </c>
      <c r="BM187" s="51">
        <f t="shared" si="408"/>
        <v>0</v>
      </c>
      <c r="BN187" s="51">
        <f t="shared" si="408"/>
        <v>0</v>
      </c>
      <c r="BO187" s="51">
        <f t="shared" si="408"/>
        <v>0</v>
      </c>
      <c r="BP187" s="51">
        <f t="shared" si="408"/>
        <v>0</v>
      </c>
      <c r="BQ187" s="51">
        <f t="shared" si="408"/>
        <v>0</v>
      </c>
      <c r="BR187" s="51">
        <f t="shared" si="408"/>
        <v>0</v>
      </c>
      <c r="BS187" s="51">
        <f t="shared" si="408"/>
        <v>0</v>
      </c>
      <c r="BT187" s="51">
        <f t="shared" si="408"/>
        <v>0</v>
      </c>
      <c r="BU187" s="51">
        <f t="shared" ref="BU187:CZ187" si="409">IF(AND(BU186&gt;=1,BU186&lt;=$F$31),SIN(PI()*(BU186-0.5)/$F$31)*SIN(PI()/(2*$F$31)),0)</f>
        <v>0</v>
      </c>
      <c r="BV187" s="51">
        <f t="shared" si="409"/>
        <v>0</v>
      </c>
      <c r="BW187" s="51">
        <f t="shared" si="409"/>
        <v>2.7390523158633312E-3</v>
      </c>
      <c r="BX187" s="51">
        <f t="shared" si="409"/>
        <v>8.1871473172338491E-3</v>
      </c>
      <c r="BY187" s="51">
        <f t="shared" si="409"/>
        <v>1.354554221932603E-2</v>
      </c>
      <c r="BZ187" s="51">
        <f t="shared" si="409"/>
        <v>1.8755529326276336E-2</v>
      </c>
      <c r="CA187" s="51">
        <f t="shared" si="409"/>
        <v>2.3760026929081121E-2</v>
      </c>
      <c r="CB187" s="51">
        <f t="shared" si="409"/>
        <v>2.8504204704745604E-2</v>
      </c>
      <c r="CC187" s="51">
        <f t="shared" si="409"/>
        <v>3.2936084448776597E-2</v>
      </c>
      <c r="CD187" s="51">
        <f t="shared" si="409"/>
        <v>3.7007109559268003E-2</v>
      </c>
      <c r="CE187" s="51">
        <f t="shared" si="409"/>
        <v>4.0672677033192536E-2</v>
      </c>
      <c r="CF187" s="51">
        <f t="shared" si="409"/>
        <v>4.3892626146236555E-2</v>
      </c>
      <c r="CG187" s="51">
        <f t="shared" si="409"/>
        <v>4.6631678462099896E-2</v>
      </c>
      <c r="CH187" s="51">
        <f t="shared" si="409"/>
        <v>4.8859824350426385E-2</v>
      </c>
      <c r="CI187" s="51">
        <f t="shared" si="409"/>
        <v>5.055265177859404E-2</v>
      </c>
      <c r="CJ187" s="51">
        <f t="shared" si="409"/>
        <v>5.1691613775052929E-2</v>
      </c>
      <c r="CK187" s="51">
        <f t="shared" si="409"/>
        <v>5.2264231633826728E-2</v>
      </c>
      <c r="CL187" s="51">
        <f t="shared" si="409"/>
        <v>5.2264231633826728E-2</v>
      </c>
      <c r="CM187" s="51">
        <f t="shared" si="409"/>
        <v>5.1691613775052929E-2</v>
      </c>
      <c r="CN187" s="51">
        <f t="shared" si="409"/>
        <v>5.055265177859404E-2</v>
      </c>
      <c r="CO187" s="51">
        <f t="shared" si="409"/>
        <v>4.8859824350426385E-2</v>
      </c>
      <c r="CP187" s="51">
        <f t="shared" si="409"/>
        <v>4.6631678462099896E-2</v>
      </c>
      <c r="CQ187" s="51">
        <f t="shared" si="409"/>
        <v>4.3892626146236575E-2</v>
      </c>
      <c r="CR187" s="51">
        <f t="shared" si="409"/>
        <v>4.0672677033192543E-2</v>
      </c>
      <c r="CS187" s="51">
        <f t="shared" si="409"/>
        <v>3.700710955926801E-2</v>
      </c>
      <c r="CT187" s="51">
        <f t="shared" si="409"/>
        <v>3.293608444877659E-2</v>
      </c>
      <c r="CU187" s="51">
        <f t="shared" si="409"/>
        <v>2.8504204704745621E-2</v>
      </c>
      <c r="CV187" s="51">
        <f t="shared" si="409"/>
        <v>2.3760026929081125E-2</v>
      </c>
      <c r="CW187" s="51">
        <f t="shared" si="409"/>
        <v>1.8755529326276332E-2</v>
      </c>
      <c r="CX187" s="51">
        <f t="shared" si="409"/>
        <v>1.3545542219326022E-2</v>
      </c>
      <c r="CY187" s="51">
        <f t="shared" si="409"/>
        <v>8.1871473172338543E-3</v>
      </c>
      <c r="CZ187" s="51">
        <f t="shared" si="409"/>
        <v>2.7390523158633299E-3</v>
      </c>
      <c r="DA187" s="51">
        <f t="shared" ref="DA187:EF187" si="410">IF(AND(DA186&gt;=1,DA186&lt;=$F$31),SIN(PI()*(DA186-0.5)/$F$31)*SIN(PI()/(2*$F$31)),0)</f>
        <v>0</v>
      </c>
      <c r="DB187" s="51">
        <f t="shared" si="410"/>
        <v>0</v>
      </c>
      <c r="DC187" s="51">
        <f t="shared" si="410"/>
        <v>0</v>
      </c>
      <c r="DD187" s="51">
        <f t="shared" si="410"/>
        <v>0</v>
      </c>
      <c r="DE187" s="51">
        <f t="shared" si="410"/>
        <v>0</v>
      </c>
      <c r="DF187" s="51">
        <f t="shared" si="410"/>
        <v>0</v>
      </c>
      <c r="DG187" s="51">
        <f t="shared" si="410"/>
        <v>0</v>
      </c>
      <c r="DH187" s="51">
        <f t="shared" si="410"/>
        <v>0</v>
      </c>
      <c r="DI187" s="51">
        <f t="shared" si="410"/>
        <v>0</v>
      </c>
      <c r="DJ187" s="51">
        <f t="shared" si="410"/>
        <v>0</v>
      </c>
      <c r="DK187" s="51">
        <f t="shared" si="410"/>
        <v>0</v>
      </c>
      <c r="DL187" s="51">
        <f t="shared" si="410"/>
        <v>0</v>
      </c>
      <c r="DM187" s="51">
        <f t="shared" si="410"/>
        <v>0</v>
      </c>
      <c r="DN187" s="51">
        <f t="shared" si="410"/>
        <v>0</v>
      </c>
      <c r="DO187" s="51">
        <f t="shared" si="410"/>
        <v>0</v>
      </c>
      <c r="DP187" s="51">
        <f t="shared" si="410"/>
        <v>0</v>
      </c>
      <c r="DQ187" s="51">
        <f t="shared" si="410"/>
        <v>0</v>
      </c>
      <c r="DR187" s="51">
        <f t="shared" si="410"/>
        <v>0</v>
      </c>
      <c r="DS187" s="51">
        <f t="shared" si="410"/>
        <v>0</v>
      </c>
      <c r="DT187" s="51">
        <f t="shared" si="410"/>
        <v>0</v>
      </c>
      <c r="DU187" s="51">
        <f t="shared" si="410"/>
        <v>0</v>
      </c>
      <c r="DV187" s="51">
        <f t="shared" si="410"/>
        <v>0</v>
      </c>
      <c r="DW187" s="51">
        <f t="shared" si="410"/>
        <v>0</v>
      </c>
      <c r="DX187" s="51">
        <f t="shared" si="410"/>
        <v>0</v>
      </c>
      <c r="DY187" s="51">
        <f t="shared" si="410"/>
        <v>0</v>
      </c>
      <c r="DZ187" s="51">
        <f t="shared" si="410"/>
        <v>0</v>
      </c>
      <c r="EA187" s="51">
        <f t="shared" si="410"/>
        <v>0</v>
      </c>
      <c r="EB187" s="51">
        <f t="shared" si="410"/>
        <v>0</v>
      </c>
      <c r="EC187" s="51">
        <f t="shared" si="410"/>
        <v>0</v>
      </c>
      <c r="ED187" s="51">
        <f t="shared" si="410"/>
        <v>0</v>
      </c>
      <c r="EE187" s="51">
        <f t="shared" si="410"/>
        <v>0</v>
      </c>
      <c r="EF187" s="51">
        <f t="shared" si="410"/>
        <v>0</v>
      </c>
      <c r="EG187" s="51">
        <f t="shared" ref="EG187:FH187" si="411">IF(AND(EG186&gt;=1,EG186&lt;=$F$31),SIN(PI()*(EG186-0.5)/$F$31)*SIN(PI()/(2*$F$31)),0)</f>
        <v>0</v>
      </c>
      <c r="EH187" s="51">
        <f t="shared" si="411"/>
        <v>0</v>
      </c>
      <c r="EI187" s="51">
        <f t="shared" si="411"/>
        <v>0</v>
      </c>
      <c r="EJ187" s="51">
        <f t="shared" si="411"/>
        <v>0</v>
      </c>
      <c r="EK187" s="51">
        <f t="shared" si="411"/>
        <v>0</v>
      </c>
      <c r="EL187" s="51">
        <f t="shared" si="411"/>
        <v>0</v>
      </c>
      <c r="EM187" s="51">
        <f t="shared" si="411"/>
        <v>0</v>
      </c>
      <c r="EN187" s="51">
        <f t="shared" si="411"/>
        <v>0</v>
      </c>
      <c r="EO187" s="51">
        <f t="shared" si="411"/>
        <v>0</v>
      </c>
      <c r="EP187" s="51">
        <f t="shared" si="411"/>
        <v>0</v>
      </c>
      <c r="EQ187" s="51">
        <f t="shared" si="411"/>
        <v>0</v>
      </c>
      <c r="ER187" s="51">
        <f t="shared" si="411"/>
        <v>0</v>
      </c>
      <c r="ES187" s="51">
        <f t="shared" si="411"/>
        <v>0</v>
      </c>
      <c r="ET187" s="51">
        <f t="shared" si="411"/>
        <v>0</v>
      </c>
      <c r="EU187" s="51">
        <f t="shared" si="411"/>
        <v>0</v>
      </c>
      <c r="EV187" s="51">
        <f t="shared" si="411"/>
        <v>0</v>
      </c>
      <c r="EW187" s="51">
        <f t="shared" si="411"/>
        <v>0</v>
      </c>
      <c r="EX187" s="51">
        <f t="shared" si="411"/>
        <v>0</v>
      </c>
      <c r="EY187" s="51">
        <f t="shared" si="411"/>
        <v>0</v>
      </c>
      <c r="EZ187" s="51">
        <f t="shared" si="411"/>
        <v>0</v>
      </c>
      <c r="FA187" s="51">
        <f t="shared" si="411"/>
        <v>0</v>
      </c>
      <c r="FB187" s="51">
        <f t="shared" si="411"/>
        <v>0</v>
      </c>
      <c r="FC187" s="51">
        <f t="shared" si="411"/>
        <v>0</v>
      </c>
      <c r="FD187" s="51">
        <f t="shared" si="411"/>
        <v>0</v>
      </c>
      <c r="FE187" s="51">
        <f t="shared" si="411"/>
        <v>0</v>
      </c>
      <c r="FF187" s="51">
        <f t="shared" si="411"/>
        <v>0</v>
      </c>
      <c r="FG187" s="51">
        <f t="shared" si="411"/>
        <v>0</v>
      </c>
      <c r="FH187" s="51">
        <f t="shared" si="411"/>
        <v>0</v>
      </c>
    </row>
    <row r="188" spans="1:164" x14ac:dyDescent="0.2">
      <c r="A188" s="10"/>
      <c r="B188" s="10"/>
      <c r="C188" s="10" t="s">
        <v>910</v>
      </c>
      <c r="D188" s="10"/>
      <c r="E188" s="10"/>
      <c r="F188" s="10"/>
      <c r="G188" s="10"/>
      <c r="H188" s="12">
        <f t="shared" si="406"/>
        <v>-199607.64999999997</v>
      </c>
      <c r="I188" s="12">
        <f t="shared" ref="I188:AN188" si="412">-I187*($F$29+$F$30)</f>
        <v>0</v>
      </c>
      <c r="J188" s="12">
        <f t="shared" si="412"/>
        <v>0</v>
      </c>
      <c r="K188" s="12">
        <f t="shared" si="412"/>
        <v>0</v>
      </c>
      <c r="L188" s="12">
        <f t="shared" si="412"/>
        <v>0</v>
      </c>
      <c r="M188" s="12">
        <f t="shared" si="412"/>
        <v>0</v>
      </c>
      <c r="N188" s="12">
        <f t="shared" si="412"/>
        <v>0</v>
      </c>
      <c r="O188" s="12">
        <f t="shared" si="412"/>
        <v>0</v>
      </c>
      <c r="P188" s="12">
        <f t="shared" si="412"/>
        <v>0</v>
      </c>
      <c r="Q188" s="12">
        <f t="shared" si="412"/>
        <v>0</v>
      </c>
      <c r="R188" s="12">
        <f t="shared" si="412"/>
        <v>0</v>
      </c>
      <c r="S188" s="12">
        <f t="shared" si="412"/>
        <v>0</v>
      </c>
      <c r="T188" s="12">
        <f t="shared" si="412"/>
        <v>0</v>
      </c>
      <c r="U188" s="12">
        <f t="shared" si="412"/>
        <v>0</v>
      </c>
      <c r="V188" s="12">
        <f t="shared" si="412"/>
        <v>0</v>
      </c>
      <c r="W188" s="12">
        <f t="shared" si="412"/>
        <v>0</v>
      </c>
      <c r="X188" s="12">
        <f t="shared" si="412"/>
        <v>0</v>
      </c>
      <c r="Y188" s="12">
        <f t="shared" si="412"/>
        <v>0</v>
      </c>
      <c r="Z188" s="12">
        <f t="shared" si="412"/>
        <v>0</v>
      </c>
      <c r="AA188" s="12">
        <f t="shared" si="412"/>
        <v>0</v>
      </c>
      <c r="AB188" s="12">
        <f t="shared" si="412"/>
        <v>0</v>
      </c>
      <c r="AC188" s="12">
        <f t="shared" si="412"/>
        <v>0</v>
      </c>
      <c r="AD188" s="12">
        <f t="shared" si="412"/>
        <v>0</v>
      </c>
      <c r="AE188" s="12">
        <f t="shared" si="412"/>
        <v>0</v>
      </c>
      <c r="AF188" s="12">
        <f t="shared" si="412"/>
        <v>0</v>
      </c>
      <c r="AG188" s="12">
        <f t="shared" si="412"/>
        <v>0</v>
      </c>
      <c r="AH188" s="12">
        <f t="shared" si="412"/>
        <v>0</v>
      </c>
      <c r="AI188" s="12">
        <f t="shared" si="412"/>
        <v>0</v>
      </c>
      <c r="AJ188" s="12">
        <f t="shared" si="412"/>
        <v>0</v>
      </c>
      <c r="AK188" s="12">
        <f t="shared" si="412"/>
        <v>0</v>
      </c>
      <c r="AL188" s="12">
        <f t="shared" si="412"/>
        <v>0</v>
      </c>
      <c r="AM188" s="12">
        <f t="shared" si="412"/>
        <v>0</v>
      </c>
      <c r="AN188" s="12">
        <f t="shared" si="412"/>
        <v>0</v>
      </c>
      <c r="AO188" s="12">
        <f t="shared" ref="AO188:BT188" si="413">-AO187*($F$29+$F$30)</f>
        <v>0</v>
      </c>
      <c r="AP188" s="12">
        <f t="shared" si="413"/>
        <v>0</v>
      </c>
      <c r="AQ188" s="12">
        <f t="shared" si="413"/>
        <v>0</v>
      </c>
      <c r="AR188" s="12">
        <f t="shared" si="413"/>
        <v>0</v>
      </c>
      <c r="AS188" s="12">
        <f t="shared" si="413"/>
        <v>0</v>
      </c>
      <c r="AT188" s="12">
        <f t="shared" si="413"/>
        <v>0</v>
      </c>
      <c r="AU188" s="12">
        <f t="shared" si="413"/>
        <v>0</v>
      </c>
      <c r="AV188" s="12">
        <f t="shared" si="413"/>
        <v>0</v>
      </c>
      <c r="AW188" s="12">
        <f t="shared" si="413"/>
        <v>0</v>
      </c>
      <c r="AX188" s="12">
        <f t="shared" si="413"/>
        <v>0</v>
      </c>
      <c r="AY188" s="12">
        <f t="shared" si="413"/>
        <v>0</v>
      </c>
      <c r="AZ188" s="12">
        <f t="shared" si="413"/>
        <v>0</v>
      </c>
      <c r="BA188" s="12">
        <f t="shared" si="413"/>
        <v>0</v>
      </c>
      <c r="BB188" s="12">
        <f t="shared" si="413"/>
        <v>0</v>
      </c>
      <c r="BC188" s="12">
        <f t="shared" si="413"/>
        <v>0</v>
      </c>
      <c r="BD188" s="12">
        <f t="shared" si="413"/>
        <v>0</v>
      </c>
      <c r="BE188" s="12">
        <f t="shared" si="413"/>
        <v>0</v>
      </c>
      <c r="BF188" s="12">
        <f t="shared" si="413"/>
        <v>0</v>
      </c>
      <c r="BG188" s="12">
        <f t="shared" si="413"/>
        <v>0</v>
      </c>
      <c r="BH188" s="12">
        <f t="shared" si="413"/>
        <v>0</v>
      </c>
      <c r="BI188" s="12">
        <f t="shared" si="413"/>
        <v>0</v>
      </c>
      <c r="BJ188" s="12">
        <f t="shared" si="413"/>
        <v>0</v>
      </c>
      <c r="BK188" s="12">
        <f t="shared" si="413"/>
        <v>0</v>
      </c>
      <c r="BL188" s="12">
        <f t="shared" si="413"/>
        <v>0</v>
      </c>
      <c r="BM188" s="12">
        <f t="shared" si="413"/>
        <v>0</v>
      </c>
      <c r="BN188" s="12">
        <f t="shared" si="413"/>
        <v>0</v>
      </c>
      <c r="BO188" s="12">
        <f t="shared" si="413"/>
        <v>0</v>
      </c>
      <c r="BP188" s="12">
        <f t="shared" si="413"/>
        <v>0</v>
      </c>
      <c r="BQ188" s="12">
        <f t="shared" si="413"/>
        <v>0</v>
      </c>
      <c r="BR188" s="12">
        <f t="shared" si="413"/>
        <v>0</v>
      </c>
      <c r="BS188" s="12">
        <f t="shared" si="413"/>
        <v>0</v>
      </c>
      <c r="BT188" s="12">
        <f t="shared" si="413"/>
        <v>0</v>
      </c>
      <c r="BU188" s="12">
        <f t="shared" ref="BU188:CZ188" si="414">-BU187*($F$29+$F$30)</f>
        <v>0</v>
      </c>
      <c r="BV188" s="12">
        <f t="shared" si="414"/>
        <v>0</v>
      </c>
      <c r="BW188" s="12">
        <f t="shared" si="414"/>
        <v>-546.73579599653726</v>
      </c>
      <c r="BX188" s="12">
        <f t="shared" si="414"/>
        <v>-1634.217236196853</v>
      </c>
      <c r="BY188" s="12">
        <f t="shared" si="414"/>
        <v>-2703.7938503754535</v>
      </c>
      <c r="BZ188" s="12">
        <f t="shared" si="414"/>
        <v>-3743.7471333241024</v>
      </c>
      <c r="CA188" s="12">
        <f t="shared" si="414"/>
        <v>-4742.6831392505992</v>
      </c>
      <c r="CB188" s="12">
        <f t="shared" si="414"/>
        <v>-5689.6573162332134</v>
      </c>
      <c r="CC188" s="12">
        <f t="shared" si="414"/>
        <v>-6574.2944170218416</v>
      </c>
      <c r="CD188" s="12">
        <f t="shared" si="414"/>
        <v>-7386.902172418022</v>
      </c>
      <c r="CE188" s="12">
        <f t="shared" si="414"/>
        <v>-8118.5774818045338</v>
      </c>
      <c r="CF188" s="12">
        <f t="shared" si="414"/>
        <v>-8761.3039573788355</v>
      </c>
      <c r="CG188" s="12">
        <f t="shared" si="414"/>
        <v>-9308.0397533753749</v>
      </c>
      <c r="CH188" s="12">
        <f t="shared" si="414"/>
        <v>-9752.7947180013871</v>
      </c>
      <c r="CI188" s="12">
        <f t="shared" si="414"/>
        <v>-10090.696022793476</v>
      </c>
      <c r="CJ188" s="12">
        <f t="shared" si="414"/>
        <v>-10318.041550345943</v>
      </c>
      <c r="CK188" s="12">
        <f t="shared" si="414"/>
        <v>-10432.340455483814</v>
      </c>
      <c r="CL188" s="12">
        <f t="shared" si="414"/>
        <v>-10432.340455483814</v>
      </c>
      <c r="CM188" s="12">
        <f t="shared" si="414"/>
        <v>-10318.041550345943</v>
      </c>
      <c r="CN188" s="12">
        <f t="shared" si="414"/>
        <v>-10090.696022793476</v>
      </c>
      <c r="CO188" s="12">
        <f t="shared" si="414"/>
        <v>-9752.7947180013871</v>
      </c>
      <c r="CP188" s="12">
        <f t="shared" si="414"/>
        <v>-9308.0397533753749</v>
      </c>
      <c r="CQ188" s="12">
        <f t="shared" si="414"/>
        <v>-8761.3039573788392</v>
      </c>
      <c r="CR188" s="12">
        <f t="shared" si="414"/>
        <v>-8118.5774818045356</v>
      </c>
      <c r="CS188" s="12">
        <f t="shared" si="414"/>
        <v>-7386.9021724180229</v>
      </c>
      <c r="CT188" s="12">
        <f t="shared" si="414"/>
        <v>-6574.2944170218407</v>
      </c>
      <c r="CU188" s="12">
        <f t="shared" si="414"/>
        <v>-5689.657316233217</v>
      </c>
      <c r="CV188" s="12">
        <f t="shared" si="414"/>
        <v>-4742.6831392506001</v>
      </c>
      <c r="CW188" s="12">
        <f t="shared" si="414"/>
        <v>-3743.7471333241019</v>
      </c>
      <c r="CX188" s="12">
        <f t="shared" si="414"/>
        <v>-2703.7938503754517</v>
      </c>
      <c r="CY188" s="12">
        <f t="shared" si="414"/>
        <v>-1634.2172361968542</v>
      </c>
      <c r="CZ188" s="12">
        <f t="shared" si="414"/>
        <v>-546.73579599653704</v>
      </c>
      <c r="DA188" s="12">
        <f t="shared" ref="DA188:EF188" si="415">-DA187*($F$29+$F$30)</f>
        <v>0</v>
      </c>
      <c r="DB188" s="12">
        <f t="shared" si="415"/>
        <v>0</v>
      </c>
      <c r="DC188" s="12">
        <f t="shared" si="415"/>
        <v>0</v>
      </c>
      <c r="DD188" s="12">
        <f t="shared" si="415"/>
        <v>0</v>
      </c>
      <c r="DE188" s="12">
        <f t="shared" si="415"/>
        <v>0</v>
      </c>
      <c r="DF188" s="12">
        <f t="shared" si="415"/>
        <v>0</v>
      </c>
      <c r="DG188" s="12">
        <f t="shared" si="415"/>
        <v>0</v>
      </c>
      <c r="DH188" s="12">
        <f t="shared" si="415"/>
        <v>0</v>
      </c>
      <c r="DI188" s="12">
        <f t="shared" si="415"/>
        <v>0</v>
      </c>
      <c r="DJ188" s="12">
        <f t="shared" si="415"/>
        <v>0</v>
      </c>
      <c r="DK188" s="12">
        <f t="shared" si="415"/>
        <v>0</v>
      </c>
      <c r="DL188" s="12">
        <f t="shared" si="415"/>
        <v>0</v>
      </c>
      <c r="DM188" s="12">
        <f t="shared" si="415"/>
        <v>0</v>
      </c>
      <c r="DN188" s="12">
        <f t="shared" si="415"/>
        <v>0</v>
      </c>
      <c r="DO188" s="12">
        <f t="shared" si="415"/>
        <v>0</v>
      </c>
      <c r="DP188" s="12">
        <f t="shared" si="415"/>
        <v>0</v>
      </c>
      <c r="DQ188" s="12">
        <f t="shared" si="415"/>
        <v>0</v>
      </c>
      <c r="DR188" s="12">
        <f t="shared" si="415"/>
        <v>0</v>
      </c>
      <c r="DS188" s="12">
        <f t="shared" si="415"/>
        <v>0</v>
      </c>
      <c r="DT188" s="12">
        <f t="shared" si="415"/>
        <v>0</v>
      </c>
      <c r="DU188" s="12">
        <f t="shared" si="415"/>
        <v>0</v>
      </c>
      <c r="DV188" s="12">
        <f t="shared" si="415"/>
        <v>0</v>
      </c>
      <c r="DW188" s="12">
        <f t="shared" si="415"/>
        <v>0</v>
      </c>
      <c r="DX188" s="12">
        <f t="shared" si="415"/>
        <v>0</v>
      </c>
      <c r="DY188" s="12">
        <f t="shared" si="415"/>
        <v>0</v>
      </c>
      <c r="DZ188" s="12">
        <f t="shared" si="415"/>
        <v>0</v>
      </c>
      <c r="EA188" s="12">
        <f t="shared" si="415"/>
        <v>0</v>
      </c>
      <c r="EB188" s="12">
        <f t="shared" si="415"/>
        <v>0</v>
      </c>
      <c r="EC188" s="12">
        <f t="shared" si="415"/>
        <v>0</v>
      </c>
      <c r="ED188" s="12">
        <f t="shared" si="415"/>
        <v>0</v>
      </c>
      <c r="EE188" s="12">
        <f t="shared" si="415"/>
        <v>0</v>
      </c>
      <c r="EF188" s="12">
        <f t="shared" si="415"/>
        <v>0</v>
      </c>
      <c r="EG188" s="12">
        <f t="shared" ref="EG188:FH188" si="416">-EG187*($F$29+$F$30)</f>
        <v>0</v>
      </c>
      <c r="EH188" s="12">
        <f t="shared" si="416"/>
        <v>0</v>
      </c>
      <c r="EI188" s="12">
        <f t="shared" si="416"/>
        <v>0</v>
      </c>
      <c r="EJ188" s="12">
        <f t="shared" si="416"/>
        <v>0</v>
      </c>
      <c r="EK188" s="12">
        <f t="shared" si="416"/>
        <v>0</v>
      </c>
      <c r="EL188" s="12">
        <f t="shared" si="416"/>
        <v>0</v>
      </c>
      <c r="EM188" s="12">
        <f t="shared" si="416"/>
        <v>0</v>
      </c>
      <c r="EN188" s="12">
        <f t="shared" si="416"/>
        <v>0</v>
      </c>
      <c r="EO188" s="12">
        <f t="shared" si="416"/>
        <v>0</v>
      </c>
      <c r="EP188" s="12">
        <f t="shared" si="416"/>
        <v>0</v>
      </c>
      <c r="EQ188" s="12">
        <f t="shared" si="416"/>
        <v>0</v>
      </c>
      <c r="ER188" s="12">
        <f t="shared" si="416"/>
        <v>0</v>
      </c>
      <c r="ES188" s="12">
        <f t="shared" si="416"/>
        <v>0</v>
      </c>
      <c r="ET188" s="12">
        <f t="shared" si="416"/>
        <v>0</v>
      </c>
      <c r="EU188" s="12">
        <f t="shared" si="416"/>
        <v>0</v>
      </c>
      <c r="EV188" s="12">
        <f t="shared" si="416"/>
        <v>0</v>
      </c>
      <c r="EW188" s="12">
        <f t="shared" si="416"/>
        <v>0</v>
      </c>
      <c r="EX188" s="12">
        <f t="shared" si="416"/>
        <v>0</v>
      </c>
      <c r="EY188" s="12">
        <f t="shared" si="416"/>
        <v>0</v>
      </c>
      <c r="EZ188" s="12">
        <f t="shared" si="416"/>
        <v>0</v>
      </c>
      <c r="FA188" s="12">
        <f t="shared" si="416"/>
        <v>0</v>
      </c>
      <c r="FB188" s="12">
        <f t="shared" si="416"/>
        <v>0</v>
      </c>
      <c r="FC188" s="12">
        <f t="shared" si="416"/>
        <v>0</v>
      </c>
      <c r="FD188" s="12">
        <f t="shared" si="416"/>
        <v>0</v>
      </c>
      <c r="FE188" s="12">
        <f t="shared" si="416"/>
        <v>0</v>
      </c>
      <c r="FF188" s="12">
        <f t="shared" si="416"/>
        <v>0</v>
      </c>
      <c r="FG188" s="12">
        <f t="shared" si="416"/>
        <v>0</v>
      </c>
      <c r="FH188" s="12">
        <f t="shared" si="416"/>
        <v>0</v>
      </c>
    </row>
    <row r="189" spans="1:164" x14ac:dyDescent="0.2">
      <c r="A189" s="10"/>
      <c r="B189" s="10"/>
      <c r="C189" s="10" t="s">
        <v>405</v>
      </c>
      <c r="D189" s="10"/>
      <c r="E189" s="10"/>
      <c r="F189" s="10"/>
      <c r="G189" s="10"/>
      <c r="H189" s="12">
        <f t="shared" si="406"/>
        <v>-2782.1529999999998</v>
      </c>
      <c r="I189" s="12">
        <f t="shared" ref="I189:AN189" si="417">-IF(AND(I$6&gt;=EDATE($F$34,-12),I$6&lt;$F$34),$F$56*$F$29/12,0)</f>
        <v>0</v>
      </c>
      <c r="J189" s="12">
        <f t="shared" si="417"/>
        <v>0</v>
      </c>
      <c r="K189" s="12">
        <f t="shared" si="417"/>
        <v>0</v>
      </c>
      <c r="L189" s="12">
        <f t="shared" si="417"/>
        <v>0</v>
      </c>
      <c r="M189" s="12">
        <f t="shared" si="417"/>
        <v>0</v>
      </c>
      <c r="N189" s="12">
        <f t="shared" si="417"/>
        <v>0</v>
      </c>
      <c r="O189" s="12">
        <f t="shared" si="417"/>
        <v>0</v>
      </c>
      <c r="P189" s="12">
        <f t="shared" si="417"/>
        <v>0</v>
      </c>
      <c r="Q189" s="12">
        <f t="shared" si="417"/>
        <v>0</v>
      </c>
      <c r="R189" s="12">
        <f t="shared" si="417"/>
        <v>0</v>
      </c>
      <c r="S189" s="12">
        <f t="shared" si="417"/>
        <v>0</v>
      </c>
      <c r="T189" s="12">
        <f t="shared" si="417"/>
        <v>0</v>
      </c>
      <c r="U189" s="12">
        <f t="shared" si="417"/>
        <v>0</v>
      </c>
      <c r="V189" s="12">
        <f t="shared" si="417"/>
        <v>0</v>
      </c>
      <c r="W189" s="12">
        <f t="shared" si="417"/>
        <v>0</v>
      </c>
      <c r="X189" s="12">
        <f t="shared" si="417"/>
        <v>0</v>
      </c>
      <c r="Y189" s="12">
        <f t="shared" si="417"/>
        <v>0</v>
      </c>
      <c r="Z189" s="12">
        <f t="shared" si="417"/>
        <v>0</v>
      </c>
      <c r="AA189" s="12">
        <f t="shared" si="417"/>
        <v>0</v>
      </c>
      <c r="AB189" s="12">
        <f t="shared" si="417"/>
        <v>0</v>
      </c>
      <c r="AC189" s="12">
        <f t="shared" si="417"/>
        <v>0</v>
      </c>
      <c r="AD189" s="12">
        <f t="shared" si="417"/>
        <v>0</v>
      </c>
      <c r="AE189" s="12">
        <f t="shared" si="417"/>
        <v>0</v>
      </c>
      <c r="AF189" s="12">
        <f t="shared" si="417"/>
        <v>0</v>
      </c>
      <c r="AG189" s="12">
        <f t="shared" si="417"/>
        <v>0</v>
      </c>
      <c r="AH189" s="12">
        <f t="shared" si="417"/>
        <v>0</v>
      </c>
      <c r="AI189" s="12">
        <f t="shared" si="417"/>
        <v>0</v>
      </c>
      <c r="AJ189" s="12">
        <f t="shared" si="417"/>
        <v>0</v>
      </c>
      <c r="AK189" s="12">
        <f t="shared" si="417"/>
        <v>0</v>
      </c>
      <c r="AL189" s="12">
        <f t="shared" si="417"/>
        <v>0</v>
      </c>
      <c r="AM189" s="12">
        <f t="shared" si="417"/>
        <v>0</v>
      </c>
      <c r="AN189" s="12">
        <f t="shared" si="417"/>
        <v>0</v>
      </c>
      <c r="AO189" s="12">
        <f t="shared" ref="AO189:BT189" si="418">-IF(AND(AO$6&gt;=EDATE($F$34,-12),AO$6&lt;$F$34),$F$56*$F$29/12,0)</f>
        <v>0</v>
      </c>
      <c r="AP189" s="12">
        <f t="shared" si="418"/>
        <v>0</v>
      </c>
      <c r="AQ189" s="12">
        <f t="shared" si="418"/>
        <v>0</v>
      </c>
      <c r="AR189" s="12">
        <f t="shared" si="418"/>
        <v>0</v>
      </c>
      <c r="AS189" s="12">
        <f t="shared" si="418"/>
        <v>0</v>
      </c>
      <c r="AT189" s="12">
        <f t="shared" si="418"/>
        <v>0</v>
      </c>
      <c r="AU189" s="12">
        <f t="shared" si="418"/>
        <v>0</v>
      </c>
      <c r="AV189" s="12">
        <f t="shared" si="418"/>
        <v>0</v>
      </c>
      <c r="AW189" s="12">
        <f t="shared" si="418"/>
        <v>0</v>
      </c>
      <c r="AX189" s="12">
        <f t="shared" si="418"/>
        <v>0</v>
      </c>
      <c r="AY189" s="12">
        <f t="shared" si="418"/>
        <v>0</v>
      </c>
      <c r="AZ189" s="12">
        <f t="shared" si="418"/>
        <v>0</v>
      </c>
      <c r="BA189" s="12">
        <f t="shared" si="418"/>
        <v>0</v>
      </c>
      <c r="BB189" s="12">
        <f t="shared" si="418"/>
        <v>0</v>
      </c>
      <c r="BC189" s="12">
        <f t="shared" si="418"/>
        <v>0</v>
      </c>
      <c r="BD189" s="12">
        <f t="shared" si="418"/>
        <v>0</v>
      </c>
      <c r="BE189" s="12">
        <f t="shared" si="418"/>
        <v>0</v>
      </c>
      <c r="BF189" s="12">
        <f t="shared" si="418"/>
        <v>0</v>
      </c>
      <c r="BG189" s="12">
        <f t="shared" si="418"/>
        <v>0</v>
      </c>
      <c r="BH189" s="12">
        <f t="shared" si="418"/>
        <v>0</v>
      </c>
      <c r="BI189" s="12">
        <f t="shared" si="418"/>
        <v>0</v>
      </c>
      <c r="BJ189" s="12">
        <f t="shared" si="418"/>
        <v>0</v>
      </c>
      <c r="BK189" s="12">
        <f t="shared" si="418"/>
        <v>-231.84608333333333</v>
      </c>
      <c r="BL189" s="12">
        <f t="shared" si="418"/>
        <v>-231.84608333333333</v>
      </c>
      <c r="BM189" s="12">
        <f t="shared" si="418"/>
        <v>-231.84608333333333</v>
      </c>
      <c r="BN189" s="12">
        <f t="shared" si="418"/>
        <v>-231.84608333333333</v>
      </c>
      <c r="BO189" s="12">
        <f t="shared" si="418"/>
        <v>-231.84608333333333</v>
      </c>
      <c r="BP189" s="12">
        <f t="shared" si="418"/>
        <v>-231.84608333333333</v>
      </c>
      <c r="BQ189" s="12">
        <f t="shared" si="418"/>
        <v>-231.84608333333333</v>
      </c>
      <c r="BR189" s="12">
        <f t="shared" si="418"/>
        <v>-231.84608333333333</v>
      </c>
      <c r="BS189" s="12">
        <f t="shared" si="418"/>
        <v>-231.84608333333333</v>
      </c>
      <c r="BT189" s="12">
        <f t="shared" si="418"/>
        <v>-231.84608333333333</v>
      </c>
      <c r="BU189" s="12">
        <f t="shared" ref="BU189:CZ189" si="419">-IF(AND(BU$6&gt;=EDATE($F$34,-12),BU$6&lt;$F$34),$F$56*$F$29/12,0)</f>
        <v>-231.84608333333333</v>
      </c>
      <c r="BV189" s="12">
        <f t="shared" si="419"/>
        <v>-231.84608333333333</v>
      </c>
      <c r="BW189" s="12">
        <f t="shared" si="419"/>
        <v>0</v>
      </c>
      <c r="BX189" s="12">
        <f t="shared" si="419"/>
        <v>0</v>
      </c>
      <c r="BY189" s="12">
        <f t="shared" si="419"/>
        <v>0</v>
      </c>
      <c r="BZ189" s="12">
        <f t="shared" si="419"/>
        <v>0</v>
      </c>
      <c r="CA189" s="12">
        <f t="shared" si="419"/>
        <v>0</v>
      </c>
      <c r="CB189" s="12">
        <f t="shared" si="419"/>
        <v>0</v>
      </c>
      <c r="CC189" s="12">
        <f t="shared" si="419"/>
        <v>0</v>
      </c>
      <c r="CD189" s="12">
        <f t="shared" si="419"/>
        <v>0</v>
      </c>
      <c r="CE189" s="12">
        <f t="shared" si="419"/>
        <v>0</v>
      </c>
      <c r="CF189" s="12">
        <f t="shared" si="419"/>
        <v>0</v>
      </c>
      <c r="CG189" s="12">
        <f t="shared" si="419"/>
        <v>0</v>
      </c>
      <c r="CH189" s="12">
        <f t="shared" si="419"/>
        <v>0</v>
      </c>
      <c r="CI189" s="12">
        <f t="shared" si="419"/>
        <v>0</v>
      </c>
      <c r="CJ189" s="12">
        <f t="shared" si="419"/>
        <v>0</v>
      </c>
      <c r="CK189" s="12">
        <f t="shared" si="419"/>
        <v>0</v>
      </c>
      <c r="CL189" s="12">
        <f t="shared" si="419"/>
        <v>0</v>
      </c>
      <c r="CM189" s="12">
        <f t="shared" si="419"/>
        <v>0</v>
      </c>
      <c r="CN189" s="12">
        <f t="shared" si="419"/>
        <v>0</v>
      </c>
      <c r="CO189" s="12">
        <f t="shared" si="419"/>
        <v>0</v>
      </c>
      <c r="CP189" s="12">
        <f t="shared" si="419"/>
        <v>0</v>
      </c>
      <c r="CQ189" s="12">
        <f t="shared" si="419"/>
        <v>0</v>
      </c>
      <c r="CR189" s="12">
        <f t="shared" si="419"/>
        <v>0</v>
      </c>
      <c r="CS189" s="12">
        <f t="shared" si="419"/>
        <v>0</v>
      </c>
      <c r="CT189" s="12">
        <f t="shared" si="419"/>
        <v>0</v>
      </c>
      <c r="CU189" s="12">
        <f t="shared" si="419"/>
        <v>0</v>
      </c>
      <c r="CV189" s="12">
        <f t="shared" si="419"/>
        <v>0</v>
      </c>
      <c r="CW189" s="12">
        <f t="shared" si="419"/>
        <v>0</v>
      </c>
      <c r="CX189" s="12">
        <f t="shared" si="419"/>
        <v>0</v>
      </c>
      <c r="CY189" s="12">
        <f t="shared" si="419"/>
        <v>0</v>
      </c>
      <c r="CZ189" s="12">
        <f t="shared" si="419"/>
        <v>0</v>
      </c>
      <c r="DA189" s="12">
        <f t="shared" ref="DA189:EF189" si="420">-IF(AND(DA$6&gt;=EDATE($F$34,-12),DA$6&lt;$F$34),$F$56*$F$29/12,0)</f>
        <v>0</v>
      </c>
      <c r="DB189" s="12">
        <f t="shared" si="420"/>
        <v>0</v>
      </c>
      <c r="DC189" s="12">
        <f t="shared" si="420"/>
        <v>0</v>
      </c>
      <c r="DD189" s="12">
        <f t="shared" si="420"/>
        <v>0</v>
      </c>
      <c r="DE189" s="12">
        <f t="shared" si="420"/>
        <v>0</v>
      </c>
      <c r="DF189" s="12">
        <f t="shared" si="420"/>
        <v>0</v>
      </c>
      <c r="DG189" s="12">
        <f t="shared" si="420"/>
        <v>0</v>
      </c>
      <c r="DH189" s="12">
        <f t="shared" si="420"/>
        <v>0</v>
      </c>
      <c r="DI189" s="12">
        <f t="shared" si="420"/>
        <v>0</v>
      </c>
      <c r="DJ189" s="12">
        <f t="shared" si="420"/>
        <v>0</v>
      </c>
      <c r="DK189" s="12">
        <f t="shared" si="420"/>
        <v>0</v>
      </c>
      <c r="DL189" s="12">
        <f t="shared" si="420"/>
        <v>0</v>
      </c>
      <c r="DM189" s="12">
        <f t="shared" si="420"/>
        <v>0</v>
      </c>
      <c r="DN189" s="12">
        <f t="shared" si="420"/>
        <v>0</v>
      </c>
      <c r="DO189" s="12">
        <f t="shared" si="420"/>
        <v>0</v>
      </c>
      <c r="DP189" s="12">
        <f t="shared" si="420"/>
        <v>0</v>
      </c>
      <c r="DQ189" s="12">
        <f t="shared" si="420"/>
        <v>0</v>
      </c>
      <c r="DR189" s="12">
        <f t="shared" si="420"/>
        <v>0</v>
      </c>
      <c r="DS189" s="12">
        <f t="shared" si="420"/>
        <v>0</v>
      </c>
      <c r="DT189" s="12">
        <f t="shared" si="420"/>
        <v>0</v>
      </c>
      <c r="DU189" s="12">
        <f t="shared" si="420"/>
        <v>0</v>
      </c>
      <c r="DV189" s="12">
        <f t="shared" si="420"/>
        <v>0</v>
      </c>
      <c r="DW189" s="12">
        <f t="shared" si="420"/>
        <v>0</v>
      </c>
      <c r="DX189" s="12">
        <f t="shared" si="420"/>
        <v>0</v>
      </c>
      <c r="DY189" s="12">
        <f t="shared" si="420"/>
        <v>0</v>
      </c>
      <c r="DZ189" s="12">
        <f t="shared" si="420"/>
        <v>0</v>
      </c>
      <c r="EA189" s="12">
        <f t="shared" si="420"/>
        <v>0</v>
      </c>
      <c r="EB189" s="12">
        <f t="shared" si="420"/>
        <v>0</v>
      </c>
      <c r="EC189" s="12">
        <f t="shared" si="420"/>
        <v>0</v>
      </c>
      <c r="ED189" s="12">
        <f t="shared" si="420"/>
        <v>0</v>
      </c>
      <c r="EE189" s="12">
        <f t="shared" si="420"/>
        <v>0</v>
      </c>
      <c r="EF189" s="12">
        <f t="shared" si="420"/>
        <v>0</v>
      </c>
      <c r="EG189" s="12">
        <f t="shared" ref="EG189:FH189" si="421">-IF(AND(EG$6&gt;=EDATE($F$34,-12),EG$6&lt;$F$34),$F$56*$F$29/12,0)</f>
        <v>0</v>
      </c>
      <c r="EH189" s="12">
        <f t="shared" si="421"/>
        <v>0</v>
      </c>
      <c r="EI189" s="12">
        <f t="shared" si="421"/>
        <v>0</v>
      </c>
      <c r="EJ189" s="12">
        <f t="shared" si="421"/>
        <v>0</v>
      </c>
      <c r="EK189" s="12">
        <f t="shared" si="421"/>
        <v>0</v>
      </c>
      <c r="EL189" s="12">
        <f t="shared" si="421"/>
        <v>0</v>
      </c>
      <c r="EM189" s="12">
        <f t="shared" si="421"/>
        <v>0</v>
      </c>
      <c r="EN189" s="12">
        <f t="shared" si="421"/>
        <v>0</v>
      </c>
      <c r="EO189" s="12">
        <f t="shared" si="421"/>
        <v>0</v>
      </c>
      <c r="EP189" s="12">
        <f t="shared" si="421"/>
        <v>0</v>
      </c>
      <c r="EQ189" s="12">
        <f t="shared" si="421"/>
        <v>0</v>
      </c>
      <c r="ER189" s="12">
        <f t="shared" si="421"/>
        <v>0</v>
      </c>
      <c r="ES189" s="12">
        <f t="shared" si="421"/>
        <v>0</v>
      </c>
      <c r="ET189" s="12">
        <f t="shared" si="421"/>
        <v>0</v>
      </c>
      <c r="EU189" s="12">
        <f t="shared" si="421"/>
        <v>0</v>
      </c>
      <c r="EV189" s="12">
        <f t="shared" si="421"/>
        <v>0</v>
      </c>
      <c r="EW189" s="12">
        <f t="shared" si="421"/>
        <v>0</v>
      </c>
      <c r="EX189" s="12">
        <f t="shared" si="421"/>
        <v>0</v>
      </c>
      <c r="EY189" s="12">
        <f t="shared" si="421"/>
        <v>0</v>
      </c>
      <c r="EZ189" s="12">
        <f t="shared" si="421"/>
        <v>0</v>
      </c>
      <c r="FA189" s="12">
        <f t="shared" si="421"/>
        <v>0</v>
      </c>
      <c r="FB189" s="12">
        <f t="shared" si="421"/>
        <v>0</v>
      </c>
      <c r="FC189" s="12">
        <f t="shared" si="421"/>
        <v>0</v>
      </c>
      <c r="FD189" s="12">
        <f t="shared" si="421"/>
        <v>0</v>
      </c>
      <c r="FE189" s="12">
        <f t="shared" si="421"/>
        <v>0</v>
      </c>
      <c r="FF189" s="12">
        <f t="shared" si="421"/>
        <v>0</v>
      </c>
      <c r="FG189" s="12">
        <f t="shared" si="421"/>
        <v>0</v>
      </c>
      <c r="FH189" s="12">
        <f t="shared" si="421"/>
        <v>0</v>
      </c>
    </row>
    <row r="190" spans="1:164" x14ac:dyDescent="0.2">
      <c r="A190" s="10"/>
      <c r="B190" s="10"/>
      <c r="C190" s="10" t="s">
        <v>911</v>
      </c>
      <c r="D190" s="10"/>
      <c r="E190" s="10"/>
      <c r="F190" s="10"/>
      <c r="G190" s="10"/>
      <c r="H190" s="12">
        <f t="shared" si="406"/>
        <v>-695.5382500000004</v>
      </c>
      <c r="I190" s="12">
        <f t="shared" ref="I190:AN190" si="422">-IF(AND(I186&gt;=1,I186&lt;=$F$31),$F$57*$F$29/$F$31,0)</f>
        <v>0</v>
      </c>
      <c r="J190" s="12">
        <f t="shared" si="422"/>
        <v>0</v>
      </c>
      <c r="K190" s="12">
        <f t="shared" si="422"/>
        <v>0</v>
      </c>
      <c r="L190" s="12">
        <f t="shared" si="422"/>
        <v>0</v>
      </c>
      <c r="M190" s="12">
        <f t="shared" si="422"/>
        <v>0</v>
      </c>
      <c r="N190" s="12">
        <f t="shared" si="422"/>
        <v>0</v>
      </c>
      <c r="O190" s="12">
        <f t="shared" si="422"/>
        <v>0</v>
      </c>
      <c r="P190" s="12">
        <f t="shared" si="422"/>
        <v>0</v>
      </c>
      <c r="Q190" s="12">
        <f t="shared" si="422"/>
        <v>0</v>
      </c>
      <c r="R190" s="12">
        <f t="shared" si="422"/>
        <v>0</v>
      </c>
      <c r="S190" s="12">
        <f t="shared" si="422"/>
        <v>0</v>
      </c>
      <c r="T190" s="12">
        <f t="shared" si="422"/>
        <v>0</v>
      </c>
      <c r="U190" s="12">
        <f t="shared" si="422"/>
        <v>0</v>
      </c>
      <c r="V190" s="12">
        <f t="shared" si="422"/>
        <v>0</v>
      </c>
      <c r="W190" s="12">
        <f t="shared" si="422"/>
        <v>0</v>
      </c>
      <c r="X190" s="12">
        <f t="shared" si="422"/>
        <v>0</v>
      </c>
      <c r="Y190" s="12">
        <f t="shared" si="422"/>
        <v>0</v>
      </c>
      <c r="Z190" s="12">
        <f t="shared" si="422"/>
        <v>0</v>
      </c>
      <c r="AA190" s="12">
        <f t="shared" si="422"/>
        <v>0</v>
      </c>
      <c r="AB190" s="12">
        <f t="shared" si="422"/>
        <v>0</v>
      </c>
      <c r="AC190" s="12">
        <f t="shared" si="422"/>
        <v>0</v>
      </c>
      <c r="AD190" s="12">
        <f t="shared" si="422"/>
        <v>0</v>
      </c>
      <c r="AE190" s="12">
        <f t="shared" si="422"/>
        <v>0</v>
      </c>
      <c r="AF190" s="12">
        <f t="shared" si="422"/>
        <v>0</v>
      </c>
      <c r="AG190" s="12">
        <f t="shared" si="422"/>
        <v>0</v>
      </c>
      <c r="AH190" s="12">
        <f t="shared" si="422"/>
        <v>0</v>
      </c>
      <c r="AI190" s="12">
        <f t="shared" si="422"/>
        <v>0</v>
      </c>
      <c r="AJ190" s="12">
        <f t="shared" si="422"/>
        <v>0</v>
      </c>
      <c r="AK190" s="12">
        <f t="shared" si="422"/>
        <v>0</v>
      </c>
      <c r="AL190" s="12">
        <f t="shared" si="422"/>
        <v>0</v>
      </c>
      <c r="AM190" s="12">
        <f t="shared" si="422"/>
        <v>0</v>
      </c>
      <c r="AN190" s="12">
        <f t="shared" si="422"/>
        <v>0</v>
      </c>
      <c r="AO190" s="12">
        <f t="shared" ref="AO190:BT190" si="423">-IF(AND(AO186&gt;=1,AO186&lt;=$F$31),$F$57*$F$29/$F$31,0)</f>
        <v>0</v>
      </c>
      <c r="AP190" s="12">
        <f t="shared" si="423"/>
        <v>0</v>
      </c>
      <c r="AQ190" s="12">
        <f t="shared" si="423"/>
        <v>0</v>
      </c>
      <c r="AR190" s="12">
        <f t="shared" si="423"/>
        <v>0</v>
      </c>
      <c r="AS190" s="12">
        <f t="shared" si="423"/>
        <v>0</v>
      </c>
      <c r="AT190" s="12">
        <f t="shared" si="423"/>
        <v>0</v>
      </c>
      <c r="AU190" s="12">
        <f t="shared" si="423"/>
        <v>0</v>
      </c>
      <c r="AV190" s="12">
        <f t="shared" si="423"/>
        <v>0</v>
      </c>
      <c r="AW190" s="12">
        <f t="shared" si="423"/>
        <v>0</v>
      </c>
      <c r="AX190" s="12">
        <f t="shared" si="423"/>
        <v>0</v>
      </c>
      <c r="AY190" s="12">
        <f t="shared" si="423"/>
        <v>0</v>
      </c>
      <c r="AZ190" s="12">
        <f t="shared" si="423"/>
        <v>0</v>
      </c>
      <c r="BA190" s="12">
        <f t="shared" si="423"/>
        <v>0</v>
      </c>
      <c r="BB190" s="12">
        <f t="shared" si="423"/>
        <v>0</v>
      </c>
      <c r="BC190" s="12">
        <f t="shared" si="423"/>
        <v>0</v>
      </c>
      <c r="BD190" s="12">
        <f t="shared" si="423"/>
        <v>0</v>
      </c>
      <c r="BE190" s="12">
        <f t="shared" si="423"/>
        <v>0</v>
      </c>
      <c r="BF190" s="12">
        <f t="shared" si="423"/>
        <v>0</v>
      </c>
      <c r="BG190" s="12">
        <f t="shared" si="423"/>
        <v>0</v>
      </c>
      <c r="BH190" s="12">
        <f t="shared" si="423"/>
        <v>0</v>
      </c>
      <c r="BI190" s="12">
        <f t="shared" si="423"/>
        <v>0</v>
      </c>
      <c r="BJ190" s="12">
        <f t="shared" si="423"/>
        <v>0</v>
      </c>
      <c r="BK190" s="12">
        <f t="shared" si="423"/>
        <v>0</v>
      </c>
      <c r="BL190" s="12">
        <f t="shared" si="423"/>
        <v>0</v>
      </c>
      <c r="BM190" s="12">
        <f t="shared" si="423"/>
        <v>0</v>
      </c>
      <c r="BN190" s="12">
        <f t="shared" si="423"/>
        <v>0</v>
      </c>
      <c r="BO190" s="12">
        <f t="shared" si="423"/>
        <v>0</v>
      </c>
      <c r="BP190" s="12">
        <f t="shared" si="423"/>
        <v>0</v>
      </c>
      <c r="BQ190" s="12">
        <f t="shared" si="423"/>
        <v>0</v>
      </c>
      <c r="BR190" s="12">
        <f t="shared" si="423"/>
        <v>0</v>
      </c>
      <c r="BS190" s="12">
        <f t="shared" si="423"/>
        <v>0</v>
      </c>
      <c r="BT190" s="12">
        <f t="shared" si="423"/>
        <v>0</v>
      </c>
      <c r="BU190" s="12">
        <f t="shared" ref="BU190:CZ190" si="424">-IF(AND(BU186&gt;=1,BU186&lt;=$F$31),$F$57*$F$29/$F$31,0)</f>
        <v>0</v>
      </c>
      <c r="BV190" s="12">
        <f t="shared" si="424"/>
        <v>0</v>
      </c>
      <c r="BW190" s="12">
        <f t="shared" si="424"/>
        <v>-23.184608333333333</v>
      </c>
      <c r="BX190" s="12">
        <f t="shared" si="424"/>
        <v>-23.184608333333333</v>
      </c>
      <c r="BY190" s="12">
        <f t="shared" si="424"/>
        <v>-23.184608333333333</v>
      </c>
      <c r="BZ190" s="12">
        <f t="shared" si="424"/>
        <v>-23.184608333333333</v>
      </c>
      <c r="CA190" s="12">
        <f t="shared" si="424"/>
        <v>-23.184608333333333</v>
      </c>
      <c r="CB190" s="12">
        <f t="shared" si="424"/>
        <v>-23.184608333333333</v>
      </c>
      <c r="CC190" s="12">
        <f t="shared" si="424"/>
        <v>-23.184608333333333</v>
      </c>
      <c r="CD190" s="12">
        <f t="shared" si="424"/>
        <v>-23.184608333333333</v>
      </c>
      <c r="CE190" s="12">
        <f t="shared" si="424"/>
        <v>-23.184608333333333</v>
      </c>
      <c r="CF190" s="12">
        <f t="shared" si="424"/>
        <v>-23.184608333333333</v>
      </c>
      <c r="CG190" s="12">
        <f t="shared" si="424"/>
        <v>-23.184608333333333</v>
      </c>
      <c r="CH190" s="12">
        <f t="shared" si="424"/>
        <v>-23.184608333333333</v>
      </c>
      <c r="CI190" s="12">
        <f t="shared" si="424"/>
        <v>-23.184608333333333</v>
      </c>
      <c r="CJ190" s="12">
        <f t="shared" si="424"/>
        <v>-23.184608333333333</v>
      </c>
      <c r="CK190" s="12">
        <f t="shared" si="424"/>
        <v>-23.184608333333333</v>
      </c>
      <c r="CL190" s="12">
        <f t="shared" si="424"/>
        <v>-23.184608333333333</v>
      </c>
      <c r="CM190" s="12">
        <f t="shared" si="424"/>
        <v>-23.184608333333333</v>
      </c>
      <c r="CN190" s="12">
        <f t="shared" si="424"/>
        <v>-23.184608333333333</v>
      </c>
      <c r="CO190" s="12">
        <f t="shared" si="424"/>
        <v>-23.184608333333333</v>
      </c>
      <c r="CP190" s="12">
        <f t="shared" si="424"/>
        <v>-23.184608333333333</v>
      </c>
      <c r="CQ190" s="12">
        <f t="shared" si="424"/>
        <v>-23.184608333333333</v>
      </c>
      <c r="CR190" s="12">
        <f t="shared" si="424"/>
        <v>-23.184608333333333</v>
      </c>
      <c r="CS190" s="12">
        <f t="shared" si="424"/>
        <v>-23.184608333333333</v>
      </c>
      <c r="CT190" s="12">
        <f t="shared" si="424"/>
        <v>-23.184608333333333</v>
      </c>
      <c r="CU190" s="12">
        <f t="shared" si="424"/>
        <v>-23.184608333333333</v>
      </c>
      <c r="CV190" s="12">
        <f t="shared" si="424"/>
        <v>-23.184608333333333</v>
      </c>
      <c r="CW190" s="12">
        <f t="shared" si="424"/>
        <v>-23.184608333333333</v>
      </c>
      <c r="CX190" s="12">
        <f t="shared" si="424"/>
        <v>-23.184608333333333</v>
      </c>
      <c r="CY190" s="12">
        <f t="shared" si="424"/>
        <v>-23.184608333333333</v>
      </c>
      <c r="CZ190" s="12">
        <f t="shared" si="424"/>
        <v>-23.184608333333333</v>
      </c>
      <c r="DA190" s="12">
        <f t="shared" ref="DA190:EF190" si="425">-IF(AND(DA186&gt;=1,DA186&lt;=$F$31),$F$57*$F$29/$F$31,0)</f>
        <v>0</v>
      </c>
      <c r="DB190" s="12">
        <f t="shared" si="425"/>
        <v>0</v>
      </c>
      <c r="DC190" s="12">
        <f t="shared" si="425"/>
        <v>0</v>
      </c>
      <c r="DD190" s="12">
        <f t="shared" si="425"/>
        <v>0</v>
      </c>
      <c r="DE190" s="12">
        <f t="shared" si="425"/>
        <v>0</v>
      </c>
      <c r="DF190" s="12">
        <f t="shared" si="425"/>
        <v>0</v>
      </c>
      <c r="DG190" s="12">
        <f t="shared" si="425"/>
        <v>0</v>
      </c>
      <c r="DH190" s="12">
        <f t="shared" si="425"/>
        <v>0</v>
      </c>
      <c r="DI190" s="12">
        <f t="shared" si="425"/>
        <v>0</v>
      </c>
      <c r="DJ190" s="12">
        <f t="shared" si="425"/>
        <v>0</v>
      </c>
      <c r="DK190" s="12">
        <f t="shared" si="425"/>
        <v>0</v>
      </c>
      <c r="DL190" s="12">
        <f t="shared" si="425"/>
        <v>0</v>
      </c>
      <c r="DM190" s="12">
        <f t="shared" si="425"/>
        <v>0</v>
      </c>
      <c r="DN190" s="12">
        <f t="shared" si="425"/>
        <v>0</v>
      </c>
      <c r="DO190" s="12">
        <f t="shared" si="425"/>
        <v>0</v>
      </c>
      <c r="DP190" s="12">
        <f t="shared" si="425"/>
        <v>0</v>
      </c>
      <c r="DQ190" s="12">
        <f t="shared" si="425"/>
        <v>0</v>
      </c>
      <c r="DR190" s="12">
        <f t="shared" si="425"/>
        <v>0</v>
      </c>
      <c r="DS190" s="12">
        <f t="shared" si="425"/>
        <v>0</v>
      </c>
      <c r="DT190" s="12">
        <f t="shared" si="425"/>
        <v>0</v>
      </c>
      <c r="DU190" s="12">
        <f t="shared" si="425"/>
        <v>0</v>
      </c>
      <c r="DV190" s="12">
        <f t="shared" si="425"/>
        <v>0</v>
      </c>
      <c r="DW190" s="12">
        <f t="shared" si="425"/>
        <v>0</v>
      </c>
      <c r="DX190" s="12">
        <f t="shared" si="425"/>
        <v>0</v>
      </c>
      <c r="DY190" s="12">
        <f t="shared" si="425"/>
        <v>0</v>
      </c>
      <c r="DZ190" s="12">
        <f t="shared" si="425"/>
        <v>0</v>
      </c>
      <c r="EA190" s="12">
        <f t="shared" si="425"/>
        <v>0</v>
      </c>
      <c r="EB190" s="12">
        <f t="shared" si="425"/>
        <v>0</v>
      </c>
      <c r="EC190" s="12">
        <f t="shared" si="425"/>
        <v>0</v>
      </c>
      <c r="ED190" s="12">
        <f t="shared" si="425"/>
        <v>0</v>
      </c>
      <c r="EE190" s="12">
        <f t="shared" si="425"/>
        <v>0</v>
      </c>
      <c r="EF190" s="12">
        <f t="shared" si="425"/>
        <v>0</v>
      </c>
      <c r="EG190" s="12">
        <f t="shared" ref="EG190:FH190" si="426">-IF(AND(EG186&gt;=1,EG186&lt;=$F$31),$F$57*$F$29/$F$31,0)</f>
        <v>0</v>
      </c>
      <c r="EH190" s="12">
        <f t="shared" si="426"/>
        <v>0</v>
      </c>
      <c r="EI190" s="12">
        <f t="shared" si="426"/>
        <v>0</v>
      </c>
      <c r="EJ190" s="12">
        <f t="shared" si="426"/>
        <v>0</v>
      </c>
      <c r="EK190" s="12">
        <f t="shared" si="426"/>
        <v>0</v>
      </c>
      <c r="EL190" s="12">
        <f t="shared" si="426"/>
        <v>0</v>
      </c>
      <c r="EM190" s="12">
        <f t="shared" si="426"/>
        <v>0</v>
      </c>
      <c r="EN190" s="12">
        <f t="shared" si="426"/>
        <v>0</v>
      </c>
      <c r="EO190" s="12">
        <f t="shared" si="426"/>
        <v>0</v>
      </c>
      <c r="EP190" s="12">
        <f t="shared" si="426"/>
        <v>0</v>
      </c>
      <c r="EQ190" s="12">
        <f t="shared" si="426"/>
        <v>0</v>
      </c>
      <c r="ER190" s="12">
        <f t="shared" si="426"/>
        <v>0</v>
      </c>
      <c r="ES190" s="12">
        <f t="shared" si="426"/>
        <v>0</v>
      </c>
      <c r="ET190" s="12">
        <f t="shared" si="426"/>
        <v>0</v>
      </c>
      <c r="EU190" s="12">
        <f t="shared" si="426"/>
        <v>0</v>
      </c>
      <c r="EV190" s="12">
        <f t="shared" si="426"/>
        <v>0</v>
      </c>
      <c r="EW190" s="12">
        <f t="shared" si="426"/>
        <v>0</v>
      </c>
      <c r="EX190" s="12">
        <f t="shared" si="426"/>
        <v>0</v>
      </c>
      <c r="EY190" s="12">
        <f t="shared" si="426"/>
        <v>0</v>
      </c>
      <c r="EZ190" s="12">
        <f t="shared" si="426"/>
        <v>0</v>
      </c>
      <c r="FA190" s="12">
        <f t="shared" si="426"/>
        <v>0</v>
      </c>
      <c r="FB190" s="12">
        <f t="shared" si="426"/>
        <v>0</v>
      </c>
      <c r="FC190" s="12">
        <f t="shared" si="426"/>
        <v>0</v>
      </c>
      <c r="FD190" s="12">
        <f t="shared" si="426"/>
        <v>0</v>
      </c>
      <c r="FE190" s="12">
        <f t="shared" si="426"/>
        <v>0</v>
      </c>
      <c r="FF190" s="12">
        <f t="shared" si="426"/>
        <v>0</v>
      </c>
      <c r="FG190" s="12">
        <f t="shared" si="426"/>
        <v>0</v>
      </c>
      <c r="FH190" s="12">
        <f t="shared" si="426"/>
        <v>0</v>
      </c>
    </row>
    <row r="191" spans="1:164" x14ac:dyDescent="0.2">
      <c r="A191" s="10"/>
      <c r="B191" s="10"/>
      <c r="C191" s="10" t="s">
        <v>912</v>
      </c>
      <c r="D191" s="10"/>
      <c r="E191" s="10"/>
      <c r="F191" s="10"/>
      <c r="G191" s="10"/>
      <c r="H191" s="12">
        <f t="shared" si="406"/>
        <v>-4173.2295000000004</v>
      </c>
      <c r="I191" s="12">
        <f t="shared" ref="I191:AN191" si="427">-I187*$F$58*$F$29</f>
        <v>0</v>
      </c>
      <c r="J191" s="12">
        <f t="shared" si="427"/>
        <v>0</v>
      </c>
      <c r="K191" s="12">
        <f t="shared" si="427"/>
        <v>0</v>
      </c>
      <c r="L191" s="12">
        <f t="shared" si="427"/>
        <v>0</v>
      </c>
      <c r="M191" s="12">
        <f t="shared" si="427"/>
        <v>0</v>
      </c>
      <c r="N191" s="12">
        <f t="shared" si="427"/>
        <v>0</v>
      </c>
      <c r="O191" s="12">
        <f t="shared" si="427"/>
        <v>0</v>
      </c>
      <c r="P191" s="12">
        <f t="shared" si="427"/>
        <v>0</v>
      </c>
      <c r="Q191" s="12">
        <f t="shared" si="427"/>
        <v>0</v>
      </c>
      <c r="R191" s="12">
        <f t="shared" si="427"/>
        <v>0</v>
      </c>
      <c r="S191" s="12">
        <f t="shared" si="427"/>
        <v>0</v>
      </c>
      <c r="T191" s="12">
        <f t="shared" si="427"/>
        <v>0</v>
      </c>
      <c r="U191" s="12">
        <f t="shared" si="427"/>
        <v>0</v>
      </c>
      <c r="V191" s="12">
        <f t="shared" si="427"/>
        <v>0</v>
      </c>
      <c r="W191" s="12">
        <f t="shared" si="427"/>
        <v>0</v>
      </c>
      <c r="X191" s="12">
        <f t="shared" si="427"/>
        <v>0</v>
      </c>
      <c r="Y191" s="12">
        <f t="shared" si="427"/>
        <v>0</v>
      </c>
      <c r="Z191" s="12">
        <f t="shared" si="427"/>
        <v>0</v>
      </c>
      <c r="AA191" s="12">
        <f t="shared" si="427"/>
        <v>0</v>
      </c>
      <c r="AB191" s="12">
        <f t="shared" si="427"/>
        <v>0</v>
      </c>
      <c r="AC191" s="12">
        <f t="shared" si="427"/>
        <v>0</v>
      </c>
      <c r="AD191" s="12">
        <f t="shared" si="427"/>
        <v>0</v>
      </c>
      <c r="AE191" s="12">
        <f t="shared" si="427"/>
        <v>0</v>
      </c>
      <c r="AF191" s="12">
        <f t="shared" si="427"/>
        <v>0</v>
      </c>
      <c r="AG191" s="12">
        <f t="shared" si="427"/>
        <v>0</v>
      </c>
      <c r="AH191" s="12">
        <f t="shared" si="427"/>
        <v>0</v>
      </c>
      <c r="AI191" s="12">
        <f t="shared" si="427"/>
        <v>0</v>
      </c>
      <c r="AJ191" s="12">
        <f t="shared" si="427"/>
        <v>0</v>
      </c>
      <c r="AK191" s="12">
        <f t="shared" si="427"/>
        <v>0</v>
      </c>
      <c r="AL191" s="12">
        <f t="shared" si="427"/>
        <v>0</v>
      </c>
      <c r="AM191" s="12">
        <f t="shared" si="427"/>
        <v>0</v>
      </c>
      <c r="AN191" s="12">
        <f t="shared" si="427"/>
        <v>0</v>
      </c>
      <c r="AO191" s="12">
        <f t="shared" ref="AO191:BT191" si="428">-AO187*$F$58*$F$29</f>
        <v>0</v>
      </c>
      <c r="AP191" s="12">
        <f t="shared" si="428"/>
        <v>0</v>
      </c>
      <c r="AQ191" s="12">
        <f t="shared" si="428"/>
        <v>0</v>
      </c>
      <c r="AR191" s="12">
        <f t="shared" si="428"/>
        <v>0</v>
      </c>
      <c r="AS191" s="12">
        <f t="shared" si="428"/>
        <v>0</v>
      </c>
      <c r="AT191" s="12">
        <f t="shared" si="428"/>
        <v>0</v>
      </c>
      <c r="AU191" s="12">
        <f t="shared" si="428"/>
        <v>0</v>
      </c>
      <c r="AV191" s="12">
        <f t="shared" si="428"/>
        <v>0</v>
      </c>
      <c r="AW191" s="12">
        <f t="shared" si="428"/>
        <v>0</v>
      </c>
      <c r="AX191" s="12">
        <f t="shared" si="428"/>
        <v>0</v>
      </c>
      <c r="AY191" s="12">
        <f t="shared" si="428"/>
        <v>0</v>
      </c>
      <c r="AZ191" s="12">
        <f t="shared" si="428"/>
        <v>0</v>
      </c>
      <c r="BA191" s="12">
        <f t="shared" si="428"/>
        <v>0</v>
      </c>
      <c r="BB191" s="12">
        <f t="shared" si="428"/>
        <v>0</v>
      </c>
      <c r="BC191" s="12">
        <f t="shared" si="428"/>
        <v>0</v>
      </c>
      <c r="BD191" s="12">
        <f t="shared" si="428"/>
        <v>0</v>
      </c>
      <c r="BE191" s="12">
        <f t="shared" si="428"/>
        <v>0</v>
      </c>
      <c r="BF191" s="12">
        <f t="shared" si="428"/>
        <v>0</v>
      </c>
      <c r="BG191" s="12">
        <f t="shared" si="428"/>
        <v>0</v>
      </c>
      <c r="BH191" s="12">
        <f t="shared" si="428"/>
        <v>0</v>
      </c>
      <c r="BI191" s="12">
        <f t="shared" si="428"/>
        <v>0</v>
      </c>
      <c r="BJ191" s="12">
        <f t="shared" si="428"/>
        <v>0</v>
      </c>
      <c r="BK191" s="12">
        <f t="shared" si="428"/>
        <v>0</v>
      </c>
      <c r="BL191" s="12">
        <f t="shared" si="428"/>
        <v>0</v>
      </c>
      <c r="BM191" s="12">
        <f t="shared" si="428"/>
        <v>0</v>
      </c>
      <c r="BN191" s="12">
        <f t="shared" si="428"/>
        <v>0</v>
      </c>
      <c r="BO191" s="12">
        <f t="shared" si="428"/>
        <v>0</v>
      </c>
      <c r="BP191" s="12">
        <f t="shared" si="428"/>
        <v>0</v>
      </c>
      <c r="BQ191" s="12">
        <f t="shared" si="428"/>
        <v>0</v>
      </c>
      <c r="BR191" s="12">
        <f t="shared" si="428"/>
        <v>0</v>
      </c>
      <c r="BS191" s="12">
        <f t="shared" si="428"/>
        <v>0</v>
      </c>
      <c r="BT191" s="12">
        <f t="shared" si="428"/>
        <v>0</v>
      </c>
      <c r="BU191" s="12">
        <f t="shared" ref="BU191:CZ191" si="429">-BU187*$F$58*$F$29</f>
        <v>0</v>
      </c>
      <c r="BV191" s="12">
        <f t="shared" si="429"/>
        <v>0</v>
      </c>
      <c r="BW191" s="12">
        <f t="shared" si="429"/>
        <v>-11.430693926604171</v>
      </c>
      <c r="BX191" s="12">
        <f t="shared" si="429"/>
        <v>-34.166844705126159</v>
      </c>
      <c r="BY191" s="12">
        <f t="shared" si="429"/>
        <v>-56.528656383186856</v>
      </c>
      <c r="BZ191" s="12">
        <f t="shared" si="429"/>
        <v>-78.271128272531513</v>
      </c>
      <c r="CA191" s="12">
        <f t="shared" si="429"/>
        <v>-99.156045301235736</v>
      </c>
      <c r="CB191" s="12">
        <f t="shared" si="429"/>
        <v>-118.95458794788314</v>
      </c>
      <c r="CC191" s="12">
        <f t="shared" si="429"/>
        <v>-137.44983923612571</v>
      </c>
      <c r="CD191" s="12">
        <f t="shared" si="429"/>
        <v>-154.4391613224692</v>
      </c>
      <c r="CE191" s="12">
        <f t="shared" si="429"/>
        <v>-169.73641563889154</v>
      </c>
      <c r="CF191" s="12">
        <f t="shared" si="429"/>
        <v>-183.17400226594569</v>
      </c>
      <c r="CG191" s="12">
        <f t="shared" si="429"/>
        <v>-194.60469619254991</v>
      </c>
      <c r="CH191" s="12">
        <f t="shared" si="429"/>
        <v>-203.90326034401772</v>
      </c>
      <c r="CI191" s="12">
        <f t="shared" si="429"/>
        <v>-210.9678177056561</v>
      </c>
      <c r="CJ191" s="12">
        <f t="shared" si="429"/>
        <v>-215.72096750865725</v>
      </c>
      <c r="CK191" s="12">
        <f t="shared" si="429"/>
        <v>-218.11063324911888</v>
      </c>
      <c r="CL191" s="12">
        <f t="shared" si="429"/>
        <v>-218.11063324911888</v>
      </c>
      <c r="CM191" s="12">
        <f t="shared" si="429"/>
        <v>-215.72096750865725</v>
      </c>
      <c r="CN191" s="12">
        <f t="shared" si="429"/>
        <v>-210.9678177056561</v>
      </c>
      <c r="CO191" s="12">
        <f t="shared" si="429"/>
        <v>-203.90326034401772</v>
      </c>
      <c r="CP191" s="12">
        <f t="shared" si="429"/>
        <v>-194.60469619254991</v>
      </c>
      <c r="CQ191" s="12">
        <f t="shared" si="429"/>
        <v>-183.17400226594577</v>
      </c>
      <c r="CR191" s="12">
        <f t="shared" si="429"/>
        <v>-169.73641563889157</v>
      </c>
      <c r="CS191" s="12">
        <f t="shared" si="429"/>
        <v>-154.43916132246923</v>
      </c>
      <c r="CT191" s="12">
        <f t="shared" si="429"/>
        <v>-137.44983923612568</v>
      </c>
      <c r="CU191" s="12">
        <f t="shared" si="429"/>
        <v>-118.95458794788321</v>
      </c>
      <c r="CV191" s="12">
        <f t="shared" si="429"/>
        <v>-99.15604530123575</v>
      </c>
      <c r="CW191" s="12">
        <f t="shared" si="429"/>
        <v>-78.271128272531499</v>
      </c>
      <c r="CX191" s="12">
        <f t="shared" si="429"/>
        <v>-56.528656383186821</v>
      </c>
      <c r="CY191" s="12">
        <f t="shared" si="429"/>
        <v>-34.166844705126181</v>
      </c>
      <c r="CZ191" s="12">
        <f t="shared" si="429"/>
        <v>-11.430693926604166</v>
      </c>
      <c r="DA191" s="12">
        <f t="shared" ref="DA191:EF191" si="430">-DA187*$F$58*$F$29</f>
        <v>0</v>
      </c>
      <c r="DB191" s="12">
        <f t="shared" si="430"/>
        <v>0</v>
      </c>
      <c r="DC191" s="12">
        <f t="shared" si="430"/>
        <v>0</v>
      </c>
      <c r="DD191" s="12">
        <f t="shared" si="430"/>
        <v>0</v>
      </c>
      <c r="DE191" s="12">
        <f t="shared" si="430"/>
        <v>0</v>
      </c>
      <c r="DF191" s="12">
        <f t="shared" si="430"/>
        <v>0</v>
      </c>
      <c r="DG191" s="12">
        <f t="shared" si="430"/>
        <v>0</v>
      </c>
      <c r="DH191" s="12">
        <f t="shared" si="430"/>
        <v>0</v>
      </c>
      <c r="DI191" s="12">
        <f t="shared" si="430"/>
        <v>0</v>
      </c>
      <c r="DJ191" s="12">
        <f t="shared" si="430"/>
        <v>0</v>
      </c>
      <c r="DK191" s="12">
        <f t="shared" si="430"/>
        <v>0</v>
      </c>
      <c r="DL191" s="12">
        <f t="shared" si="430"/>
        <v>0</v>
      </c>
      <c r="DM191" s="12">
        <f t="shared" si="430"/>
        <v>0</v>
      </c>
      <c r="DN191" s="12">
        <f t="shared" si="430"/>
        <v>0</v>
      </c>
      <c r="DO191" s="12">
        <f t="shared" si="430"/>
        <v>0</v>
      </c>
      <c r="DP191" s="12">
        <f t="shared" si="430"/>
        <v>0</v>
      </c>
      <c r="DQ191" s="12">
        <f t="shared" si="430"/>
        <v>0</v>
      </c>
      <c r="DR191" s="12">
        <f t="shared" si="430"/>
        <v>0</v>
      </c>
      <c r="DS191" s="12">
        <f t="shared" si="430"/>
        <v>0</v>
      </c>
      <c r="DT191" s="12">
        <f t="shared" si="430"/>
        <v>0</v>
      </c>
      <c r="DU191" s="12">
        <f t="shared" si="430"/>
        <v>0</v>
      </c>
      <c r="DV191" s="12">
        <f t="shared" si="430"/>
        <v>0</v>
      </c>
      <c r="DW191" s="12">
        <f t="shared" si="430"/>
        <v>0</v>
      </c>
      <c r="DX191" s="12">
        <f t="shared" si="430"/>
        <v>0</v>
      </c>
      <c r="DY191" s="12">
        <f t="shared" si="430"/>
        <v>0</v>
      </c>
      <c r="DZ191" s="12">
        <f t="shared" si="430"/>
        <v>0</v>
      </c>
      <c r="EA191" s="12">
        <f t="shared" si="430"/>
        <v>0</v>
      </c>
      <c r="EB191" s="12">
        <f t="shared" si="430"/>
        <v>0</v>
      </c>
      <c r="EC191" s="12">
        <f t="shared" si="430"/>
        <v>0</v>
      </c>
      <c r="ED191" s="12">
        <f t="shared" si="430"/>
        <v>0</v>
      </c>
      <c r="EE191" s="12">
        <f t="shared" si="430"/>
        <v>0</v>
      </c>
      <c r="EF191" s="12">
        <f t="shared" si="430"/>
        <v>0</v>
      </c>
      <c r="EG191" s="12">
        <f t="shared" ref="EG191:FH191" si="431">-EG187*$F$58*$F$29</f>
        <v>0</v>
      </c>
      <c r="EH191" s="12">
        <f t="shared" si="431"/>
        <v>0</v>
      </c>
      <c r="EI191" s="12">
        <f t="shared" si="431"/>
        <v>0</v>
      </c>
      <c r="EJ191" s="12">
        <f t="shared" si="431"/>
        <v>0</v>
      </c>
      <c r="EK191" s="12">
        <f t="shared" si="431"/>
        <v>0</v>
      </c>
      <c r="EL191" s="12">
        <f t="shared" si="431"/>
        <v>0</v>
      </c>
      <c r="EM191" s="12">
        <f t="shared" si="431"/>
        <v>0</v>
      </c>
      <c r="EN191" s="12">
        <f t="shared" si="431"/>
        <v>0</v>
      </c>
      <c r="EO191" s="12">
        <f t="shared" si="431"/>
        <v>0</v>
      </c>
      <c r="EP191" s="12">
        <f t="shared" si="431"/>
        <v>0</v>
      </c>
      <c r="EQ191" s="12">
        <f t="shared" si="431"/>
        <v>0</v>
      </c>
      <c r="ER191" s="12">
        <f t="shared" si="431"/>
        <v>0</v>
      </c>
      <c r="ES191" s="12">
        <f t="shared" si="431"/>
        <v>0</v>
      </c>
      <c r="ET191" s="12">
        <f t="shared" si="431"/>
        <v>0</v>
      </c>
      <c r="EU191" s="12">
        <f t="shared" si="431"/>
        <v>0</v>
      </c>
      <c r="EV191" s="12">
        <f t="shared" si="431"/>
        <v>0</v>
      </c>
      <c r="EW191" s="12">
        <f t="shared" si="431"/>
        <v>0</v>
      </c>
      <c r="EX191" s="12">
        <f t="shared" si="431"/>
        <v>0</v>
      </c>
      <c r="EY191" s="12">
        <f t="shared" si="431"/>
        <v>0</v>
      </c>
      <c r="EZ191" s="12">
        <f t="shared" si="431"/>
        <v>0</v>
      </c>
      <c r="FA191" s="12">
        <f t="shared" si="431"/>
        <v>0</v>
      </c>
      <c r="FB191" s="12">
        <f t="shared" si="431"/>
        <v>0</v>
      </c>
      <c r="FC191" s="12">
        <f t="shared" si="431"/>
        <v>0</v>
      </c>
      <c r="FD191" s="12">
        <f t="shared" si="431"/>
        <v>0</v>
      </c>
      <c r="FE191" s="12">
        <f t="shared" si="431"/>
        <v>0</v>
      </c>
      <c r="FF191" s="12">
        <f t="shared" si="431"/>
        <v>0</v>
      </c>
      <c r="FG191" s="12">
        <f t="shared" si="431"/>
        <v>0</v>
      </c>
      <c r="FH191" s="12">
        <f t="shared" si="431"/>
        <v>0</v>
      </c>
    </row>
    <row r="192" spans="1:164" x14ac:dyDescent="0.2">
      <c r="A192" s="10"/>
      <c r="B192" s="10"/>
      <c r="C192" s="10" t="s">
        <v>913</v>
      </c>
      <c r="D192" s="10"/>
      <c r="E192" s="10"/>
      <c r="F192" s="10"/>
      <c r="G192" s="10"/>
      <c r="H192" s="12">
        <f t="shared" si="406"/>
        <v>-20898.145</v>
      </c>
      <c r="I192" s="12">
        <f t="shared" ref="I192:AN192" si="432">-IF(AND(I186&gt;=1,I186&lt;=$F$31),$F$59*$F$23/$F$31,0)</f>
        <v>0</v>
      </c>
      <c r="J192" s="12">
        <f t="shared" si="432"/>
        <v>0</v>
      </c>
      <c r="K192" s="12">
        <f t="shared" si="432"/>
        <v>0</v>
      </c>
      <c r="L192" s="12">
        <f t="shared" si="432"/>
        <v>0</v>
      </c>
      <c r="M192" s="12">
        <f t="shared" si="432"/>
        <v>0</v>
      </c>
      <c r="N192" s="12">
        <f t="shared" si="432"/>
        <v>0</v>
      </c>
      <c r="O192" s="12">
        <f t="shared" si="432"/>
        <v>0</v>
      </c>
      <c r="P192" s="12">
        <f t="shared" si="432"/>
        <v>0</v>
      </c>
      <c r="Q192" s="12">
        <f t="shared" si="432"/>
        <v>0</v>
      </c>
      <c r="R192" s="12">
        <f t="shared" si="432"/>
        <v>0</v>
      </c>
      <c r="S192" s="12">
        <f t="shared" si="432"/>
        <v>0</v>
      </c>
      <c r="T192" s="12">
        <f t="shared" si="432"/>
        <v>0</v>
      </c>
      <c r="U192" s="12">
        <f t="shared" si="432"/>
        <v>0</v>
      </c>
      <c r="V192" s="12">
        <f t="shared" si="432"/>
        <v>0</v>
      </c>
      <c r="W192" s="12">
        <f t="shared" si="432"/>
        <v>0</v>
      </c>
      <c r="X192" s="12">
        <f t="shared" si="432"/>
        <v>0</v>
      </c>
      <c r="Y192" s="12">
        <f t="shared" si="432"/>
        <v>0</v>
      </c>
      <c r="Z192" s="12">
        <f t="shared" si="432"/>
        <v>0</v>
      </c>
      <c r="AA192" s="12">
        <f t="shared" si="432"/>
        <v>0</v>
      </c>
      <c r="AB192" s="12">
        <f t="shared" si="432"/>
        <v>0</v>
      </c>
      <c r="AC192" s="12">
        <f t="shared" si="432"/>
        <v>0</v>
      </c>
      <c r="AD192" s="12">
        <f t="shared" si="432"/>
        <v>0</v>
      </c>
      <c r="AE192" s="12">
        <f t="shared" si="432"/>
        <v>0</v>
      </c>
      <c r="AF192" s="12">
        <f t="shared" si="432"/>
        <v>0</v>
      </c>
      <c r="AG192" s="12">
        <f t="shared" si="432"/>
        <v>0</v>
      </c>
      <c r="AH192" s="12">
        <f t="shared" si="432"/>
        <v>0</v>
      </c>
      <c r="AI192" s="12">
        <f t="shared" si="432"/>
        <v>0</v>
      </c>
      <c r="AJ192" s="12">
        <f t="shared" si="432"/>
        <v>0</v>
      </c>
      <c r="AK192" s="12">
        <f t="shared" si="432"/>
        <v>0</v>
      </c>
      <c r="AL192" s="12">
        <f t="shared" si="432"/>
        <v>0</v>
      </c>
      <c r="AM192" s="12">
        <f t="shared" si="432"/>
        <v>0</v>
      </c>
      <c r="AN192" s="12">
        <f t="shared" si="432"/>
        <v>0</v>
      </c>
      <c r="AO192" s="12">
        <f t="shared" ref="AO192:BT192" si="433">-IF(AND(AO186&gt;=1,AO186&lt;=$F$31),$F$59*$F$23/$F$31,0)</f>
        <v>0</v>
      </c>
      <c r="AP192" s="12">
        <f t="shared" si="433"/>
        <v>0</v>
      </c>
      <c r="AQ192" s="12">
        <f t="shared" si="433"/>
        <v>0</v>
      </c>
      <c r="AR192" s="12">
        <f t="shared" si="433"/>
        <v>0</v>
      </c>
      <c r="AS192" s="12">
        <f t="shared" si="433"/>
        <v>0</v>
      </c>
      <c r="AT192" s="12">
        <f t="shared" si="433"/>
        <v>0</v>
      </c>
      <c r="AU192" s="12">
        <f t="shared" si="433"/>
        <v>0</v>
      </c>
      <c r="AV192" s="12">
        <f t="shared" si="433"/>
        <v>0</v>
      </c>
      <c r="AW192" s="12">
        <f t="shared" si="433"/>
        <v>0</v>
      </c>
      <c r="AX192" s="12">
        <f t="shared" si="433"/>
        <v>0</v>
      </c>
      <c r="AY192" s="12">
        <f t="shared" si="433"/>
        <v>0</v>
      </c>
      <c r="AZ192" s="12">
        <f t="shared" si="433"/>
        <v>0</v>
      </c>
      <c r="BA192" s="12">
        <f t="shared" si="433"/>
        <v>0</v>
      </c>
      <c r="BB192" s="12">
        <f t="shared" si="433"/>
        <v>0</v>
      </c>
      <c r="BC192" s="12">
        <f t="shared" si="433"/>
        <v>0</v>
      </c>
      <c r="BD192" s="12">
        <f t="shared" si="433"/>
        <v>0</v>
      </c>
      <c r="BE192" s="12">
        <f t="shared" si="433"/>
        <v>0</v>
      </c>
      <c r="BF192" s="12">
        <f t="shared" si="433"/>
        <v>0</v>
      </c>
      <c r="BG192" s="12">
        <f t="shared" si="433"/>
        <v>0</v>
      </c>
      <c r="BH192" s="12">
        <f t="shared" si="433"/>
        <v>0</v>
      </c>
      <c r="BI192" s="12">
        <f t="shared" si="433"/>
        <v>0</v>
      </c>
      <c r="BJ192" s="12">
        <f t="shared" si="433"/>
        <v>0</v>
      </c>
      <c r="BK192" s="12">
        <f t="shared" si="433"/>
        <v>0</v>
      </c>
      <c r="BL192" s="12">
        <f t="shared" si="433"/>
        <v>0</v>
      </c>
      <c r="BM192" s="12">
        <f t="shared" si="433"/>
        <v>0</v>
      </c>
      <c r="BN192" s="12">
        <f t="shared" si="433"/>
        <v>0</v>
      </c>
      <c r="BO192" s="12">
        <f t="shared" si="433"/>
        <v>0</v>
      </c>
      <c r="BP192" s="12">
        <f t="shared" si="433"/>
        <v>0</v>
      </c>
      <c r="BQ192" s="12">
        <f t="shared" si="433"/>
        <v>0</v>
      </c>
      <c r="BR192" s="12">
        <f t="shared" si="433"/>
        <v>0</v>
      </c>
      <c r="BS192" s="12">
        <f t="shared" si="433"/>
        <v>0</v>
      </c>
      <c r="BT192" s="12">
        <f t="shared" si="433"/>
        <v>0</v>
      </c>
      <c r="BU192" s="12">
        <f t="shared" ref="BU192:CZ192" si="434">-IF(AND(BU186&gt;=1,BU186&lt;=$F$31),$F$59*$F$23/$F$31,0)</f>
        <v>0</v>
      </c>
      <c r="BV192" s="12">
        <f t="shared" si="434"/>
        <v>0</v>
      </c>
      <c r="BW192" s="12">
        <f t="shared" si="434"/>
        <v>-696.6048333333332</v>
      </c>
      <c r="BX192" s="12">
        <f t="shared" si="434"/>
        <v>-696.6048333333332</v>
      </c>
      <c r="BY192" s="12">
        <f t="shared" si="434"/>
        <v>-696.6048333333332</v>
      </c>
      <c r="BZ192" s="12">
        <f t="shared" si="434"/>
        <v>-696.6048333333332</v>
      </c>
      <c r="CA192" s="12">
        <f t="shared" si="434"/>
        <v>-696.6048333333332</v>
      </c>
      <c r="CB192" s="12">
        <f t="shared" si="434"/>
        <v>-696.6048333333332</v>
      </c>
      <c r="CC192" s="12">
        <f t="shared" si="434"/>
        <v>-696.6048333333332</v>
      </c>
      <c r="CD192" s="12">
        <f t="shared" si="434"/>
        <v>-696.6048333333332</v>
      </c>
      <c r="CE192" s="12">
        <f t="shared" si="434"/>
        <v>-696.6048333333332</v>
      </c>
      <c r="CF192" s="12">
        <f t="shared" si="434"/>
        <v>-696.6048333333332</v>
      </c>
      <c r="CG192" s="12">
        <f t="shared" si="434"/>
        <v>-696.6048333333332</v>
      </c>
      <c r="CH192" s="12">
        <f t="shared" si="434"/>
        <v>-696.6048333333332</v>
      </c>
      <c r="CI192" s="12">
        <f t="shared" si="434"/>
        <v>-696.6048333333332</v>
      </c>
      <c r="CJ192" s="12">
        <f t="shared" si="434"/>
        <v>-696.6048333333332</v>
      </c>
      <c r="CK192" s="12">
        <f t="shared" si="434"/>
        <v>-696.6048333333332</v>
      </c>
      <c r="CL192" s="12">
        <f t="shared" si="434"/>
        <v>-696.6048333333332</v>
      </c>
      <c r="CM192" s="12">
        <f t="shared" si="434"/>
        <v>-696.6048333333332</v>
      </c>
      <c r="CN192" s="12">
        <f t="shared" si="434"/>
        <v>-696.6048333333332</v>
      </c>
      <c r="CO192" s="12">
        <f t="shared" si="434"/>
        <v>-696.6048333333332</v>
      </c>
      <c r="CP192" s="12">
        <f t="shared" si="434"/>
        <v>-696.6048333333332</v>
      </c>
      <c r="CQ192" s="12">
        <f t="shared" si="434"/>
        <v>-696.6048333333332</v>
      </c>
      <c r="CR192" s="12">
        <f t="shared" si="434"/>
        <v>-696.6048333333332</v>
      </c>
      <c r="CS192" s="12">
        <f t="shared" si="434"/>
        <v>-696.6048333333332</v>
      </c>
      <c r="CT192" s="12">
        <f t="shared" si="434"/>
        <v>-696.6048333333332</v>
      </c>
      <c r="CU192" s="12">
        <f t="shared" si="434"/>
        <v>-696.6048333333332</v>
      </c>
      <c r="CV192" s="12">
        <f t="shared" si="434"/>
        <v>-696.6048333333332</v>
      </c>
      <c r="CW192" s="12">
        <f t="shared" si="434"/>
        <v>-696.6048333333332</v>
      </c>
      <c r="CX192" s="12">
        <f t="shared" si="434"/>
        <v>-696.6048333333332</v>
      </c>
      <c r="CY192" s="12">
        <f t="shared" si="434"/>
        <v>-696.6048333333332</v>
      </c>
      <c r="CZ192" s="12">
        <f t="shared" si="434"/>
        <v>-696.6048333333332</v>
      </c>
      <c r="DA192" s="12">
        <f t="shared" ref="DA192:EF192" si="435">-IF(AND(DA186&gt;=1,DA186&lt;=$F$31),$F$59*$F$23/$F$31,0)</f>
        <v>0</v>
      </c>
      <c r="DB192" s="12">
        <f t="shared" si="435"/>
        <v>0</v>
      </c>
      <c r="DC192" s="12">
        <f t="shared" si="435"/>
        <v>0</v>
      </c>
      <c r="DD192" s="12">
        <f t="shared" si="435"/>
        <v>0</v>
      </c>
      <c r="DE192" s="12">
        <f t="shared" si="435"/>
        <v>0</v>
      </c>
      <c r="DF192" s="12">
        <f t="shared" si="435"/>
        <v>0</v>
      </c>
      <c r="DG192" s="12">
        <f t="shared" si="435"/>
        <v>0</v>
      </c>
      <c r="DH192" s="12">
        <f t="shared" si="435"/>
        <v>0</v>
      </c>
      <c r="DI192" s="12">
        <f t="shared" si="435"/>
        <v>0</v>
      </c>
      <c r="DJ192" s="12">
        <f t="shared" si="435"/>
        <v>0</v>
      </c>
      <c r="DK192" s="12">
        <f t="shared" si="435"/>
        <v>0</v>
      </c>
      <c r="DL192" s="12">
        <f t="shared" si="435"/>
        <v>0</v>
      </c>
      <c r="DM192" s="12">
        <f t="shared" si="435"/>
        <v>0</v>
      </c>
      <c r="DN192" s="12">
        <f t="shared" si="435"/>
        <v>0</v>
      </c>
      <c r="DO192" s="12">
        <f t="shared" si="435"/>
        <v>0</v>
      </c>
      <c r="DP192" s="12">
        <f t="shared" si="435"/>
        <v>0</v>
      </c>
      <c r="DQ192" s="12">
        <f t="shared" si="435"/>
        <v>0</v>
      </c>
      <c r="DR192" s="12">
        <f t="shared" si="435"/>
        <v>0</v>
      </c>
      <c r="DS192" s="12">
        <f t="shared" si="435"/>
        <v>0</v>
      </c>
      <c r="DT192" s="12">
        <f t="shared" si="435"/>
        <v>0</v>
      </c>
      <c r="DU192" s="12">
        <f t="shared" si="435"/>
        <v>0</v>
      </c>
      <c r="DV192" s="12">
        <f t="shared" si="435"/>
        <v>0</v>
      </c>
      <c r="DW192" s="12">
        <f t="shared" si="435"/>
        <v>0</v>
      </c>
      <c r="DX192" s="12">
        <f t="shared" si="435"/>
        <v>0</v>
      </c>
      <c r="DY192" s="12">
        <f t="shared" si="435"/>
        <v>0</v>
      </c>
      <c r="DZ192" s="12">
        <f t="shared" si="435"/>
        <v>0</v>
      </c>
      <c r="EA192" s="12">
        <f t="shared" si="435"/>
        <v>0</v>
      </c>
      <c r="EB192" s="12">
        <f t="shared" si="435"/>
        <v>0</v>
      </c>
      <c r="EC192" s="12">
        <f t="shared" si="435"/>
        <v>0</v>
      </c>
      <c r="ED192" s="12">
        <f t="shared" si="435"/>
        <v>0</v>
      </c>
      <c r="EE192" s="12">
        <f t="shared" si="435"/>
        <v>0</v>
      </c>
      <c r="EF192" s="12">
        <f t="shared" si="435"/>
        <v>0</v>
      </c>
      <c r="EG192" s="12">
        <f t="shared" ref="EG192:FH192" si="436">-IF(AND(EG186&gt;=1,EG186&lt;=$F$31),$F$59*$F$23/$F$31,0)</f>
        <v>0</v>
      </c>
      <c r="EH192" s="12">
        <f t="shared" si="436"/>
        <v>0</v>
      </c>
      <c r="EI192" s="12">
        <f t="shared" si="436"/>
        <v>0</v>
      </c>
      <c r="EJ192" s="12">
        <f t="shared" si="436"/>
        <v>0</v>
      </c>
      <c r="EK192" s="12">
        <f t="shared" si="436"/>
        <v>0</v>
      </c>
      <c r="EL192" s="12">
        <f t="shared" si="436"/>
        <v>0</v>
      </c>
      <c r="EM192" s="12">
        <f t="shared" si="436"/>
        <v>0</v>
      </c>
      <c r="EN192" s="12">
        <f t="shared" si="436"/>
        <v>0</v>
      </c>
      <c r="EO192" s="12">
        <f t="shared" si="436"/>
        <v>0</v>
      </c>
      <c r="EP192" s="12">
        <f t="shared" si="436"/>
        <v>0</v>
      </c>
      <c r="EQ192" s="12">
        <f t="shared" si="436"/>
        <v>0</v>
      </c>
      <c r="ER192" s="12">
        <f t="shared" si="436"/>
        <v>0</v>
      </c>
      <c r="ES192" s="12">
        <f t="shared" si="436"/>
        <v>0</v>
      </c>
      <c r="ET192" s="12">
        <f t="shared" si="436"/>
        <v>0</v>
      </c>
      <c r="EU192" s="12">
        <f t="shared" si="436"/>
        <v>0</v>
      </c>
      <c r="EV192" s="12">
        <f t="shared" si="436"/>
        <v>0</v>
      </c>
      <c r="EW192" s="12">
        <f t="shared" si="436"/>
        <v>0</v>
      </c>
      <c r="EX192" s="12">
        <f t="shared" si="436"/>
        <v>0</v>
      </c>
      <c r="EY192" s="12">
        <f t="shared" si="436"/>
        <v>0</v>
      </c>
      <c r="EZ192" s="12">
        <f t="shared" si="436"/>
        <v>0</v>
      </c>
      <c r="FA192" s="12">
        <f t="shared" si="436"/>
        <v>0</v>
      </c>
      <c r="FB192" s="12">
        <f t="shared" si="436"/>
        <v>0</v>
      </c>
      <c r="FC192" s="12">
        <f t="shared" si="436"/>
        <v>0</v>
      </c>
      <c r="FD192" s="12">
        <f t="shared" si="436"/>
        <v>0</v>
      </c>
      <c r="FE192" s="12">
        <f t="shared" si="436"/>
        <v>0</v>
      </c>
      <c r="FF192" s="12">
        <f t="shared" si="436"/>
        <v>0</v>
      </c>
      <c r="FG192" s="12">
        <f t="shared" si="436"/>
        <v>0</v>
      </c>
      <c r="FH192" s="12">
        <f t="shared" si="436"/>
        <v>0</v>
      </c>
    </row>
    <row r="193" spans="1:164" x14ac:dyDescent="0.2">
      <c r="A193" s="10"/>
      <c r="B193" s="10"/>
      <c r="C193" s="10" t="s">
        <v>914</v>
      </c>
      <c r="D193" s="10"/>
      <c r="E193" s="10"/>
      <c r="F193" s="10"/>
      <c r="G193" s="10"/>
      <c r="H193" s="12">
        <f t="shared" si="406"/>
        <v>-12538.886999999993</v>
      </c>
      <c r="I193" s="12">
        <f t="shared" ref="I193:AN193" si="437">-IF(AND(I$6&gt;=EDATE($F$32,-3),I$6&lt;EDATE($F$32,15)),$F$60*$F$23/18,0)</f>
        <v>0</v>
      </c>
      <c r="J193" s="12">
        <f t="shared" si="437"/>
        <v>0</v>
      </c>
      <c r="K193" s="12">
        <f t="shared" si="437"/>
        <v>0</v>
      </c>
      <c r="L193" s="12">
        <f t="shared" si="437"/>
        <v>0</v>
      </c>
      <c r="M193" s="12">
        <f t="shared" si="437"/>
        <v>0</v>
      </c>
      <c r="N193" s="12">
        <f t="shared" si="437"/>
        <v>0</v>
      </c>
      <c r="O193" s="12">
        <f t="shared" si="437"/>
        <v>0</v>
      </c>
      <c r="P193" s="12">
        <f t="shared" si="437"/>
        <v>0</v>
      </c>
      <c r="Q193" s="12">
        <f t="shared" si="437"/>
        <v>0</v>
      </c>
      <c r="R193" s="12">
        <f t="shared" si="437"/>
        <v>0</v>
      </c>
      <c r="S193" s="12">
        <f t="shared" si="437"/>
        <v>0</v>
      </c>
      <c r="T193" s="12">
        <f t="shared" si="437"/>
        <v>0</v>
      </c>
      <c r="U193" s="12">
        <f t="shared" si="437"/>
        <v>0</v>
      </c>
      <c r="V193" s="12">
        <f t="shared" si="437"/>
        <v>0</v>
      </c>
      <c r="W193" s="12">
        <f t="shared" si="437"/>
        <v>0</v>
      </c>
      <c r="X193" s="12">
        <f t="shared" si="437"/>
        <v>0</v>
      </c>
      <c r="Y193" s="12">
        <f t="shared" si="437"/>
        <v>0</v>
      </c>
      <c r="Z193" s="12">
        <f t="shared" si="437"/>
        <v>0</v>
      </c>
      <c r="AA193" s="12">
        <f t="shared" si="437"/>
        <v>0</v>
      </c>
      <c r="AB193" s="12">
        <f t="shared" si="437"/>
        <v>0</v>
      </c>
      <c r="AC193" s="12">
        <f t="shared" si="437"/>
        <v>0</v>
      </c>
      <c r="AD193" s="12">
        <f t="shared" si="437"/>
        <v>0</v>
      </c>
      <c r="AE193" s="12">
        <f t="shared" si="437"/>
        <v>0</v>
      </c>
      <c r="AF193" s="12">
        <f t="shared" si="437"/>
        <v>0</v>
      </c>
      <c r="AG193" s="12">
        <f t="shared" si="437"/>
        <v>0</v>
      </c>
      <c r="AH193" s="12">
        <f t="shared" si="437"/>
        <v>0</v>
      </c>
      <c r="AI193" s="12">
        <f t="shared" si="437"/>
        <v>0</v>
      </c>
      <c r="AJ193" s="12">
        <f t="shared" si="437"/>
        <v>0</v>
      </c>
      <c r="AK193" s="12">
        <f t="shared" si="437"/>
        <v>0</v>
      </c>
      <c r="AL193" s="12">
        <f t="shared" si="437"/>
        <v>0</v>
      </c>
      <c r="AM193" s="12">
        <f t="shared" si="437"/>
        <v>0</v>
      </c>
      <c r="AN193" s="12">
        <f t="shared" si="437"/>
        <v>0</v>
      </c>
      <c r="AO193" s="12">
        <f t="shared" ref="AO193:BT193" si="438">-IF(AND(AO$6&gt;=EDATE($F$32,-3),AO$6&lt;EDATE($F$32,15)),$F$60*$F$23/18,0)</f>
        <v>0</v>
      </c>
      <c r="AP193" s="12">
        <f t="shared" si="438"/>
        <v>0</v>
      </c>
      <c r="AQ193" s="12">
        <f t="shared" si="438"/>
        <v>0</v>
      </c>
      <c r="AR193" s="12">
        <f t="shared" si="438"/>
        <v>0</v>
      </c>
      <c r="AS193" s="12">
        <f t="shared" si="438"/>
        <v>0</v>
      </c>
      <c r="AT193" s="12">
        <f t="shared" si="438"/>
        <v>0</v>
      </c>
      <c r="AU193" s="12">
        <f t="shared" si="438"/>
        <v>0</v>
      </c>
      <c r="AV193" s="12">
        <f t="shared" si="438"/>
        <v>0</v>
      </c>
      <c r="AW193" s="12">
        <f t="shared" si="438"/>
        <v>0</v>
      </c>
      <c r="AX193" s="12">
        <f t="shared" si="438"/>
        <v>0</v>
      </c>
      <c r="AY193" s="12">
        <f t="shared" si="438"/>
        <v>0</v>
      </c>
      <c r="AZ193" s="12">
        <f t="shared" si="438"/>
        <v>0</v>
      </c>
      <c r="BA193" s="12">
        <f t="shared" si="438"/>
        <v>0</v>
      </c>
      <c r="BB193" s="12">
        <f t="shared" si="438"/>
        <v>0</v>
      </c>
      <c r="BC193" s="12">
        <f t="shared" si="438"/>
        <v>0</v>
      </c>
      <c r="BD193" s="12">
        <f t="shared" si="438"/>
        <v>0</v>
      </c>
      <c r="BE193" s="12">
        <f t="shared" si="438"/>
        <v>0</v>
      </c>
      <c r="BF193" s="12">
        <f t="shared" si="438"/>
        <v>0</v>
      </c>
      <c r="BG193" s="12">
        <f t="shared" si="438"/>
        <v>0</v>
      </c>
      <c r="BH193" s="12">
        <f t="shared" si="438"/>
        <v>0</v>
      </c>
      <c r="BI193" s="12">
        <f t="shared" si="438"/>
        <v>0</v>
      </c>
      <c r="BJ193" s="12">
        <f t="shared" si="438"/>
        <v>0</v>
      </c>
      <c r="BK193" s="12">
        <f t="shared" si="438"/>
        <v>0</v>
      </c>
      <c r="BL193" s="12">
        <f t="shared" si="438"/>
        <v>0</v>
      </c>
      <c r="BM193" s="12">
        <f t="shared" si="438"/>
        <v>0</v>
      </c>
      <c r="BN193" s="12">
        <f t="shared" si="438"/>
        <v>-696.6048333333332</v>
      </c>
      <c r="BO193" s="12">
        <f t="shared" si="438"/>
        <v>-696.6048333333332</v>
      </c>
      <c r="BP193" s="12">
        <f t="shared" si="438"/>
        <v>-696.6048333333332</v>
      </c>
      <c r="BQ193" s="12">
        <f t="shared" si="438"/>
        <v>-696.6048333333332</v>
      </c>
      <c r="BR193" s="12">
        <f t="shared" si="438"/>
        <v>-696.6048333333332</v>
      </c>
      <c r="BS193" s="12">
        <f t="shared" si="438"/>
        <v>-696.6048333333332</v>
      </c>
      <c r="BT193" s="12">
        <f t="shared" si="438"/>
        <v>-696.6048333333332</v>
      </c>
      <c r="BU193" s="12">
        <f t="shared" ref="BU193:CZ193" si="439">-IF(AND(BU$6&gt;=EDATE($F$32,-3),BU$6&lt;EDATE($F$32,15)),$F$60*$F$23/18,0)</f>
        <v>-696.6048333333332</v>
      </c>
      <c r="BV193" s="12">
        <f t="shared" si="439"/>
        <v>-696.6048333333332</v>
      </c>
      <c r="BW193" s="12">
        <f t="shared" si="439"/>
        <v>-696.6048333333332</v>
      </c>
      <c r="BX193" s="12">
        <f t="shared" si="439"/>
        <v>-696.6048333333332</v>
      </c>
      <c r="BY193" s="12">
        <f t="shared" si="439"/>
        <v>-696.6048333333332</v>
      </c>
      <c r="BZ193" s="12">
        <f t="shared" si="439"/>
        <v>-696.6048333333332</v>
      </c>
      <c r="CA193" s="12">
        <f t="shared" si="439"/>
        <v>-696.6048333333332</v>
      </c>
      <c r="CB193" s="12">
        <f t="shared" si="439"/>
        <v>-696.6048333333332</v>
      </c>
      <c r="CC193" s="12">
        <f t="shared" si="439"/>
        <v>-696.6048333333332</v>
      </c>
      <c r="CD193" s="12">
        <f t="shared" si="439"/>
        <v>-696.6048333333332</v>
      </c>
      <c r="CE193" s="12">
        <f t="shared" si="439"/>
        <v>-696.6048333333332</v>
      </c>
      <c r="CF193" s="12">
        <f t="shared" si="439"/>
        <v>0</v>
      </c>
      <c r="CG193" s="12">
        <f t="shared" si="439"/>
        <v>0</v>
      </c>
      <c r="CH193" s="12">
        <f t="shared" si="439"/>
        <v>0</v>
      </c>
      <c r="CI193" s="12">
        <f t="shared" si="439"/>
        <v>0</v>
      </c>
      <c r="CJ193" s="12">
        <f t="shared" si="439"/>
        <v>0</v>
      </c>
      <c r="CK193" s="12">
        <f t="shared" si="439"/>
        <v>0</v>
      </c>
      <c r="CL193" s="12">
        <f t="shared" si="439"/>
        <v>0</v>
      </c>
      <c r="CM193" s="12">
        <f t="shared" si="439"/>
        <v>0</v>
      </c>
      <c r="CN193" s="12">
        <f t="shared" si="439"/>
        <v>0</v>
      </c>
      <c r="CO193" s="12">
        <f t="shared" si="439"/>
        <v>0</v>
      </c>
      <c r="CP193" s="12">
        <f t="shared" si="439"/>
        <v>0</v>
      </c>
      <c r="CQ193" s="12">
        <f t="shared" si="439"/>
        <v>0</v>
      </c>
      <c r="CR193" s="12">
        <f t="shared" si="439"/>
        <v>0</v>
      </c>
      <c r="CS193" s="12">
        <f t="shared" si="439"/>
        <v>0</v>
      </c>
      <c r="CT193" s="12">
        <f t="shared" si="439"/>
        <v>0</v>
      </c>
      <c r="CU193" s="12">
        <f t="shared" si="439"/>
        <v>0</v>
      </c>
      <c r="CV193" s="12">
        <f t="shared" si="439"/>
        <v>0</v>
      </c>
      <c r="CW193" s="12">
        <f t="shared" si="439"/>
        <v>0</v>
      </c>
      <c r="CX193" s="12">
        <f t="shared" si="439"/>
        <v>0</v>
      </c>
      <c r="CY193" s="12">
        <f t="shared" si="439"/>
        <v>0</v>
      </c>
      <c r="CZ193" s="12">
        <f t="shared" si="439"/>
        <v>0</v>
      </c>
      <c r="DA193" s="12">
        <f t="shared" ref="DA193:EF193" si="440">-IF(AND(DA$6&gt;=EDATE($F$32,-3),DA$6&lt;EDATE($F$32,15)),$F$60*$F$23/18,0)</f>
        <v>0</v>
      </c>
      <c r="DB193" s="12">
        <f t="shared" si="440"/>
        <v>0</v>
      </c>
      <c r="DC193" s="12">
        <f t="shared" si="440"/>
        <v>0</v>
      </c>
      <c r="DD193" s="12">
        <f t="shared" si="440"/>
        <v>0</v>
      </c>
      <c r="DE193" s="12">
        <f t="shared" si="440"/>
        <v>0</v>
      </c>
      <c r="DF193" s="12">
        <f t="shared" si="440"/>
        <v>0</v>
      </c>
      <c r="DG193" s="12">
        <f t="shared" si="440"/>
        <v>0</v>
      </c>
      <c r="DH193" s="12">
        <f t="shared" si="440"/>
        <v>0</v>
      </c>
      <c r="DI193" s="12">
        <f t="shared" si="440"/>
        <v>0</v>
      </c>
      <c r="DJ193" s="12">
        <f t="shared" si="440"/>
        <v>0</v>
      </c>
      <c r="DK193" s="12">
        <f t="shared" si="440"/>
        <v>0</v>
      </c>
      <c r="DL193" s="12">
        <f t="shared" si="440"/>
        <v>0</v>
      </c>
      <c r="DM193" s="12">
        <f t="shared" si="440"/>
        <v>0</v>
      </c>
      <c r="DN193" s="12">
        <f t="shared" si="440"/>
        <v>0</v>
      </c>
      <c r="DO193" s="12">
        <f t="shared" si="440"/>
        <v>0</v>
      </c>
      <c r="DP193" s="12">
        <f t="shared" si="440"/>
        <v>0</v>
      </c>
      <c r="DQ193" s="12">
        <f t="shared" si="440"/>
        <v>0</v>
      </c>
      <c r="DR193" s="12">
        <f t="shared" si="440"/>
        <v>0</v>
      </c>
      <c r="DS193" s="12">
        <f t="shared" si="440"/>
        <v>0</v>
      </c>
      <c r="DT193" s="12">
        <f t="shared" si="440"/>
        <v>0</v>
      </c>
      <c r="DU193" s="12">
        <f t="shared" si="440"/>
        <v>0</v>
      </c>
      <c r="DV193" s="12">
        <f t="shared" si="440"/>
        <v>0</v>
      </c>
      <c r="DW193" s="12">
        <f t="shared" si="440"/>
        <v>0</v>
      </c>
      <c r="DX193" s="12">
        <f t="shared" si="440"/>
        <v>0</v>
      </c>
      <c r="DY193" s="12">
        <f t="shared" si="440"/>
        <v>0</v>
      </c>
      <c r="DZ193" s="12">
        <f t="shared" si="440"/>
        <v>0</v>
      </c>
      <c r="EA193" s="12">
        <f t="shared" si="440"/>
        <v>0</v>
      </c>
      <c r="EB193" s="12">
        <f t="shared" si="440"/>
        <v>0</v>
      </c>
      <c r="EC193" s="12">
        <f t="shared" si="440"/>
        <v>0</v>
      </c>
      <c r="ED193" s="12">
        <f t="shared" si="440"/>
        <v>0</v>
      </c>
      <c r="EE193" s="12">
        <f t="shared" si="440"/>
        <v>0</v>
      </c>
      <c r="EF193" s="12">
        <f t="shared" si="440"/>
        <v>0</v>
      </c>
      <c r="EG193" s="12">
        <f t="shared" ref="EG193:FH193" si="441">-IF(AND(EG$6&gt;=EDATE($F$32,-3),EG$6&lt;EDATE($F$32,15)),$F$60*$F$23/18,0)</f>
        <v>0</v>
      </c>
      <c r="EH193" s="12">
        <f t="shared" si="441"/>
        <v>0</v>
      </c>
      <c r="EI193" s="12">
        <f t="shared" si="441"/>
        <v>0</v>
      </c>
      <c r="EJ193" s="12">
        <f t="shared" si="441"/>
        <v>0</v>
      </c>
      <c r="EK193" s="12">
        <f t="shared" si="441"/>
        <v>0</v>
      </c>
      <c r="EL193" s="12">
        <f t="shared" si="441"/>
        <v>0</v>
      </c>
      <c r="EM193" s="12">
        <f t="shared" si="441"/>
        <v>0</v>
      </c>
      <c r="EN193" s="12">
        <f t="shared" si="441"/>
        <v>0</v>
      </c>
      <c r="EO193" s="12">
        <f t="shared" si="441"/>
        <v>0</v>
      </c>
      <c r="EP193" s="12">
        <f t="shared" si="441"/>
        <v>0</v>
      </c>
      <c r="EQ193" s="12">
        <f t="shared" si="441"/>
        <v>0</v>
      </c>
      <c r="ER193" s="12">
        <f t="shared" si="441"/>
        <v>0</v>
      </c>
      <c r="ES193" s="12">
        <f t="shared" si="441"/>
        <v>0</v>
      </c>
      <c r="ET193" s="12">
        <f t="shared" si="441"/>
        <v>0</v>
      </c>
      <c r="EU193" s="12">
        <f t="shared" si="441"/>
        <v>0</v>
      </c>
      <c r="EV193" s="12">
        <f t="shared" si="441"/>
        <v>0</v>
      </c>
      <c r="EW193" s="12">
        <f t="shared" si="441"/>
        <v>0</v>
      </c>
      <c r="EX193" s="12">
        <f t="shared" si="441"/>
        <v>0</v>
      </c>
      <c r="EY193" s="12">
        <f t="shared" si="441"/>
        <v>0</v>
      </c>
      <c r="EZ193" s="12">
        <f t="shared" si="441"/>
        <v>0</v>
      </c>
      <c r="FA193" s="12">
        <f t="shared" si="441"/>
        <v>0</v>
      </c>
      <c r="FB193" s="12">
        <f t="shared" si="441"/>
        <v>0</v>
      </c>
      <c r="FC193" s="12">
        <f t="shared" si="441"/>
        <v>0</v>
      </c>
      <c r="FD193" s="12">
        <f t="shared" si="441"/>
        <v>0</v>
      </c>
      <c r="FE193" s="12">
        <f t="shared" si="441"/>
        <v>0</v>
      </c>
      <c r="FF193" s="12">
        <f t="shared" si="441"/>
        <v>0</v>
      </c>
      <c r="FG193" s="12">
        <f t="shared" si="441"/>
        <v>0</v>
      </c>
      <c r="FH193" s="12">
        <f t="shared" si="441"/>
        <v>0</v>
      </c>
    </row>
    <row r="194" spans="1:164" x14ac:dyDescent="0.2">
      <c r="A194" s="10"/>
      <c r="B194" s="10"/>
      <c r="C194" s="10" t="s">
        <v>951</v>
      </c>
      <c r="D194" s="10"/>
      <c r="E194" s="10"/>
      <c r="F194" s="10"/>
      <c r="G194" s="10"/>
      <c r="H194" s="12">
        <f t="shared" si="406"/>
        <v>-11771.963956584068</v>
      </c>
      <c r="I194" s="12">
        <f t="shared" ref="I194:AN194" si="442">-IF(AND(I$6&gt;=$F$32,I$6&lt;EDATE($F$32,$F$70)),$F$71/$F$70,0)</f>
        <v>0</v>
      </c>
      <c r="J194" s="12">
        <f t="shared" si="442"/>
        <v>0</v>
      </c>
      <c r="K194" s="12">
        <f t="shared" si="442"/>
        <v>0</v>
      </c>
      <c r="L194" s="12">
        <f t="shared" si="442"/>
        <v>0</v>
      </c>
      <c r="M194" s="12">
        <f t="shared" si="442"/>
        <v>0</v>
      </c>
      <c r="N194" s="12">
        <f t="shared" si="442"/>
        <v>0</v>
      </c>
      <c r="O194" s="12">
        <f t="shared" si="442"/>
        <v>0</v>
      </c>
      <c r="P194" s="12">
        <f t="shared" si="442"/>
        <v>0</v>
      </c>
      <c r="Q194" s="12">
        <f t="shared" si="442"/>
        <v>0</v>
      </c>
      <c r="R194" s="12">
        <f t="shared" si="442"/>
        <v>0</v>
      </c>
      <c r="S194" s="12">
        <f t="shared" si="442"/>
        <v>0</v>
      </c>
      <c r="T194" s="12">
        <f t="shared" si="442"/>
        <v>0</v>
      </c>
      <c r="U194" s="12">
        <f t="shared" si="442"/>
        <v>0</v>
      </c>
      <c r="V194" s="12">
        <f t="shared" si="442"/>
        <v>0</v>
      </c>
      <c r="W194" s="12">
        <f t="shared" si="442"/>
        <v>0</v>
      </c>
      <c r="X194" s="12">
        <f t="shared" si="442"/>
        <v>0</v>
      </c>
      <c r="Y194" s="12">
        <f t="shared" si="442"/>
        <v>0</v>
      </c>
      <c r="Z194" s="12">
        <f t="shared" si="442"/>
        <v>0</v>
      </c>
      <c r="AA194" s="12">
        <f t="shared" si="442"/>
        <v>0</v>
      </c>
      <c r="AB194" s="12">
        <f t="shared" si="442"/>
        <v>0</v>
      </c>
      <c r="AC194" s="12">
        <f t="shared" si="442"/>
        <v>0</v>
      </c>
      <c r="AD194" s="12">
        <f t="shared" si="442"/>
        <v>0</v>
      </c>
      <c r="AE194" s="12">
        <f t="shared" si="442"/>
        <v>0</v>
      </c>
      <c r="AF194" s="12">
        <f t="shared" si="442"/>
        <v>0</v>
      </c>
      <c r="AG194" s="12">
        <f t="shared" si="442"/>
        <v>0</v>
      </c>
      <c r="AH194" s="12">
        <f t="shared" si="442"/>
        <v>0</v>
      </c>
      <c r="AI194" s="12">
        <f t="shared" si="442"/>
        <v>0</v>
      </c>
      <c r="AJ194" s="12">
        <f t="shared" si="442"/>
        <v>0</v>
      </c>
      <c r="AK194" s="12">
        <f t="shared" si="442"/>
        <v>0</v>
      </c>
      <c r="AL194" s="12">
        <f t="shared" si="442"/>
        <v>0</v>
      </c>
      <c r="AM194" s="12">
        <f t="shared" si="442"/>
        <v>0</v>
      </c>
      <c r="AN194" s="12">
        <f t="shared" si="442"/>
        <v>0</v>
      </c>
      <c r="AO194" s="12">
        <f t="shared" ref="AO194:BT194" si="443">-IF(AND(AO$6&gt;=$F$32,AO$6&lt;EDATE($F$32,$F$70)),$F$71/$F$70,0)</f>
        <v>0</v>
      </c>
      <c r="AP194" s="12">
        <f t="shared" si="443"/>
        <v>0</v>
      </c>
      <c r="AQ194" s="12">
        <f t="shared" si="443"/>
        <v>0</v>
      </c>
      <c r="AR194" s="12">
        <f t="shared" si="443"/>
        <v>0</v>
      </c>
      <c r="AS194" s="12">
        <f t="shared" si="443"/>
        <v>0</v>
      </c>
      <c r="AT194" s="12">
        <f t="shared" si="443"/>
        <v>0</v>
      </c>
      <c r="AU194" s="12">
        <f t="shared" si="443"/>
        <v>0</v>
      </c>
      <c r="AV194" s="12">
        <f t="shared" si="443"/>
        <v>0</v>
      </c>
      <c r="AW194" s="12">
        <f t="shared" si="443"/>
        <v>0</v>
      </c>
      <c r="AX194" s="12">
        <f t="shared" si="443"/>
        <v>0</v>
      </c>
      <c r="AY194" s="12">
        <f t="shared" si="443"/>
        <v>0</v>
      </c>
      <c r="AZ194" s="12">
        <f t="shared" si="443"/>
        <v>0</v>
      </c>
      <c r="BA194" s="12">
        <f t="shared" si="443"/>
        <v>0</v>
      </c>
      <c r="BB194" s="12">
        <f t="shared" si="443"/>
        <v>0</v>
      </c>
      <c r="BC194" s="12">
        <f t="shared" si="443"/>
        <v>0</v>
      </c>
      <c r="BD194" s="12">
        <f t="shared" si="443"/>
        <v>0</v>
      </c>
      <c r="BE194" s="12">
        <f t="shared" si="443"/>
        <v>0</v>
      </c>
      <c r="BF194" s="12">
        <f t="shared" si="443"/>
        <v>0</v>
      </c>
      <c r="BG194" s="12">
        <f t="shared" si="443"/>
        <v>0</v>
      </c>
      <c r="BH194" s="12">
        <f t="shared" si="443"/>
        <v>0</v>
      </c>
      <c r="BI194" s="12">
        <f t="shared" si="443"/>
        <v>0</v>
      </c>
      <c r="BJ194" s="12">
        <f t="shared" si="443"/>
        <v>0</v>
      </c>
      <c r="BK194" s="12">
        <f t="shared" si="443"/>
        <v>0</v>
      </c>
      <c r="BL194" s="12">
        <f t="shared" si="443"/>
        <v>0</v>
      </c>
      <c r="BM194" s="12">
        <f t="shared" si="443"/>
        <v>0</v>
      </c>
      <c r="BN194" s="12">
        <f t="shared" si="443"/>
        <v>0</v>
      </c>
      <c r="BO194" s="12">
        <f t="shared" si="443"/>
        <v>0</v>
      </c>
      <c r="BP194" s="12">
        <f t="shared" si="443"/>
        <v>0</v>
      </c>
      <c r="BQ194" s="12">
        <f t="shared" si="443"/>
        <v>-980.9969963820057</v>
      </c>
      <c r="BR194" s="12">
        <f t="shared" si="443"/>
        <v>-980.9969963820057</v>
      </c>
      <c r="BS194" s="12">
        <f t="shared" si="443"/>
        <v>-980.9969963820057</v>
      </c>
      <c r="BT194" s="12">
        <f t="shared" si="443"/>
        <v>-980.9969963820057</v>
      </c>
      <c r="BU194" s="12">
        <f t="shared" ref="BU194:CZ194" si="444">-IF(AND(BU$6&gt;=$F$32,BU$6&lt;EDATE($F$32,$F$70)),$F$71/$F$70,0)</f>
        <v>-980.9969963820057</v>
      </c>
      <c r="BV194" s="12">
        <f t="shared" si="444"/>
        <v>-980.9969963820057</v>
      </c>
      <c r="BW194" s="12">
        <f t="shared" si="444"/>
        <v>-980.9969963820057</v>
      </c>
      <c r="BX194" s="12">
        <f t="shared" si="444"/>
        <v>-980.9969963820057</v>
      </c>
      <c r="BY194" s="12">
        <f t="shared" si="444"/>
        <v>-980.9969963820057</v>
      </c>
      <c r="BZ194" s="12">
        <f t="shared" si="444"/>
        <v>-980.9969963820057</v>
      </c>
      <c r="CA194" s="12">
        <f t="shared" si="444"/>
        <v>-980.9969963820057</v>
      </c>
      <c r="CB194" s="12">
        <f t="shared" si="444"/>
        <v>-980.9969963820057</v>
      </c>
      <c r="CC194" s="12">
        <f t="shared" si="444"/>
        <v>0</v>
      </c>
      <c r="CD194" s="12">
        <f t="shared" si="444"/>
        <v>0</v>
      </c>
      <c r="CE194" s="12">
        <f t="shared" si="444"/>
        <v>0</v>
      </c>
      <c r="CF194" s="12">
        <f t="shared" si="444"/>
        <v>0</v>
      </c>
      <c r="CG194" s="12">
        <f t="shared" si="444"/>
        <v>0</v>
      </c>
      <c r="CH194" s="12">
        <f t="shared" si="444"/>
        <v>0</v>
      </c>
      <c r="CI194" s="12">
        <f t="shared" si="444"/>
        <v>0</v>
      </c>
      <c r="CJ194" s="12">
        <f t="shared" si="444"/>
        <v>0</v>
      </c>
      <c r="CK194" s="12">
        <f t="shared" si="444"/>
        <v>0</v>
      </c>
      <c r="CL194" s="12">
        <f t="shared" si="444"/>
        <v>0</v>
      </c>
      <c r="CM194" s="12">
        <f t="shared" si="444"/>
        <v>0</v>
      </c>
      <c r="CN194" s="12">
        <f t="shared" si="444"/>
        <v>0</v>
      </c>
      <c r="CO194" s="12">
        <f t="shared" si="444"/>
        <v>0</v>
      </c>
      <c r="CP194" s="12">
        <f t="shared" si="444"/>
        <v>0</v>
      </c>
      <c r="CQ194" s="12">
        <f t="shared" si="444"/>
        <v>0</v>
      </c>
      <c r="CR194" s="12">
        <f t="shared" si="444"/>
        <v>0</v>
      </c>
      <c r="CS194" s="12">
        <f t="shared" si="444"/>
        <v>0</v>
      </c>
      <c r="CT194" s="12">
        <f t="shared" si="444"/>
        <v>0</v>
      </c>
      <c r="CU194" s="12">
        <f t="shared" si="444"/>
        <v>0</v>
      </c>
      <c r="CV194" s="12">
        <f t="shared" si="444"/>
        <v>0</v>
      </c>
      <c r="CW194" s="12">
        <f t="shared" si="444"/>
        <v>0</v>
      </c>
      <c r="CX194" s="12">
        <f t="shared" si="444"/>
        <v>0</v>
      </c>
      <c r="CY194" s="12">
        <f t="shared" si="444"/>
        <v>0</v>
      </c>
      <c r="CZ194" s="12">
        <f t="shared" si="444"/>
        <v>0</v>
      </c>
      <c r="DA194" s="12">
        <f t="shared" ref="DA194:EF194" si="445">-IF(AND(DA$6&gt;=$F$32,DA$6&lt;EDATE($F$32,$F$70)),$F$71/$F$70,0)</f>
        <v>0</v>
      </c>
      <c r="DB194" s="12">
        <f t="shared" si="445"/>
        <v>0</v>
      </c>
      <c r="DC194" s="12">
        <f t="shared" si="445"/>
        <v>0</v>
      </c>
      <c r="DD194" s="12">
        <f t="shared" si="445"/>
        <v>0</v>
      </c>
      <c r="DE194" s="12">
        <f t="shared" si="445"/>
        <v>0</v>
      </c>
      <c r="DF194" s="12">
        <f t="shared" si="445"/>
        <v>0</v>
      </c>
      <c r="DG194" s="12">
        <f t="shared" si="445"/>
        <v>0</v>
      </c>
      <c r="DH194" s="12">
        <f t="shared" si="445"/>
        <v>0</v>
      </c>
      <c r="DI194" s="12">
        <f t="shared" si="445"/>
        <v>0</v>
      </c>
      <c r="DJ194" s="12">
        <f t="shared" si="445"/>
        <v>0</v>
      </c>
      <c r="DK194" s="12">
        <f t="shared" si="445"/>
        <v>0</v>
      </c>
      <c r="DL194" s="12">
        <f t="shared" si="445"/>
        <v>0</v>
      </c>
      <c r="DM194" s="12">
        <f t="shared" si="445"/>
        <v>0</v>
      </c>
      <c r="DN194" s="12">
        <f t="shared" si="445"/>
        <v>0</v>
      </c>
      <c r="DO194" s="12">
        <f t="shared" si="445"/>
        <v>0</v>
      </c>
      <c r="DP194" s="12">
        <f t="shared" si="445"/>
        <v>0</v>
      </c>
      <c r="DQ194" s="12">
        <f t="shared" si="445"/>
        <v>0</v>
      </c>
      <c r="DR194" s="12">
        <f t="shared" si="445"/>
        <v>0</v>
      </c>
      <c r="DS194" s="12">
        <f t="shared" si="445"/>
        <v>0</v>
      </c>
      <c r="DT194" s="12">
        <f t="shared" si="445"/>
        <v>0</v>
      </c>
      <c r="DU194" s="12">
        <f t="shared" si="445"/>
        <v>0</v>
      </c>
      <c r="DV194" s="12">
        <f t="shared" si="445"/>
        <v>0</v>
      </c>
      <c r="DW194" s="12">
        <f t="shared" si="445"/>
        <v>0</v>
      </c>
      <c r="DX194" s="12">
        <f t="shared" si="445"/>
        <v>0</v>
      </c>
      <c r="DY194" s="12">
        <f t="shared" si="445"/>
        <v>0</v>
      </c>
      <c r="DZ194" s="12">
        <f t="shared" si="445"/>
        <v>0</v>
      </c>
      <c r="EA194" s="12">
        <f t="shared" si="445"/>
        <v>0</v>
      </c>
      <c r="EB194" s="12">
        <f t="shared" si="445"/>
        <v>0</v>
      </c>
      <c r="EC194" s="12">
        <f t="shared" si="445"/>
        <v>0</v>
      </c>
      <c r="ED194" s="12">
        <f t="shared" si="445"/>
        <v>0</v>
      </c>
      <c r="EE194" s="12">
        <f t="shared" si="445"/>
        <v>0</v>
      </c>
      <c r="EF194" s="12">
        <f t="shared" si="445"/>
        <v>0</v>
      </c>
      <c r="EG194" s="12">
        <f t="shared" ref="EG194:FH194" si="446">-IF(AND(EG$6&gt;=$F$32,EG$6&lt;EDATE($F$32,$F$70)),$F$71/$F$70,0)</f>
        <v>0</v>
      </c>
      <c r="EH194" s="12">
        <f t="shared" si="446"/>
        <v>0</v>
      </c>
      <c r="EI194" s="12">
        <f t="shared" si="446"/>
        <v>0</v>
      </c>
      <c r="EJ194" s="12">
        <f t="shared" si="446"/>
        <v>0</v>
      </c>
      <c r="EK194" s="12">
        <f t="shared" si="446"/>
        <v>0</v>
      </c>
      <c r="EL194" s="12">
        <f t="shared" si="446"/>
        <v>0</v>
      </c>
      <c r="EM194" s="12">
        <f t="shared" si="446"/>
        <v>0</v>
      </c>
      <c r="EN194" s="12">
        <f t="shared" si="446"/>
        <v>0</v>
      </c>
      <c r="EO194" s="12">
        <f t="shared" si="446"/>
        <v>0</v>
      </c>
      <c r="EP194" s="12">
        <f t="shared" si="446"/>
        <v>0</v>
      </c>
      <c r="EQ194" s="12">
        <f t="shared" si="446"/>
        <v>0</v>
      </c>
      <c r="ER194" s="12">
        <f t="shared" si="446"/>
        <v>0</v>
      </c>
      <c r="ES194" s="12">
        <f t="shared" si="446"/>
        <v>0</v>
      </c>
      <c r="ET194" s="12">
        <f t="shared" si="446"/>
        <v>0</v>
      </c>
      <c r="EU194" s="12">
        <f t="shared" si="446"/>
        <v>0</v>
      </c>
      <c r="EV194" s="12">
        <f t="shared" si="446"/>
        <v>0</v>
      </c>
      <c r="EW194" s="12">
        <f t="shared" si="446"/>
        <v>0</v>
      </c>
      <c r="EX194" s="12">
        <f t="shared" si="446"/>
        <v>0</v>
      </c>
      <c r="EY194" s="12">
        <f t="shared" si="446"/>
        <v>0</v>
      </c>
      <c r="EZ194" s="12">
        <f t="shared" si="446"/>
        <v>0</v>
      </c>
      <c r="FA194" s="12">
        <f t="shared" si="446"/>
        <v>0</v>
      </c>
      <c r="FB194" s="12">
        <f t="shared" si="446"/>
        <v>0</v>
      </c>
      <c r="FC194" s="12">
        <f t="shared" si="446"/>
        <v>0</v>
      </c>
      <c r="FD194" s="12">
        <f t="shared" si="446"/>
        <v>0</v>
      </c>
      <c r="FE194" s="12">
        <f t="shared" si="446"/>
        <v>0</v>
      </c>
      <c r="FF194" s="12">
        <f t="shared" si="446"/>
        <v>0</v>
      </c>
      <c r="FG194" s="12">
        <f t="shared" si="446"/>
        <v>0</v>
      </c>
      <c r="FH194" s="12">
        <f t="shared" si="446"/>
        <v>0</v>
      </c>
    </row>
    <row r="195" spans="1:164" x14ac:dyDescent="0.2">
      <c r="A195" s="10"/>
      <c r="B195" s="10"/>
      <c r="C195" s="238" t="s">
        <v>2</v>
      </c>
      <c r="D195" s="238"/>
      <c r="E195" s="238"/>
      <c r="F195" s="238"/>
      <c r="G195" s="238"/>
      <c r="H195" s="239">
        <f t="shared" si="406"/>
        <v>-252467.56670658401</v>
      </c>
      <c r="I195" s="239">
        <f t="shared" ref="I195:AN195" si="447">SUM(I188:I194)</f>
        <v>0</v>
      </c>
      <c r="J195" s="239">
        <f t="shared" si="447"/>
        <v>0</v>
      </c>
      <c r="K195" s="239">
        <f t="shared" si="447"/>
        <v>0</v>
      </c>
      <c r="L195" s="239">
        <f t="shared" si="447"/>
        <v>0</v>
      </c>
      <c r="M195" s="239">
        <f t="shared" si="447"/>
        <v>0</v>
      </c>
      <c r="N195" s="239">
        <f t="shared" si="447"/>
        <v>0</v>
      </c>
      <c r="O195" s="239">
        <f t="shared" si="447"/>
        <v>0</v>
      </c>
      <c r="P195" s="239">
        <f t="shared" si="447"/>
        <v>0</v>
      </c>
      <c r="Q195" s="239">
        <f t="shared" si="447"/>
        <v>0</v>
      </c>
      <c r="R195" s="239">
        <f t="shared" si="447"/>
        <v>0</v>
      </c>
      <c r="S195" s="239">
        <f t="shared" si="447"/>
        <v>0</v>
      </c>
      <c r="T195" s="239">
        <f t="shared" si="447"/>
        <v>0</v>
      </c>
      <c r="U195" s="239">
        <f t="shared" si="447"/>
        <v>0</v>
      </c>
      <c r="V195" s="239">
        <f t="shared" si="447"/>
        <v>0</v>
      </c>
      <c r="W195" s="239">
        <f t="shared" si="447"/>
        <v>0</v>
      </c>
      <c r="X195" s="239">
        <f t="shared" si="447"/>
        <v>0</v>
      </c>
      <c r="Y195" s="239">
        <f t="shared" si="447"/>
        <v>0</v>
      </c>
      <c r="Z195" s="239">
        <f t="shared" si="447"/>
        <v>0</v>
      </c>
      <c r="AA195" s="239">
        <f t="shared" si="447"/>
        <v>0</v>
      </c>
      <c r="AB195" s="239">
        <f t="shared" si="447"/>
        <v>0</v>
      </c>
      <c r="AC195" s="239">
        <f t="shared" si="447"/>
        <v>0</v>
      </c>
      <c r="AD195" s="239">
        <f t="shared" si="447"/>
        <v>0</v>
      </c>
      <c r="AE195" s="239">
        <f t="shared" si="447"/>
        <v>0</v>
      </c>
      <c r="AF195" s="239">
        <f t="shared" si="447"/>
        <v>0</v>
      </c>
      <c r="AG195" s="239">
        <f t="shared" si="447"/>
        <v>0</v>
      </c>
      <c r="AH195" s="239">
        <f t="shared" si="447"/>
        <v>0</v>
      </c>
      <c r="AI195" s="239">
        <f t="shared" si="447"/>
        <v>0</v>
      </c>
      <c r="AJ195" s="239">
        <f t="shared" si="447"/>
        <v>0</v>
      </c>
      <c r="AK195" s="239">
        <f t="shared" si="447"/>
        <v>0</v>
      </c>
      <c r="AL195" s="239">
        <f t="shared" si="447"/>
        <v>0</v>
      </c>
      <c r="AM195" s="239">
        <f t="shared" si="447"/>
        <v>0</v>
      </c>
      <c r="AN195" s="239">
        <f t="shared" si="447"/>
        <v>0</v>
      </c>
      <c r="AO195" s="239">
        <f t="shared" ref="AO195:BT195" si="448">SUM(AO188:AO194)</f>
        <v>0</v>
      </c>
      <c r="AP195" s="239">
        <f t="shared" si="448"/>
        <v>0</v>
      </c>
      <c r="AQ195" s="239">
        <f t="shared" si="448"/>
        <v>0</v>
      </c>
      <c r="AR195" s="239">
        <f t="shared" si="448"/>
        <v>0</v>
      </c>
      <c r="AS195" s="239">
        <f t="shared" si="448"/>
        <v>0</v>
      </c>
      <c r="AT195" s="239">
        <f t="shared" si="448"/>
        <v>0</v>
      </c>
      <c r="AU195" s="239">
        <f t="shared" si="448"/>
        <v>0</v>
      </c>
      <c r="AV195" s="239">
        <f t="shared" si="448"/>
        <v>0</v>
      </c>
      <c r="AW195" s="239">
        <f t="shared" si="448"/>
        <v>0</v>
      </c>
      <c r="AX195" s="239">
        <f t="shared" si="448"/>
        <v>0</v>
      </c>
      <c r="AY195" s="239">
        <f t="shared" si="448"/>
        <v>0</v>
      </c>
      <c r="AZ195" s="239">
        <f t="shared" si="448"/>
        <v>0</v>
      </c>
      <c r="BA195" s="239">
        <f t="shared" si="448"/>
        <v>0</v>
      </c>
      <c r="BB195" s="239">
        <f t="shared" si="448"/>
        <v>0</v>
      </c>
      <c r="BC195" s="239">
        <f t="shared" si="448"/>
        <v>0</v>
      </c>
      <c r="BD195" s="239">
        <f t="shared" si="448"/>
        <v>0</v>
      </c>
      <c r="BE195" s="239">
        <f t="shared" si="448"/>
        <v>0</v>
      </c>
      <c r="BF195" s="239">
        <f t="shared" si="448"/>
        <v>0</v>
      </c>
      <c r="BG195" s="239">
        <f t="shared" si="448"/>
        <v>0</v>
      </c>
      <c r="BH195" s="239">
        <f t="shared" si="448"/>
        <v>0</v>
      </c>
      <c r="BI195" s="239">
        <f t="shared" si="448"/>
        <v>0</v>
      </c>
      <c r="BJ195" s="239">
        <f t="shared" si="448"/>
        <v>0</v>
      </c>
      <c r="BK195" s="239">
        <f t="shared" si="448"/>
        <v>-231.84608333333333</v>
      </c>
      <c r="BL195" s="239">
        <f t="shared" si="448"/>
        <v>-231.84608333333333</v>
      </c>
      <c r="BM195" s="239">
        <f t="shared" si="448"/>
        <v>-231.84608333333333</v>
      </c>
      <c r="BN195" s="239">
        <f t="shared" si="448"/>
        <v>-928.45091666666656</v>
      </c>
      <c r="BO195" s="239">
        <f t="shared" si="448"/>
        <v>-928.45091666666656</v>
      </c>
      <c r="BP195" s="239">
        <f t="shared" si="448"/>
        <v>-928.45091666666656</v>
      </c>
      <c r="BQ195" s="239">
        <f t="shared" si="448"/>
        <v>-1909.4479130486723</v>
      </c>
      <c r="BR195" s="239">
        <f t="shared" si="448"/>
        <v>-1909.4479130486723</v>
      </c>
      <c r="BS195" s="239">
        <f t="shared" si="448"/>
        <v>-1909.4479130486723</v>
      </c>
      <c r="BT195" s="239">
        <f t="shared" si="448"/>
        <v>-1909.4479130486723</v>
      </c>
      <c r="BU195" s="239">
        <f t="shared" ref="BU195:CZ195" si="449">SUM(BU188:BU194)</f>
        <v>-1909.4479130486723</v>
      </c>
      <c r="BV195" s="239">
        <f t="shared" si="449"/>
        <v>-1909.4479130486723</v>
      </c>
      <c r="BW195" s="239">
        <f t="shared" si="449"/>
        <v>-2955.5577613051469</v>
      </c>
      <c r="BX195" s="239">
        <f t="shared" si="449"/>
        <v>-4065.7753522839848</v>
      </c>
      <c r="BY195" s="239">
        <f t="shared" si="449"/>
        <v>-5157.7137781406464</v>
      </c>
      <c r="BZ195" s="239">
        <f t="shared" si="449"/>
        <v>-6219.4095329786387</v>
      </c>
      <c r="CA195" s="239">
        <f t="shared" si="449"/>
        <v>-7239.230455933839</v>
      </c>
      <c r="CB195" s="239">
        <f t="shared" si="449"/>
        <v>-8206.0031755631007</v>
      </c>
      <c r="CC195" s="239">
        <f t="shared" si="449"/>
        <v>-8128.138531257966</v>
      </c>
      <c r="CD195" s="239">
        <f t="shared" si="449"/>
        <v>-8957.7356087404896</v>
      </c>
      <c r="CE195" s="239">
        <f t="shared" si="449"/>
        <v>-9704.7081724434247</v>
      </c>
      <c r="CF195" s="239">
        <f t="shared" si="449"/>
        <v>-9664.2674013114465</v>
      </c>
      <c r="CG195" s="239">
        <f t="shared" si="449"/>
        <v>-10222.43389123459</v>
      </c>
      <c r="CH195" s="239">
        <f t="shared" si="449"/>
        <v>-10676.48742001207</v>
      </c>
      <c r="CI195" s="239">
        <f t="shared" si="449"/>
        <v>-11021.453282165798</v>
      </c>
      <c r="CJ195" s="239">
        <f t="shared" si="449"/>
        <v>-11253.551959521266</v>
      </c>
      <c r="CK195" s="239">
        <f t="shared" si="449"/>
        <v>-11370.240530399598</v>
      </c>
      <c r="CL195" s="239">
        <f t="shared" si="449"/>
        <v>-11370.240530399598</v>
      </c>
      <c r="CM195" s="239">
        <f t="shared" si="449"/>
        <v>-11253.551959521266</v>
      </c>
      <c r="CN195" s="239">
        <f t="shared" si="449"/>
        <v>-11021.453282165798</v>
      </c>
      <c r="CO195" s="239">
        <f t="shared" si="449"/>
        <v>-10676.48742001207</v>
      </c>
      <c r="CP195" s="239">
        <f t="shared" si="449"/>
        <v>-10222.43389123459</v>
      </c>
      <c r="CQ195" s="239">
        <f t="shared" si="449"/>
        <v>-9664.2674013114502</v>
      </c>
      <c r="CR195" s="239">
        <f t="shared" si="449"/>
        <v>-9008.1033391100937</v>
      </c>
      <c r="CS195" s="239">
        <f t="shared" si="449"/>
        <v>-8261.1307754071586</v>
      </c>
      <c r="CT195" s="239">
        <f t="shared" si="449"/>
        <v>-7431.5336979246322</v>
      </c>
      <c r="CU195" s="239">
        <f t="shared" si="449"/>
        <v>-6528.4013458477657</v>
      </c>
      <c r="CV195" s="239">
        <f t="shared" si="449"/>
        <v>-5561.6286262185022</v>
      </c>
      <c r="CW195" s="239">
        <f t="shared" si="449"/>
        <v>-4541.8077032633</v>
      </c>
      <c r="CX195" s="239">
        <f t="shared" si="449"/>
        <v>-3480.1119484253054</v>
      </c>
      <c r="CY195" s="239">
        <f t="shared" si="449"/>
        <v>-2388.1735225686466</v>
      </c>
      <c r="CZ195" s="239">
        <f t="shared" si="449"/>
        <v>-1277.9559315898077</v>
      </c>
      <c r="DA195" s="239">
        <f t="shared" ref="DA195:EF195" si="450">SUM(DA188:DA194)</f>
        <v>0</v>
      </c>
      <c r="DB195" s="239">
        <f t="shared" si="450"/>
        <v>0</v>
      </c>
      <c r="DC195" s="239">
        <f t="shared" si="450"/>
        <v>0</v>
      </c>
      <c r="DD195" s="239">
        <f t="shared" si="450"/>
        <v>0</v>
      </c>
      <c r="DE195" s="239">
        <f t="shared" si="450"/>
        <v>0</v>
      </c>
      <c r="DF195" s="239">
        <f t="shared" si="450"/>
        <v>0</v>
      </c>
      <c r="DG195" s="239">
        <f t="shared" si="450"/>
        <v>0</v>
      </c>
      <c r="DH195" s="239">
        <f t="shared" si="450"/>
        <v>0</v>
      </c>
      <c r="DI195" s="239">
        <f t="shared" si="450"/>
        <v>0</v>
      </c>
      <c r="DJ195" s="239">
        <f t="shared" si="450"/>
        <v>0</v>
      </c>
      <c r="DK195" s="239">
        <f t="shared" si="450"/>
        <v>0</v>
      </c>
      <c r="DL195" s="239">
        <f t="shared" si="450"/>
        <v>0</v>
      </c>
      <c r="DM195" s="239">
        <f t="shared" si="450"/>
        <v>0</v>
      </c>
      <c r="DN195" s="239">
        <f t="shared" si="450"/>
        <v>0</v>
      </c>
      <c r="DO195" s="239">
        <f t="shared" si="450"/>
        <v>0</v>
      </c>
      <c r="DP195" s="239">
        <f t="shared" si="450"/>
        <v>0</v>
      </c>
      <c r="DQ195" s="239">
        <f t="shared" si="450"/>
        <v>0</v>
      </c>
      <c r="DR195" s="239">
        <f t="shared" si="450"/>
        <v>0</v>
      </c>
      <c r="DS195" s="239">
        <f t="shared" si="450"/>
        <v>0</v>
      </c>
      <c r="DT195" s="239">
        <f t="shared" si="450"/>
        <v>0</v>
      </c>
      <c r="DU195" s="239">
        <f t="shared" si="450"/>
        <v>0</v>
      </c>
      <c r="DV195" s="239">
        <f t="shared" si="450"/>
        <v>0</v>
      </c>
      <c r="DW195" s="239">
        <f t="shared" si="450"/>
        <v>0</v>
      </c>
      <c r="DX195" s="239">
        <f t="shared" si="450"/>
        <v>0</v>
      </c>
      <c r="DY195" s="239">
        <f t="shared" si="450"/>
        <v>0</v>
      </c>
      <c r="DZ195" s="239">
        <f t="shared" si="450"/>
        <v>0</v>
      </c>
      <c r="EA195" s="239">
        <f t="shared" si="450"/>
        <v>0</v>
      </c>
      <c r="EB195" s="239">
        <f t="shared" si="450"/>
        <v>0</v>
      </c>
      <c r="EC195" s="239">
        <f t="shared" si="450"/>
        <v>0</v>
      </c>
      <c r="ED195" s="239">
        <f t="shared" si="450"/>
        <v>0</v>
      </c>
      <c r="EE195" s="239">
        <f t="shared" si="450"/>
        <v>0</v>
      </c>
      <c r="EF195" s="239">
        <f t="shared" si="450"/>
        <v>0</v>
      </c>
      <c r="EG195" s="239">
        <f t="shared" ref="EG195:FH195" si="451">SUM(EG188:EG194)</f>
        <v>0</v>
      </c>
      <c r="EH195" s="239">
        <f t="shared" si="451"/>
        <v>0</v>
      </c>
      <c r="EI195" s="239">
        <f t="shared" si="451"/>
        <v>0</v>
      </c>
      <c r="EJ195" s="239">
        <f t="shared" si="451"/>
        <v>0</v>
      </c>
      <c r="EK195" s="239">
        <f t="shared" si="451"/>
        <v>0</v>
      </c>
      <c r="EL195" s="239">
        <f t="shared" si="451"/>
        <v>0</v>
      </c>
      <c r="EM195" s="239">
        <f t="shared" si="451"/>
        <v>0</v>
      </c>
      <c r="EN195" s="239">
        <f t="shared" si="451"/>
        <v>0</v>
      </c>
      <c r="EO195" s="239">
        <f t="shared" si="451"/>
        <v>0</v>
      </c>
      <c r="EP195" s="239">
        <f t="shared" si="451"/>
        <v>0</v>
      </c>
      <c r="EQ195" s="239">
        <f t="shared" si="451"/>
        <v>0</v>
      </c>
      <c r="ER195" s="239">
        <f t="shared" si="451"/>
        <v>0</v>
      </c>
      <c r="ES195" s="239">
        <f t="shared" si="451"/>
        <v>0</v>
      </c>
      <c r="ET195" s="239">
        <f t="shared" si="451"/>
        <v>0</v>
      </c>
      <c r="EU195" s="239">
        <f t="shared" si="451"/>
        <v>0</v>
      </c>
      <c r="EV195" s="239">
        <f t="shared" si="451"/>
        <v>0</v>
      </c>
      <c r="EW195" s="239">
        <f t="shared" si="451"/>
        <v>0</v>
      </c>
      <c r="EX195" s="239">
        <f t="shared" si="451"/>
        <v>0</v>
      </c>
      <c r="EY195" s="239">
        <f t="shared" si="451"/>
        <v>0</v>
      </c>
      <c r="EZ195" s="239">
        <f t="shared" si="451"/>
        <v>0</v>
      </c>
      <c r="FA195" s="239">
        <f t="shared" si="451"/>
        <v>0</v>
      </c>
      <c r="FB195" s="239">
        <f t="shared" si="451"/>
        <v>0</v>
      </c>
      <c r="FC195" s="239">
        <f t="shared" si="451"/>
        <v>0</v>
      </c>
      <c r="FD195" s="239">
        <f t="shared" si="451"/>
        <v>0</v>
      </c>
      <c r="FE195" s="239">
        <f t="shared" si="451"/>
        <v>0</v>
      </c>
      <c r="FF195" s="239">
        <f t="shared" si="451"/>
        <v>0</v>
      </c>
      <c r="FG195" s="239">
        <f t="shared" si="451"/>
        <v>0</v>
      </c>
      <c r="FH195" s="239">
        <f t="shared" si="451"/>
        <v>0</v>
      </c>
    </row>
    <row r="196" spans="1:164" x14ac:dyDescent="0.2">
      <c r="A196" s="10"/>
      <c r="B196" s="31" t="s">
        <v>915</v>
      </c>
      <c r="C196" s="31"/>
      <c r="D196" s="31"/>
      <c r="E196" s="31"/>
      <c r="F196" s="31"/>
      <c r="G196" s="31"/>
      <c r="H196" s="32">
        <f t="shared" si="406"/>
        <v>128714.59809341576</v>
      </c>
      <c r="I196" s="32">
        <f t="shared" ref="I196:AN196" si="452">I185+I195</f>
        <v>0</v>
      </c>
      <c r="J196" s="32">
        <f t="shared" si="452"/>
        <v>0</v>
      </c>
      <c r="K196" s="32">
        <f t="shared" si="452"/>
        <v>0</v>
      </c>
      <c r="L196" s="32">
        <f t="shared" si="452"/>
        <v>0</v>
      </c>
      <c r="M196" s="32">
        <f t="shared" si="452"/>
        <v>0</v>
      </c>
      <c r="N196" s="32">
        <f t="shared" si="452"/>
        <v>0</v>
      </c>
      <c r="O196" s="32">
        <f t="shared" si="452"/>
        <v>0</v>
      </c>
      <c r="P196" s="32">
        <f t="shared" si="452"/>
        <v>0</v>
      </c>
      <c r="Q196" s="32">
        <f t="shared" si="452"/>
        <v>0</v>
      </c>
      <c r="R196" s="32">
        <f t="shared" si="452"/>
        <v>0</v>
      </c>
      <c r="S196" s="32">
        <f t="shared" si="452"/>
        <v>0</v>
      </c>
      <c r="T196" s="32">
        <f t="shared" si="452"/>
        <v>0</v>
      </c>
      <c r="U196" s="32">
        <f t="shared" si="452"/>
        <v>0</v>
      </c>
      <c r="V196" s="32">
        <f t="shared" si="452"/>
        <v>0</v>
      </c>
      <c r="W196" s="32">
        <f t="shared" si="452"/>
        <v>0</v>
      </c>
      <c r="X196" s="32">
        <f t="shared" si="452"/>
        <v>0</v>
      </c>
      <c r="Y196" s="32">
        <f t="shared" si="452"/>
        <v>0</v>
      </c>
      <c r="Z196" s="32">
        <f t="shared" si="452"/>
        <v>0</v>
      </c>
      <c r="AA196" s="32">
        <f t="shared" si="452"/>
        <v>0</v>
      </c>
      <c r="AB196" s="32">
        <f t="shared" si="452"/>
        <v>0</v>
      </c>
      <c r="AC196" s="32">
        <f t="shared" si="452"/>
        <v>0</v>
      </c>
      <c r="AD196" s="32">
        <f t="shared" si="452"/>
        <v>0</v>
      </c>
      <c r="AE196" s="32">
        <f t="shared" si="452"/>
        <v>0</v>
      </c>
      <c r="AF196" s="32">
        <f t="shared" si="452"/>
        <v>0</v>
      </c>
      <c r="AG196" s="32">
        <f t="shared" si="452"/>
        <v>0</v>
      </c>
      <c r="AH196" s="32">
        <f t="shared" si="452"/>
        <v>0</v>
      </c>
      <c r="AI196" s="32">
        <f t="shared" si="452"/>
        <v>0</v>
      </c>
      <c r="AJ196" s="32">
        <f t="shared" si="452"/>
        <v>0</v>
      </c>
      <c r="AK196" s="32">
        <f t="shared" si="452"/>
        <v>0</v>
      </c>
      <c r="AL196" s="32">
        <f t="shared" si="452"/>
        <v>0</v>
      </c>
      <c r="AM196" s="32">
        <f t="shared" si="452"/>
        <v>0</v>
      </c>
      <c r="AN196" s="32">
        <f t="shared" si="452"/>
        <v>0</v>
      </c>
      <c r="AO196" s="32">
        <f t="shared" ref="AO196:BT196" si="453">AO185+AO195</f>
        <v>0</v>
      </c>
      <c r="AP196" s="32">
        <f t="shared" si="453"/>
        <v>0</v>
      </c>
      <c r="AQ196" s="32">
        <f t="shared" si="453"/>
        <v>0</v>
      </c>
      <c r="AR196" s="32">
        <f t="shared" si="453"/>
        <v>0</v>
      </c>
      <c r="AS196" s="32">
        <f t="shared" si="453"/>
        <v>0</v>
      </c>
      <c r="AT196" s="32">
        <f t="shared" si="453"/>
        <v>0</v>
      </c>
      <c r="AU196" s="32">
        <f t="shared" si="453"/>
        <v>0</v>
      </c>
      <c r="AV196" s="32">
        <f t="shared" si="453"/>
        <v>0</v>
      </c>
      <c r="AW196" s="32">
        <f t="shared" si="453"/>
        <v>0</v>
      </c>
      <c r="AX196" s="32">
        <f t="shared" si="453"/>
        <v>0</v>
      </c>
      <c r="AY196" s="32">
        <f t="shared" si="453"/>
        <v>0</v>
      </c>
      <c r="AZ196" s="32">
        <f t="shared" si="453"/>
        <v>0</v>
      </c>
      <c r="BA196" s="32">
        <f t="shared" si="453"/>
        <v>0</v>
      </c>
      <c r="BB196" s="32">
        <f t="shared" si="453"/>
        <v>0</v>
      </c>
      <c r="BC196" s="32">
        <f t="shared" si="453"/>
        <v>0</v>
      </c>
      <c r="BD196" s="32">
        <f t="shared" si="453"/>
        <v>0</v>
      </c>
      <c r="BE196" s="32">
        <f t="shared" si="453"/>
        <v>0</v>
      </c>
      <c r="BF196" s="32">
        <f t="shared" si="453"/>
        <v>0</v>
      </c>
      <c r="BG196" s="32">
        <f t="shared" si="453"/>
        <v>0</v>
      </c>
      <c r="BH196" s="32">
        <f t="shared" si="453"/>
        <v>0</v>
      </c>
      <c r="BI196" s="32">
        <f t="shared" si="453"/>
        <v>0</v>
      </c>
      <c r="BJ196" s="32">
        <f t="shared" si="453"/>
        <v>0</v>
      </c>
      <c r="BK196" s="32">
        <f t="shared" si="453"/>
        <v>-231.84608333333333</v>
      </c>
      <c r="BL196" s="32">
        <f t="shared" si="453"/>
        <v>-231.84608333333333</v>
      </c>
      <c r="BM196" s="32">
        <f t="shared" si="453"/>
        <v>-231.84608333333333</v>
      </c>
      <c r="BN196" s="32">
        <f t="shared" si="453"/>
        <v>-928.45091666666656</v>
      </c>
      <c r="BO196" s="32">
        <f t="shared" si="453"/>
        <v>-928.45091666666656</v>
      </c>
      <c r="BP196" s="32">
        <f t="shared" si="453"/>
        <v>-928.45091666666656</v>
      </c>
      <c r="BQ196" s="32">
        <f t="shared" si="453"/>
        <v>876.97142028466055</v>
      </c>
      <c r="BR196" s="32">
        <f t="shared" si="453"/>
        <v>991.61267285608869</v>
      </c>
      <c r="BS196" s="32">
        <f t="shared" si="453"/>
        <v>1109.6257269737355</v>
      </c>
      <c r="BT196" s="32">
        <f t="shared" si="453"/>
        <v>1231.2149342464629</v>
      </c>
      <c r="BU196" s="32">
        <f t="shared" ref="BU196:CZ196" si="454">BU185+BU195</f>
        <v>1356.6038042464627</v>
      </c>
      <c r="BV196" s="32">
        <f t="shared" si="454"/>
        <v>1486.0374765045274</v>
      </c>
      <c r="BW196" s="32">
        <f t="shared" si="454"/>
        <v>-1673.2927941519467</v>
      </c>
      <c r="BX196" s="32">
        <f t="shared" si="454"/>
        <v>-2755.8383586480259</v>
      </c>
      <c r="BY196" s="32">
        <f t="shared" si="454"/>
        <v>-3819.1164713618305</v>
      </c>
      <c r="BZ196" s="32">
        <f t="shared" si="454"/>
        <v>-4851.0904199776005</v>
      </c>
      <c r="CA196" s="32">
        <f t="shared" si="454"/>
        <v>-5840.0463903174168</v>
      </c>
      <c r="CB196" s="32">
        <f t="shared" si="454"/>
        <v>-6774.719559226678</v>
      </c>
      <c r="CC196" s="32">
        <f t="shared" si="454"/>
        <v>-6663.4178829215434</v>
      </c>
      <c r="CD196" s="32">
        <f t="shared" si="454"/>
        <v>-7458.124144404067</v>
      </c>
      <c r="CE196" s="32">
        <f t="shared" si="454"/>
        <v>-8168.6199459251839</v>
      </c>
      <c r="CF196" s="32">
        <f t="shared" si="454"/>
        <v>-8089.9654239360625</v>
      </c>
      <c r="CG196" s="32">
        <f t="shared" si="454"/>
        <v>-8608.007475459206</v>
      </c>
      <c r="CH196" s="32">
        <f t="shared" si="454"/>
        <v>-9019.8247532893183</v>
      </c>
      <c r="CI196" s="32">
        <f t="shared" si="454"/>
        <v>-9320.207906109712</v>
      </c>
      <c r="CJ196" s="32">
        <f t="shared" si="454"/>
        <v>-9505.1013618181223</v>
      </c>
      <c r="CK196" s="32">
        <f t="shared" si="454"/>
        <v>-9571.6343846964537</v>
      </c>
      <c r="CL196" s="32">
        <f t="shared" si="454"/>
        <v>-9518.1351334964547</v>
      </c>
      <c r="CM196" s="32">
        <f t="shared" si="454"/>
        <v>-9344.1259363324079</v>
      </c>
      <c r="CN196" s="32">
        <f t="shared" si="454"/>
        <v>-9050.2973537461694</v>
      </c>
      <c r="CO196" s="32">
        <f t="shared" si="454"/>
        <v>-8638.4574275924424</v>
      </c>
      <c r="CP196" s="32">
        <f t="shared" si="454"/>
        <v>-8111.4503744513258</v>
      </c>
      <c r="CQ196" s="32">
        <f t="shared" si="454"/>
        <v>-7473.0350077281855</v>
      </c>
      <c r="CR196" s="32">
        <f t="shared" si="454"/>
        <v>-6727.7055268601634</v>
      </c>
      <c r="CS196" s="32">
        <f t="shared" si="454"/>
        <v>-5880.421867157228</v>
      </c>
      <c r="CT196" s="32">
        <f t="shared" si="454"/>
        <v>-4936.183537103273</v>
      </c>
      <c r="CU196" s="32">
        <f t="shared" si="454"/>
        <v>-3899.3030570264063</v>
      </c>
      <c r="CV196" s="32">
        <f t="shared" si="454"/>
        <v>-2772.0325837971432</v>
      </c>
      <c r="CW196" s="32">
        <f t="shared" si="454"/>
        <v>-1551.5894688419412</v>
      </c>
      <c r="CX196" s="32">
        <f t="shared" si="454"/>
        <v>-222.39745800394667</v>
      </c>
      <c r="CY196" s="32">
        <f t="shared" si="454"/>
        <v>1270.7853518527122</v>
      </c>
      <c r="CZ196" s="32">
        <f t="shared" si="454"/>
        <v>3183.4917108315512</v>
      </c>
      <c r="DA196" s="32">
        <f t="shared" ref="DA196:EF196" si="455">DA185+DA195</f>
        <v>16049.775359999996</v>
      </c>
      <c r="DB196" s="32">
        <f t="shared" si="455"/>
        <v>2407.4663039999996</v>
      </c>
      <c r="DC196" s="32">
        <f t="shared" si="455"/>
        <v>2407.4663039999996</v>
      </c>
      <c r="DD196" s="32">
        <f t="shared" si="455"/>
        <v>2407.4663039999996</v>
      </c>
      <c r="DE196" s="32">
        <f t="shared" si="455"/>
        <v>2407.4663039999996</v>
      </c>
      <c r="DF196" s="32">
        <f t="shared" si="455"/>
        <v>2407.4663039999996</v>
      </c>
      <c r="DG196" s="32">
        <f t="shared" si="455"/>
        <v>2407.4663039999996</v>
      </c>
      <c r="DH196" s="32">
        <f t="shared" si="455"/>
        <v>2407.4663039999996</v>
      </c>
      <c r="DI196" s="32">
        <f t="shared" si="455"/>
        <v>2407.4663039999996</v>
      </c>
      <c r="DJ196" s="32">
        <f t="shared" si="455"/>
        <v>2407.4663039999996</v>
      </c>
      <c r="DK196" s="32">
        <f t="shared" si="455"/>
        <v>2407.4663039999996</v>
      </c>
      <c r="DL196" s="32">
        <f t="shared" si="455"/>
        <v>260808.84959999978</v>
      </c>
      <c r="DM196" s="32">
        <f t="shared" si="455"/>
        <v>0</v>
      </c>
      <c r="DN196" s="32">
        <f t="shared" si="455"/>
        <v>0</v>
      </c>
      <c r="DO196" s="32">
        <f t="shared" si="455"/>
        <v>0</v>
      </c>
      <c r="DP196" s="32">
        <f t="shared" si="455"/>
        <v>0</v>
      </c>
      <c r="DQ196" s="32">
        <f t="shared" si="455"/>
        <v>0</v>
      </c>
      <c r="DR196" s="32">
        <f t="shared" si="455"/>
        <v>0</v>
      </c>
      <c r="DS196" s="32">
        <f t="shared" si="455"/>
        <v>0</v>
      </c>
      <c r="DT196" s="32">
        <f t="shared" si="455"/>
        <v>0</v>
      </c>
      <c r="DU196" s="32">
        <f t="shared" si="455"/>
        <v>0</v>
      </c>
      <c r="DV196" s="32">
        <f t="shared" si="455"/>
        <v>0</v>
      </c>
      <c r="DW196" s="32">
        <f t="shared" si="455"/>
        <v>0</v>
      </c>
      <c r="DX196" s="32">
        <f t="shared" si="455"/>
        <v>0</v>
      </c>
      <c r="DY196" s="32">
        <f t="shared" si="455"/>
        <v>0</v>
      </c>
      <c r="DZ196" s="32">
        <f t="shared" si="455"/>
        <v>0</v>
      </c>
      <c r="EA196" s="32">
        <f t="shared" si="455"/>
        <v>0</v>
      </c>
      <c r="EB196" s="32">
        <f t="shared" si="455"/>
        <v>0</v>
      </c>
      <c r="EC196" s="32">
        <f t="shared" si="455"/>
        <v>0</v>
      </c>
      <c r="ED196" s="32">
        <f t="shared" si="455"/>
        <v>0</v>
      </c>
      <c r="EE196" s="32">
        <f t="shared" si="455"/>
        <v>0</v>
      </c>
      <c r="EF196" s="32">
        <f t="shared" si="455"/>
        <v>0</v>
      </c>
      <c r="EG196" s="32">
        <f t="shared" ref="EG196:FH196" si="456">EG185+EG195</f>
        <v>0</v>
      </c>
      <c r="EH196" s="32">
        <f t="shared" si="456"/>
        <v>0</v>
      </c>
      <c r="EI196" s="32">
        <f t="shared" si="456"/>
        <v>0</v>
      </c>
      <c r="EJ196" s="32">
        <f t="shared" si="456"/>
        <v>0</v>
      </c>
      <c r="EK196" s="32">
        <f t="shared" si="456"/>
        <v>0</v>
      </c>
      <c r="EL196" s="32">
        <f t="shared" si="456"/>
        <v>0</v>
      </c>
      <c r="EM196" s="32">
        <f t="shared" si="456"/>
        <v>0</v>
      </c>
      <c r="EN196" s="32">
        <f t="shared" si="456"/>
        <v>0</v>
      </c>
      <c r="EO196" s="32">
        <f t="shared" si="456"/>
        <v>0</v>
      </c>
      <c r="EP196" s="32">
        <f t="shared" si="456"/>
        <v>0</v>
      </c>
      <c r="EQ196" s="32">
        <f t="shared" si="456"/>
        <v>0</v>
      </c>
      <c r="ER196" s="32">
        <f t="shared" si="456"/>
        <v>0</v>
      </c>
      <c r="ES196" s="32">
        <f t="shared" si="456"/>
        <v>0</v>
      </c>
      <c r="ET196" s="32">
        <f t="shared" si="456"/>
        <v>0</v>
      </c>
      <c r="EU196" s="32">
        <f t="shared" si="456"/>
        <v>0</v>
      </c>
      <c r="EV196" s="32">
        <f t="shared" si="456"/>
        <v>0</v>
      </c>
      <c r="EW196" s="32">
        <f t="shared" si="456"/>
        <v>0</v>
      </c>
      <c r="EX196" s="32">
        <f t="shared" si="456"/>
        <v>0</v>
      </c>
      <c r="EY196" s="32">
        <f t="shared" si="456"/>
        <v>0</v>
      </c>
      <c r="EZ196" s="32">
        <f t="shared" si="456"/>
        <v>0</v>
      </c>
      <c r="FA196" s="32">
        <f t="shared" si="456"/>
        <v>0</v>
      </c>
      <c r="FB196" s="32">
        <f t="shared" si="456"/>
        <v>0</v>
      </c>
      <c r="FC196" s="32">
        <f t="shared" si="456"/>
        <v>0</v>
      </c>
      <c r="FD196" s="32">
        <f t="shared" si="456"/>
        <v>0</v>
      </c>
      <c r="FE196" s="32">
        <f t="shared" si="456"/>
        <v>0</v>
      </c>
      <c r="FF196" s="32">
        <f t="shared" si="456"/>
        <v>0</v>
      </c>
      <c r="FG196" s="32">
        <f t="shared" si="456"/>
        <v>0</v>
      </c>
      <c r="FH196" s="32">
        <f t="shared" si="456"/>
        <v>0</v>
      </c>
    </row>
    <row r="197" spans="1:164" x14ac:dyDescent="0.2">
      <c r="A197" s="10"/>
      <c r="B197" s="10"/>
      <c r="C197" s="10" t="s">
        <v>916</v>
      </c>
      <c r="D197" s="10"/>
      <c r="E197" s="10"/>
      <c r="F197" s="10"/>
      <c r="G197" s="10"/>
      <c r="H197" s="12"/>
      <c r="I197" s="12">
        <f>I196</f>
        <v>0</v>
      </c>
      <c r="J197" s="12">
        <f t="shared" ref="J197:AO197" si="457">I197+J196</f>
        <v>0</v>
      </c>
      <c r="K197" s="12">
        <f t="shared" si="457"/>
        <v>0</v>
      </c>
      <c r="L197" s="12">
        <f t="shared" si="457"/>
        <v>0</v>
      </c>
      <c r="M197" s="12">
        <f t="shared" si="457"/>
        <v>0</v>
      </c>
      <c r="N197" s="12">
        <f t="shared" si="457"/>
        <v>0</v>
      </c>
      <c r="O197" s="12">
        <f t="shared" si="457"/>
        <v>0</v>
      </c>
      <c r="P197" s="12">
        <f t="shared" si="457"/>
        <v>0</v>
      </c>
      <c r="Q197" s="12">
        <f t="shared" si="457"/>
        <v>0</v>
      </c>
      <c r="R197" s="12">
        <f t="shared" si="457"/>
        <v>0</v>
      </c>
      <c r="S197" s="12">
        <f t="shared" si="457"/>
        <v>0</v>
      </c>
      <c r="T197" s="12">
        <f t="shared" si="457"/>
        <v>0</v>
      </c>
      <c r="U197" s="12">
        <f t="shared" si="457"/>
        <v>0</v>
      </c>
      <c r="V197" s="12">
        <f t="shared" si="457"/>
        <v>0</v>
      </c>
      <c r="W197" s="12">
        <f t="shared" si="457"/>
        <v>0</v>
      </c>
      <c r="X197" s="12">
        <f t="shared" si="457"/>
        <v>0</v>
      </c>
      <c r="Y197" s="12">
        <f t="shared" si="457"/>
        <v>0</v>
      </c>
      <c r="Z197" s="12">
        <f t="shared" si="457"/>
        <v>0</v>
      </c>
      <c r="AA197" s="12">
        <f t="shared" si="457"/>
        <v>0</v>
      </c>
      <c r="AB197" s="12">
        <f t="shared" si="457"/>
        <v>0</v>
      </c>
      <c r="AC197" s="12">
        <f t="shared" si="457"/>
        <v>0</v>
      </c>
      <c r="AD197" s="12">
        <f t="shared" si="457"/>
        <v>0</v>
      </c>
      <c r="AE197" s="12">
        <f t="shared" si="457"/>
        <v>0</v>
      </c>
      <c r="AF197" s="12">
        <f t="shared" si="457"/>
        <v>0</v>
      </c>
      <c r="AG197" s="12">
        <f t="shared" si="457"/>
        <v>0</v>
      </c>
      <c r="AH197" s="12">
        <f t="shared" si="457"/>
        <v>0</v>
      </c>
      <c r="AI197" s="12">
        <f t="shared" si="457"/>
        <v>0</v>
      </c>
      <c r="AJ197" s="12">
        <f t="shared" si="457"/>
        <v>0</v>
      </c>
      <c r="AK197" s="12">
        <f t="shared" si="457"/>
        <v>0</v>
      </c>
      <c r="AL197" s="12">
        <f t="shared" si="457"/>
        <v>0</v>
      </c>
      <c r="AM197" s="12">
        <f t="shared" si="457"/>
        <v>0</v>
      </c>
      <c r="AN197" s="12">
        <f t="shared" si="457"/>
        <v>0</v>
      </c>
      <c r="AO197" s="12">
        <f t="shared" si="457"/>
        <v>0</v>
      </c>
      <c r="AP197" s="12">
        <f t="shared" ref="AP197:BU197" si="458">AO197+AP196</f>
        <v>0</v>
      </c>
      <c r="AQ197" s="12">
        <f t="shared" si="458"/>
        <v>0</v>
      </c>
      <c r="AR197" s="12">
        <f t="shared" si="458"/>
        <v>0</v>
      </c>
      <c r="AS197" s="12">
        <f t="shared" si="458"/>
        <v>0</v>
      </c>
      <c r="AT197" s="12">
        <f t="shared" si="458"/>
        <v>0</v>
      </c>
      <c r="AU197" s="12">
        <f t="shared" si="458"/>
        <v>0</v>
      </c>
      <c r="AV197" s="12">
        <f t="shared" si="458"/>
        <v>0</v>
      </c>
      <c r="AW197" s="12">
        <f t="shared" si="458"/>
        <v>0</v>
      </c>
      <c r="AX197" s="12">
        <f t="shared" si="458"/>
        <v>0</v>
      </c>
      <c r="AY197" s="12">
        <f t="shared" si="458"/>
        <v>0</v>
      </c>
      <c r="AZ197" s="12">
        <f t="shared" si="458"/>
        <v>0</v>
      </c>
      <c r="BA197" s="12">
        <f t="shared" si="458"/>
        <v>0</v>
      </c>
      <c r="BB197" s="12">
        <f t="shared" si="458"/>
        <v>0</v>
      </c>
      <c r="BC197" s="12">
        <f t="shared" si="458"/>
        <v>0</v>
      </c>
      <c r="BD197" s="12">
        <f t="shared" si="458"/>
        <v>0</v>
      </c>
      <c r="BE197" s="12">
        <f t="shared" si="458"/>
        <v>0</v>
      </c>
      <c r="BF197" s="12">
        <f t="shared" si="458"/>
        <v>0</v>
      </c>
      <c r="BG197" s="12">
        <f t="shared" si="458"/>
        <v>0</v>
      </c>
      <c r="BH197" s="12">
        <f t="shared" si="458"/>
        <v>0</v>
      </c>
      <c r="BI197" s="12">
        <f t="shared" si="458"/>
        <v>0</v>
      </c>
      <c r="BJ197" s="12">
        <f t="shared" si="458"/>
        <v>0</v>
      </c>
      <c r="BK197" s="12">
        <f t="shared" si="458"/>
        <v>-231.84608333333333</v>
      </c>
      <c r="BL197" s="12">
        <f t="shared" si="458"/>
        <v>-463.69216666666665</v>
      </c>
      <c r="BM197" s="12">
        <f t="shared" si="458"/>
        <v>-695.53824999999995</v>
      </c>
      <c r="BN197" s="12">
        <f t="shared" si="458"/>
        <v>-1623.9891666666665</v>
      </c>
      <c r="BO197" s="12">
        <f t="shared" si="458"/>
        <v>-2552.440083333333</v>
      </c>
      <c r="BP197" s="12">
        <f t="shared" si="458"/>
        <v>-3480.8909999999996</v>
      </c>
      <c r="BQ197" s="12">
        <f t="shared" si="458"/>
        <v>-2603.9195797153388</v>
      </c>
      <c r="BR197" s="12">
        <f t="shared" si="458"/>
        <v>-1612.3069068592501</v>
      </c>
      <c r="BS197" s="12">
        <f t="shared" si="458"/>
        <v>-502.68117988551467</v>
      </c>
      <c r="BT197" s="12">
        <f t="shared" si="458"/>
        <v>728.53375436094825</v>
      </c>
      <c r="BU197" s="12">
        <f t="shared" si="458"/>
        <v>2085.1375586074109</v>
      </c>
      <c r="BV197" s="12">
        <f t="shared" ref="BV197:DA197" si="459">BU197+BV196</f>
        <v>3571.1750351119381</v>
      </c>
      <c r="BW197" s="12">
        <f t="shared" si="459"/>
        <v>1897.8822409599913</v>
      </c>
      <c r="BX197" s="12">
        <f t="shared" si="459"/>
        <v>-857.95611768803451</v>
      </c>
      <c r="BY197" s="12">
        <f t="shared" si="459"/>
        <v>-4677.0725890498652</v>
      </c>
      <c r="BZ197" s="12">
        <f t="shared" si="459"/>
        <v>-9528.1630090274666</v>
      </c>
      <c r="CA197" s="12">
        <f t="shared" si="459"/>
        <v>-15368.209399344883</v>
      </c>
      <c r="CB197" s="12">
        <f t="shared" si="459"/>
        <v>-22142.92895857156</v>
      </c>
      <c r="CC197" s="12">
        <f t="shared" si="459"/>
        <v>-28806.346841493105</v>
      </c>
      <c r="CD197" s="12">
        <f t="shared" si="459"/>
        <v>-36264.470985897169</v>
      </c>
      <c r="CE197" s="12">
        <f t="shared" si="459"/>
        <v>-44433.090931822357</v>
      </c>
      <c r="CF197" s="12">
        <f t="shared" si="459"/>
        <v>-52523.056355758417</v>
      </c>
      <c r="CG197" s="12">
        <f t="shared" si="459"/>
        <v>-61131.063831217623</v>
      </c>
      <c r="CH197" s="12">
        <f t="shared" si="459"/>
        <v>-70150.888584506945</v>
      </c>
      <c r="CI197" s="12">
        <f t="shared" si="459"/>
        <v>-79471.096490616663</v>
      </c>
      <c r="CJ197" s="12">
        <f t="shared" si="459"/>
        <v>-88976.19785243478</v>
      </c>
      <c r="CK197" s="12">
        <f t="shared" si="459"/>
        <v>-98547.832237131239</v>
      </c>
      <c r="CL197" s="12">
        <f t="shared" si="459"/>
        <v>-108065.9673706277</v>
      </c>
      <c r="CM197" s="12">
        <f t="shared" si="459"/>
        <v>-117410.0933069601</v>
      </c>
      <c r="CN197" s="12">
        <f t="shared" si="459"/>
        <v>-126460.39066070627</v>
      </c>
      <c r="CO197" s="12">
        <f t="shared" si="459"/>
        <v>-135098.84808829872</v>
      </c>
      <c r="CP197" s="12">
        <f t="shared" si="459"/>
        <v>-143210.29846275004</v>
      </c>
      <c r="CQ197" s="12">
        <f t="shared" si="459"/>
        <v>-150683.33347047822</v>
      </c>
      <c r="CR197" s="12">
        <f t="shared" si="459"/>
        <v>-157411.03899733839</v>
      </c>
      <c r="CS197" s="12">
        <f t="shared" si="459"/>
        <v>-163291.4608644956</v>
      </c>
      <c r="CT197" s="12">
        <f t="shared" si="459"/>
        <v>-168227.64440159887</v>
      </c>
      <c r="CU197" s="12">
        <f t="shared" si="459"/>
        <v>-172126.94745862528</v>
      </c>
      <c r="CV197" s="12">
        <f t="shared" si="459"/>
        <v>-174898.98004242242</v>
      </c>
      <c r="CW197" s="12">
        <f t="shared" si="459"/>
        <v>-176450.56951126436</v>
      </c>
      <c r="CX197" s="12">
        <f t="shared" si="459"/>
        <v>-176672.96696926831</v>
      </c>
      <c r="CY197" s="12">
        <f t="shared" si="459"/>
        <v>-175402.1816174156</v>
      </c>
      <c r="CZ197" s="12">
        <f t="shared" si="459"/>
        <v>-172218.68990658404</v>
      </c>
      <c r="DA197" s="12">
        <f t="shared" si="459"/>
        <v>-156168.91454658404</v>
      </c>
      <c r="DB197" s="12">
        <f t="shared" ref="DB197:EG197" si="460">DA197+DB196</f>
        <v>-153761.44824258404</v>
      </c>
      <c r="DC197" s="12">
        <f t="shared" si="460"/>
        <v>-151353.98193858404</v>
      </c>
      <c r="DD197" s="12">
        <f t="shared" si="460"/>
        <v>-148946.51563458404</v>
      </c>
      <c r="DE197" s="12">
        <f t="shared" si="460"/>
        <v>-146539.04933058404</v>
      </c>
      <c r="DF197" s="12">
        <f t="shared" si="460"/>
        <v>-144131.58302658403</v>
      </c>
      <c r="DG197" s="12">
        <f t="shared" si="460"/>
        <v>-141724.11672258403</v>
      </c>
      <c r="DH197" s="12">
        <f t="shared" si="460"/>
        <v>-139316.65041858403</v>
      </c>
      <c r="DI197" s="12">
        <f t="shared" si="460"/>
        <v>-136909.18411458403</v>
      </c>
      <c r="DJ197" s="12">
        <f t="shared" si="460"/>
        <v>-134501.71781058403</v>
      </c>
      <c r="DK197" s="12">
        <f t="shared" si="460"/>
        <v>-132094.25150658403</v>
      </c>
      <c r="DL197" s="12">
        <f t="shared" si="460"/>
        <v>128714.59809341576</v>
      </c>
      <c r="DM197" s="12">
        <f t="shared" si="460"/>
        <v>128714.59809341576</v>
      </c>
      <c r="DN197" s="12">
        <f t="shared" si="460"/>
        <v>128714.59809341576</v>
      </c>
      <c r="DO197" s="12">
        <f t="shared" si="460"/>
        <v>128714.59809341576</v>
      </c>
      <c r="DP197" s="12">
        <f t="shared" si="460"/>
        <v>128714.59809341576</v>
      </c>
      <c r="DQ197" s="12">
        <f t="shared" si="460"/>
        <v>128714.59809341576</v>
      </c>
      <c r="DR197" s="12">
        <f t="shared" si="460"/>
        <v>128714.59809341576</v>
      </c>
      <c r="DS197" s="12">
        <f t="shared" si="460"/>
        <v>128714.59809341576</v>
      </c>
      <c r="DT197" s="12">
        <f t="shared" si="460"/>
        <v>128714.59809341576</v>
      </c>
      <c r="DU197" s="12">
        <f t="shared" si="460"/>
        <v>128714.59809341576</v>
      </c>
      <c r="DV197" s="12">
        <f t="shared" si="460"/>
        <v>128714.59809341576</v>
      </c>
      <c r="DW197" s="12">
        <f t="shared" si="460"/>
        <v>128714.59809341576</v>
      </c>
      <c r="DX197" s="12">
        <f t="shared" si="460"/>
        <v>128714.59809341576</v>
      </c>
      <c r="DY197" s="12">
        <f t="shared" si="460"/>
        <v>128714.59809341576</v>
      </c>
      <c r="DZ197" s="12">
        <f t="shared" si="460"/>
        <v>128714.59809341576</v>
      </c>
      <c r="EA197" s="12">
        <f t="shared" si="460"/>
        <v>128714.59809341576</v>
      </c>
      <c r="EB197" s="12">
        <f t="shared" si="460"/>
        <v>128714.59809341576</v>
      </c>
      <c r="EC197" s="12">
        <f t="shared" si="460"/>
        <v>128714.59809341576</v>
      </c>
      <c r="ED197" s="12">
        <f t="shared" si="460"/>
        <v>128714.59809341576</v>
      </c>
      <c r="EE197" s="12">
        <f t="shared" si="460"/>
        <v>128714.59809341576</v>
      </c>
      <c r="EF197" s="12">
        <f t="shared" si="460"/>
        <v>128714.59809341576</v>
      </c>
      <c r="EG197" s="12">
        <f t="shared" si="460"/>
        <v>128714.59809341576</v>
      </c>
      <c r="EH197" s="12">
        <f t="shared" ref="EH197:FH197" si="461">EG197+EH196</f>
        <v>128714.59809341576</v>
      </c>
      <c r="EI197" s="12">
        <f t="shared" si="461"/>
        <v>128714.59809341576</v>
      </c>
      <c r="EJ197" s="12">
        <f t="shared" si="461"/>
        <v>128714.59809341576</v>
      </c>
      <c r="EK197" s="12">
        <f t="shared" si="461"/>
        <v>128714.59809341576</v>
      </c>
      <c r="EL197" s="12">
        <f t="shared" si="461"/>
        <v>128714.59809341576</v>
      </c>
      <c r="EM197" s="12">
        <f t="shared" si="461"/>
        <v>128714.59809341576</v>
      </c>
      <c r="EN197" s="12">
        <f t="shared" si="461"/>
        <v>128714.59809341576</v>
      </c>
      <c r="EO197" s="12">
        <f t="shared" si="461"/>
        <v>128714.59809341576</v>
      </c>
      <c r="EP197" s="12">
        <f t="shared" si="461"/>
        <v>128714.59809341576</v>
      </c>
      <c r="EQ197" s="12">
        <f t="shared" si="461"/>
        <v>128714.59809341576</v>
      </c>
      <c r="ER197" s="12">
        <f t="shared" si="461"/>
        <v>128714.59809341576</v>
      </c>
      <c r="ES197" s="12">
        <f t="shared" si="461"/>
        <v>128714.59809341576</v>
      </c>
      <c r="ET197" s="12">
        <f t="shared" si="461"/>
        <v>128714.59809341576</v>
      </c>
      <c r="EU197" s="12">
        <f t="shared" si="461"/>
        <v>128714.59809341576</v>
      </c>
      <c r="EV197" s="12">
        <f t="shared" si="461"/>
        <v>128714.59809341576</v>
      </c>
      <c r="EW197" s="12">
        <f t="shared" si="461"/>
        <v>128714.59809341576</v>
      </c>
      <c r="EX197" s="12">
        <f t="shared" si="461"/>
        <v>128714.59809341576</v>
      </c>
      <c r="EY197" s="12">
        <f t="shared" si="461"/>
        <v>128714.59809341576</v>
      </c>
      <c r="EZ197" s="12">
        <f t="shared" si="461"/>
        <v>128714.59809341576</v>
      </c>
      <c r="FA197" s="12">
        <f t="shared" si="461"/>
        <v>128714.59809341576</v>
      </c>
      <c r="FB197" s="12">
        <f t="shared" si="461"/>
        <v>128714.59809341576</v>
      </c>
      <c r="FC197" s="12">
        <f t="shared" si="461"/>
        <v>128714.59809341576</v>
      </c>
      <c r="FD197" s="12">
        <f t="shared" si="461"/>
        <v>128714.59809341576</v>
      </c>
      <c r="FE197" s="12">
        <f t="shared" si="461"/>
        <v>128714.59809341576</v>
      </c>
      <c r="FF197" s="12">
        <f t="shared" si="461"/>
        <v>128714.59809341576</v>
      </c>
      <c r="FG197" s="12">
        <f t="shared" si="461"/>
        <v>128714.59809341576</v>
      </c>
      <c r="FH197" s="12">
        <f t="shared" si="461"/>
        <v>128714.59809341576</v>
      </c>
    </row>
    <row r="198" spans="1:164" x14ac:dyDescent="0.2">
      <c r="A198" s="10"/>
      <c r="B198" s="10"/>
      <c r="C198" s="201" t="s">
        <v>764</v>
      </c>
      <c r="D198" s="194"/>
      <c r="E198" s="194"/>
      <c r="F198" s="194"/>
      <c r="G198" s="194"/>
      <c r="H198" s="216"/>
      <c r="I198" s="216">
        <f>SUM($I187:I187)*$F$29</f>
        <v>0</v>
      </c>
      <c r="J198" s="216">
        <f>SUM($I187:J187)*$F$29</f>
        <v>0</v>
      </c>
      <c r="K198" s="216">
        <f>SUM($I187:K187)*$F$29</f>
        <v>0</v>
      </c>
      <c r="L198" s="216">
        <f>SUM($I187:L187)*$F$29</f>
        <v>0</v>
      </c>
      <c r="M198" s="216">
        <f>SUM($I187:M187)*$F$29</f>
        <v>0</v>
      </c>
      <c r="N198" s="216">
        <f>SUM($I187:N187)*$F$29</f>
        <v>0</v>
      </c>
      <c r="O198" s="216">
        <f>SUM($I187:O187)*$F$29</f>
        <v>0</v>
      </c>
      <c r="P198" s="216">
        <f>SUM($I187:P187)*$F$29</f>
        <v>0</v>
      </c>
      <c r="Q198" s="216">
        <f>SUM($I187:Q187)*$F$29</f>
        <v>0</v>
      </c>
      <c r="R198" s="216">
        <f>SUM($I187:R187)*$F$29</f>
        <v>0</v>
      </c>
      <c r="S198" s="216">
        <f>SUM($I187:S187)*$F$29</f>
        <v>0</v>
      </c>
      <c r="T198" s="216">
        <f>SUM($I187:T187)*$F$29</f>
        <v>0</v>
      </c>
      <c r="U198" s="216">
        <f>SUM($I187:U187)*$F$29</f>
        <v>0</v>
      </c>
      <c r="V198" s="216">
        <f>SUM($I187:V187)*$F$29</f>
        <v>0</v>
      </c>
      <c r="W198" s="216">
        <f>SUM($I187:W187)*$F$29</f>
        <v>0</v>
      </c>
      <c r="X198" s="216">
        <f>SUM($I187:X187)*$F$29</f>
        <v>0</v>
      </c>
      <c r="Y198" s="216">
        <f>SUM($I187:Y187)*$F$29</f>
        <v>0</v>
      </c>
      <c r="Z198" s="216">
        <f>SUM($I187:Z187)*$F$29</f>
        <v>0</v>
      </c>
      <c r="AA198" s="216">
        <f>SUM($I187:AA187)*$F$29</f>
        <v>0</v>
      </c>
      <c r="AB198" s="216">
        <f>SUM($I187:AB187)*$F$29</f>
        <v>0</v>
      </c>
      <c r="AC198" s="216">
        <f>SUM($I187:AC187)*$F$29</f>
        <v>0</v>
      </c>
      <c r="AD198" s="216">
        <f>SUM($I187:AD187)*$F$29</f>
        <v>0</v>
      </c>
      <c r="AE198" s="216">
        <f>SUM($I187:AE187)*$F$29</f>
        <v>0</v>
      </c>
      <c r="AF198" s="216">
        <f>SUM($I187:AF187)*$F$29</f>
        <v>0</v>
      </c>
      <c r="AG198" s="216">
        <f>SUM($I187:AG187)*$F$29</f>
        <v>0</v>
      </c>
      <c r="AH198" s="216">
        <f>SUM($I187:AH187)*$F$29</f>
        <v>0</v>
      </c>
      <c r="AI198" s="216">
        <f>SUM($I187:AI187)*$F$29</f>
        <v>0</v>
      </c>
      <c r="AJ198" s="216">
        <f>SUM($I187:AJ187)*$F$29</f>
        <v>0</v>
      </c>
      <c r="AK198" s="216">
        <f>SUM($I187:AK187)*$F$29</f>
        <v>0</v>
      </c>
      <c r="AL198" s="216">
        <f>SUM($I187:AL187)*$F$29</f>
        <v>0</v>
      </c>
      <c r="AM198" s="216">
        <f>SUM($I187:AM187)*$F$29</f>
        <v>0</v>
      </c>
      <c r="AN198" s="216">
        <f>SUM($I187:AN187)*$F$29</f>
        <v>0</v>
      </c>
      <c r="AO198" s="216">
        <f>SUM($I187:AO187)*$F$29</f>
        <v>0</v>
      </c>
      <c r="AP198" s="216">
        <f>SUM($I187:AP187)*$F$29</f>
        <v>0</v>
      </c>
      <c r="AQ198" s="216">
        <f>SUM($I187:AQ187)*$F$29</f>
        <v>0</v>
      </c>
      <c r="AR198" s="216">
        <f>SUM($I187:AR187)*$F$29</f>
        <v>0</v>
      </c>
      <c r="AS198" s="216">
        <f>SUM($I187:AS187)*$F$29</f>
        <v>0</v>
      </c>
      <c r="AT198" s="216">
        <f>SUM($I187:AT187)*$F$29</f>
        <v>0</v>
      </c>
      <c r="AU198" s="216">
        <f>SUM($I187:AU187)*$F$29</f>
        <v>0</v>
      </c>
      <c r="AV198" s="216">
        <f>SUM($I187:AV187)*$F$29</f>
        <v>0</v>
      </c>
      <c r="AW198" s="216">
        <f>SUM($I187:AW187)*$F$29</f>
        <v>0</v>
      </c>
      <c r="AX198" s="216">
        <f>SUM($I187:AX187)*$F$29</f>
        <v>0</v>
      </c>
      <c r="AY198" s="216">
        <f>SUM($I187:AY187)*$F$29</f>
        <v>0</v>
      </c>
      <c r="AZ198" s="216">
        <f>SUM($I187:AZ187)*$F$29</f>
        <v>0</v>
      </c>
      <c r="BA198" s="216">
        <f>SUM($I187:BA187)*$F$29</f>
        <v>0</v>
      </c>
      <c r="BB198" s="216">
        <f>SUM($I187:BB187)*$F$29</f>
        <v>0</v>
      </c>
      <c r="BC198" s="216">
        <f>SUM($I187:BC187)*$F$29</f>
        <v>0</v>
      </c>
      <c r="BD198" s="216">
        <f>SUM($I187:BD187)*$F$29</f>
        <v>0</v>
      </c>
      <c r="BE198" s="216">
        <f>SUM($I187:BE187)*$F$29</f>
        <v>0</v>
      </c>
      <c r="BF198" s="216">
        <f>SUM($I187:BF187)*$F$29</f>
        <v>0</v>
      </c>
      <c r="BG198" s="216">
        <f>SUM($I187:BG187)*$F$29</f>
        <v>0</v>
      </c>
      <c r="BH198" s="216">
        <f>SUM($I187:BH187)*$F$29</f>
        <v>0</v>
      </c>
      <c r="BI198" s="216">
        <f>SUM($I187:BI187)*$F$29</f>
        <v>0</v>
      </c>
      <c r="BJ198" s="216">
        <f>SUM($I187:BJ187)*$F$29</f>
        <v>0</v>
      </c>
      <c r="BK198" s="216">
        <f>SUM($I187:BK187)*$F$29</f>
        <v>0</v>
      </c>
      <c r="BL198" s="216">
        <f>SUM($I187:BL187)*$F$29</f>
        <v>0</v>
      </c>
      <c r="BM198" s="216">
        <f>SUM($I187:BM187)*$F$29</f>
        <v>0</v>
      </c>
      <c r="BN198" s="216">
        <f>SUM($I187:BN187)*$F$29</f>
        <v>0</v>
      </c>
      <c r="BO198" s="216">
        <f>SUM($I187:BO187)*$F$29</f>
        <v>0</v>
      </c>
      <c r="BP198" s="216">
        <f>SUM($I187:BP187)*$F$29</f>
        <v>0</v>
      </c>
      <c r="BQ198" s="216">
        <f>SUM($I187:BQ187)*$F$29</f>
        <v>0</v>
      </c>
      <c r="BR198" s="216">
        <f>SUM($I187:BR187)*$F$29</f>
        <v>0</v>
      </c>
      <c r="BS198" s="216">
        <f>SUM($I187:BS187)*$F$29</f>
        <v>0</v>
      </c>
      <c r="BT198" s="216">
        <f>SUM($I187:BT187)*$F$29</f>
        <v>0</v>
      </c>
      <c r="BU198" s="216">
        <f>SUM($I187:BU187)*$F$29</f>
        <v>0</v>
      </c>
      <c r="BV198" s="216">
        <f>SUM($I187:BV187)*$F$29</f>
        <v>0</v>
      </c>
      <c r="BW198" s="216">
        <f>SUM($I187:BW187)*$F$29</f>
        <v>381.02313088680569</v>
      </c>
      <c r="BX198" s="216">
        <f>SUM($I187:BX187)*$F$29</f>
        <v>1519.9179543910109</v>
      </c>
      <c r="BY198" s="216">
        <f>SUM($I187:BY187)*$F$29</f>
        <v>3404.2065004972396</v>
      </c>
      <c r="BZ198" s="216">
        <f>SUM($I187:BZ187)*$F$29</f>
        <v>6013.2441095816239</v>
      </c>
      <c r="CA198" s="216">
        <f>SUM($I187:CA187)*$F$29</f>
        <v>9318.4456196228166</v>
      </c>
      <c r="CB198" s="216">
        <f>SUM($I187:CB187)*$F$29</f>
        <v>13283.59855121892</v>
      </c>
      <c r="CC198" s="216">
        <f>SUM($I187:CC187)*$F$29</f>
        <v>17865.25985908978</v>
      </c>
      <c r="CD198" s="216">
        <f>SUM($I187:CD187)*$F$29</f>
        <v>23013.231903172087</v>
      </c>
      <c r="CE198" s="216">
        <f>SUM($I187:CE187)*$F$29</f>
        <v>28671.112424468472</v>
      </c>
      <c r="CF198" s="216">
        <f>SUM($I187:CF187)*$F$29</f>
        <v>34776.912499999999</v>
      </c>
      <c r="CG198" s="216">
        <f>SUM($I187:CG187)*$F$29</f>
        <v>41263.735706418331</v>
      </c>
      <c r="CH198" s="216">
        <f>SUM($I187:CH187)*$F$29</f>
        <v>48060.511051218928</v>
      </c>
      <c r="CI198" s="216">
        <f>SUM($I187:CI187)*$F$29</f>
        <v>55092.77164140746</v>
      </c>
      <c r="CJ198" s="216">
        <f>SUM($I187:CJ187)*$F$29</f>
        <v>62283.4705583627</v>
      </c>
      <c r="CK198" s="216">
        <f>SUM($I187:CK187)*$F$29</f>
        <v>69553.824999999997</v>
      </c>
      <c r="CL198" s="216">
        <f>SUM($I187:CL187)*$F$29</f>
        <v>76824.179441637301</v>
      </c>
      <c r="CM198" s="216">
        <f>SUM($I187:CM187)*$F$29</f>
        <v>84014.878358592541</v>
      </c>
      <c r="CN198" s="216">
        <f>SUM($I187:CN187)*$F$29</f>
        <v>91047.138948781081</v>
      </c>
      <c r="CO198" s="216">
        <f>SUM($I187:CO187)*$F$29</f>
        <v>97843.914293581664</v>
      </c>
      <c r="CP198" s="216">
        <f>SUM($I187:CP187)*$F$29</f>
        <v>104330.73749999999</v>
      </c>
      <c r="CQ198" s="216">
        <f>SUM($I187:CQ187)*$F$29</f>
        <v>110436.53757553152</v>
      </c>
      <c r="CR198" s="216">
        <f>SUM($I187:CR187)*$F$29</f>
        <v>116094.41809682791</v>
      </c>
      <c r="CS198" s="216">
        <f>SUM($I187:CS187)*$F$29</f>
        <v>121242.39014091021</v>
      </c>
      <c r="CT198" s="216">
        <f>SUM($I187:CT187)*$F$29</f>
        <v>125824.05144878107</v>
      </c>
      <c r="CU198" s="216">
        <f>SUM($I187:CU187)*$F$29</f>
        <v>129789.20438037718</v>
      </c>
      <c r="CV198" s="216">
        <f>SUM($I187:CV187)*$F$29</f>
        <v>133094.40589041836</v>
      </c>
      <c r="CW198" s="216">
        <f>SUM($I187:CW187)*$F$29</f>
        <v>135703.44349950276</v>
      </c>
      <c r="CX198" s="216">
        <f>SUM($I187:CX187)*$F$29</f>
        <v>137587.73204560898</v>
      </c>
      <c r="CY198" s="216">
        <f>SUM($I187:CY187)*$F$29</f>
        <v>138726.62686911316</v>
      </c>
      <c r="CZ198" s="216">
        <f>SUM($I187:CZ187)*$F$29</f>
        <v>139107.64999999997</v>
      </c>
      <c r="DA198" s="216">
        <f>SUM($I187:DA187)*$F$29</f>
        <v>139107.64999999997</v>
      </c>
      <c r="DB198" s="216">
        <f>SUM($I187:DB187)*$F$29</f>
        <v>139107.64999999997</v>
      </c>
      <c r="DC198" s="216">
        <f>SUM($I187:DC187)*$F$29</f>
        <v>139107.64999999997</v>
      </c>
      <c r="DD198" s="216">
        <f>SUM($I187:DD187)*$F$29</f>
        <v>139107.64999999997</v>
      </c>
      <c r="DE198" s="216">
        <f>SUM($I187:DE187)*$F$29</f>
        <v>139107.64999999997</v>
      </c>
      <c r="DF198" s="216">
        <f>SUM($I187:DF187)*$F$29</f>
        <v>139107.64999999997</v>
      </c>
      <c r="DG198" s="216">
        <f>SUM($I187:DG187)*$F$29</f>
        <v>139107.64999999997</v>
      </c>
      <c r="DH198" s="216">
        <f>SUM($I187:DH187)*$F$29</f>
        <v>139107.64999999997</v>
      </c>
      <c r="DI198" s="216">
        <f>SUM($I187:DI187)*$F$29</f>
        <v>139107.64999999997</v>
      </c>
      <c r="DJ198" s="216">
        <f>SUM($I187:DJ187)*$F$29</f>
        <v>139107.64999999997</v>
      </c>
      <c r="DK198" s="216">
        <f>SUM($I187:DK187)*$F$29</f>
        <v>139107.64999999997</v>
      </c>
      <c r="DL198" s="216">
        <f>SUM($I187:DL187)*$F$29</f>
        <v>139107.64999999997</v>
      </c>
      <c r="DM198" s="216">
        <f>SUM($I187:DM187)*$F$29</f>
        <v>139107.64999999997</v>
      </c>
      <c r="DN198" s="216">
        <f>SUM($I187:DN187)*$F$29</f>
        <v>139107.64999999997</v>
      </c>
      <c r="DO198" s="216">
        <f>SUM($I187:DO187)*$F$29</f>
        <v>139107.64999999997</v>
      </c>
      <c r="DP198" s="216">
        <f>SUM($I187:DP187)*$F$29</f>
        <v>139107.64999999997</v>
      </c>
      <c r="DQ198" s="216">
        <f>SUM($I187:DQ187)*$F$29</f>
        <v>139107.64999999997</v>
      </c>
      <c r="DR198" s="216">
        <f>SUM($I187:DR187)*$F$29</f>
        <v>139107.64999999997</v>
      </c>
      <c r="DS198" s="216">
        <f>SUM($I187:DS187)*$F$29</f>
        <v>139107.64999999997</v>
      </c>
      <c r="DT198" s="216">
        <f>SUM($I187:DT187)*$F$29</f>
        <v>139107.64999999997</v>
      </c>
      <c r="DU198" s="216">
        <f>SUM($I187:DU187)*$F$29</f>
        <v>139107.64999999997</v>
      </c>
      <c r="DV198" s="216">
        <f>SUM($I187:DV187)*$F$29</f>
        <v>139107.64999999997</v>
      </c>
      <c r="DW198" s="216">
        <f>SUM($I187:DW187)*$F$29</f>
        <v>139107.64999999997</v>
      </c>
      <c r="DX198" s="216">
        <f>SUM($I187:DX187)*$F$29</f>
        <v>139107.64999999997</v>
      </c>
      <c r="DY198" s="216">
        <f>SUM($I187:DY187)*$F$29</f>
        <v>139107.64999999997</v>
      </c>
      <c r="DZ198" s="216">
        <f>SUM($I187:DZ187)*$F$29</f>
        <v>139107.64999999997</v>
      </c>
      <c r="EA198" s="216">
        <f>SUM($I187:EA187)*$F$29</f>
        <v>139107.64999999997</v>
      </c>
      <c r="EB198" s="216">
        <f>SUM($I187:EB187)*$F$29</f>
        <v>139107.64999999997</v>
      </c>
      <c r="EC198" s="216">
        <f>SUM($I187:EC187)*$F$29</f>
        <v>139107.64999999997</v>
      </c>
      <c r="ED198" s="216">
        <f>SUM($I187:ED187)*$F$29</f>
        <v>139107.64999999997</v>
      </c>
      <c r="EE198" s="216">
        <f>SUM($I187:EE187)*$F$29</f>
        <v>139107.64999999997</v>
      </c>
      <c r="EF198" s="216">
        <f>SUM($I187:EF187)*$F$29</f>
        <v>139107.64999999997</v>
      </c>
      <c r="EG198" s="216">
        <f>SUM($I187:EG187)*$F$29</f>
        <v>139107.64999999997</v>
      </c>
      <c r="EH198" s="216">
        <f>SUM($I187:EH187)*$F$29</f>
        <v>139107.64999999997</v>
      </c>
      <c r="EI198" s="216">
        <f>SUM($I187:EI187)*$F$29</f>
        <v>139107.64999999997</v>
      </c>
      <c r="EJ198" s="216">
        <f>SUM($I187:EJ187)*$F$29</f>
        <v>139107.64999999997</v>
      </c>
      <c r="EK198" s="216">
        <f>SUM($I187:EK187)*$F$29</f>
        <v>139107.64999999997</v>
      </c>
      <c r="EL198" s="216">
        <f>SUM($I187:EL187)*$F$29</f>
        <v>139107.64999999997</v>
      </c>
      <c r="EM198" s="216">
        <f>SUM($I187:EM187)*$F$29</f>
        <v>139107.64999999997</v>
      </c>
      <c r="EN198" s="216">
        <f>SUM($I187:EN187)*$F$29</f>
        <v>139107.64999999997</v>
      </c>
      <c r="EO198" s="216">
        <f>SUM($I187:EO187)*$F$29</f>
        <v>139107.64999999997</v>
      </c>
      <c r="EP198" s="216">
        <f>SUM($I187:EP187)*$F$29</f>
        <v>139107.64999999997</v>
      </c>
      <c r="EQ198" s="216">
        <f>SUM($I187:EQ187)*$F$29</f>
        <v>139107.64999999997</v>
      </c>
      <c r="ER198" s="216">
        <f>SUM($I187:ER187)*$F$29</f>
        <v>139107.64999999997</v>
      </c>
      <c r="ES198" s="216">
        <f>SUM($I187:ES187)*$F$29</f>
        <v>139107.64999999997</v>
      </c>
      <c r="ET198" s="216">
        <f>SUM($I187:ET187)*$F$29</f>
        <v>139107.64999999997</v>
      </c>
      <c r="EU198" s="216">
        <f>SUM($I187:EU187)*$F$29</f>
        <v>139107.64999999997</v>
      </c>
      <c r="EV198" s="216">
        <f>SUM($I187:EV187)*$F$29</f>
        <v>139107.64999999997</v>
      </c>
      <c r="EW198" s="216">
        <f>SUM($I187:EW187)*$F$29</f>
        <v>139107.64999999997</v>
      </c>
      <c r="EX198" s="216">
        <f>SUM($I187:EX187)*$F$29</f>
        <v>139107.64999999997</v>
      </c>
      <c r="EY198" s="216">
        <f>SUM($I187:EY187)*$F$29</f>
        <v>139107.64999999997</v>
      </c>
      <c r="EZ198" s="216">
        <f>SUM($I187:EZ187)*$F$29</f>
        <v>139107.64999999997</v>
      </c>
      <c r="FA198" s="216">
        <f>SUM($I187:FA187)*$F$29</f>
        <v>139107.64999999997</v>
      </c>
      <c r="FB198" s="216">
        <f>SUM($I187:FB187)*$F$29</f>
        <v>139107.64999999997</v>
      </c>
      <c r="FC198" s="216">
        <f>SUM($I187:FC187)*$F$29</f>
        <v>139107.64999999997</v>
      </c>
      <c r="FD198" s="216">
        <f>SUM($I187:FD187)*$F$29</f>
        <v>139107.64999999997</v>
      </c>
      <c r="FE198" s="216">
        <f>SUM($I187:FE187)*$F$29</f>
        <v>139107.64999999997</v>
      </c>
      <c r="FF198" s="216">
        <f>SUM($I187:FF187)*$F$29</f>
        <v>139107.64999999997</v>
      </c>
      <c r="FG198" s="216">
        <f>SUM($I187:FG187)*$F$29</f>
        <v>139107.64999999997</v>
      </c>
      <c r="FH198" s="216">
        <f>SUM($I187:FH187)*$F$29</f>
        <v>139107.64999999997</v>
      </c>
    </row>
    <row r="199" spans="1:164" x14ac:dyDescent="0.2">
      <c r="A199" s="10"/>
      <c r="B199" s="10"/>
      <c r="C199" s="201" t="s">
        <v>765</v>
      </c>
      <c r="D199" s="194"/>
      <c r="E199" s="194"/>
      <c r="F199" s="194"/>
      <c r="G199" s="194"/>
      <c r="H199" s="216"/>
      <c r="I199" s="216">
        <f t="shared" ref="I199:AN199" si="462">IF(I$6&lt;$F$76,MAX(0,I198-(1-$F$74)*$F$29),0)</f>
        <v>0</v>
      </c>
      <c r="J199" s="216">
        <f t="shared" si="462"/>
        <v>0</v>
      </c>
      <c r="K199" s="216">
        <f t="shared" si="462"/>
        <v>0</v>
      </c>
      <c r="L199" s="216">
        <f t="shared" si="462"/>
        <v>0</v>
      </c>
      <c r="M199" s="216">
        <f t="shared" si="462"/>
        <v>0</v>
      </c>
      <c r="N199" s="216">
        <f t="shared" si="462"/>
        <v>0</v>
      </c>
      <c r="O199" s="216">
        <f t="shared" si="462"/>
        <v>0</v>
      </c>
      <c r="P199" s="216">
        <f t="shared" si="462"/>
        <v>0</v>
      </c>
      <c r="Q199" s="216">
        <f t="shared" si="462"/>
        <v>0</v>
      </c>
      <c r="R199" s="216">
        <f t="shared" si="462"/>
        <v>0</v>
      </c>
      <c r="S199" s="216">
        <f t="shared" si="462"/>
        <v>0</v>
      </c>
      <c r="T199" s="216">
        <f t="shared" si="462"/>
        <v>0</v>
      </c>
      <c r="U199" s="216">
        <f t="shared" si="462"/>
        <v>0</v>
      </c>
      <c r="V199" s="216">
        <f t="shared" si="462"/>
        <v>0</v>
      </c>
      <c r="W199" s="216">
        <f t="shared" si="462"/>
        <v>0</v>
      </c>
      <c r="X199" s="216">
        <f t="shared" si="462"/>
        <v>0</v>
      </c>
      <c r="Y199" s="216">
        <f t="shared" si="462"/>
        <v>0</v>
      </c>
      <c r="Z199" s="216">
        <f t="shared" si="462"/>
        <v>0</v>
      </c>
      <c r="AA199" s="216">
        <f t="shared" si="462"/>
        <v>0</v>
      </c>
      <c r="AB199" s="216">
        <f t="shared" si="462"/>
        <v>0</v>
      </c>
      <c r="AC199" s="216">
        <f t="shared" si="462"/>
        <v>0</v>
      </c>
      <c r="AD199" s="216">
        <f t="shared" si="462"/>
        <v>0</v>
      </c>
      <c r="AE199" s="216">
        <f t="shared" si="462"/>
        <v>0</v>
      </c>
      <c r="AF199" s="216">
        <f t="shared" si="462"/>
        <v>0</v>
      </c>
      <c r="AG199" s="216">
        <f t="shared" si="462"/>
        <v>0</v>
      </c>
      <c r="AH199" s="216">
        <f t="shared" si="462"/>
        <v>0</v>
      </c>
      <c r="AI199" s="216">
        <f t="shared" si="462"/>
        <v>0</v>
      </c>
      <c r="AJ199" s="216">
        <f t="shared" si="462"/>
        <v>0</v>
      </c>
      <c r="AK199" s="216">
        <f t="shared" si="462"/>
        <v>0</v>
      </c>
      <c r="AL199" s="216">
        <f t="shared" si="462"/>
        <v>0</v>
      </c>
      <c r="AM199" s="216">
        <f t="shared" si="462"/>
        <v>0</v>
      </c>
      <c r="AN199" s="216">
        <f t="shared" si="462"/>
        <v>0</v>
      </c>
      <c r="AO199" s="216">
        <f t="shared" ref="AO199:BT199" si="463">IF(AO$6&lt;$F$76,MAX(0,AO198-(1-$F$74)*$F$29),0)</f>
        <v>0</v>
      </c>
      <c r="AP199" s="216">
        <f t="shared" si="463"/>
        <v>0</v>
      </c>
      <c r="AQ199" s="216">
        <f t="shared" si="463"/>
        <v>0</v>
      </c>
      <c r="AR199" s="216">
        <f t="shared" si="463"/>
        <v>0</v>
      </c>
      <c r="AS199" s="216">
        <f t="shared" si="463"/>
        <v>0</v>
      </c>
      <c r="AT199" s="216">
        <f t="shared" si="463"/>
        <v>0</v>
      </c>
      <c r="AU199" s="216">
        <f t="shared" si="463"/>
        <v>0</v>
      </c>
      <c r="AV199" s="216">
        <f t="shared" si="463"/>
        <v>0</v>
      </c>
      <c r="AW199" s="216">
        <f t="shared" si="463"/>
        <v>0</v>
      </c>
      <c r="AX199" s="216">
        <f t="shared" si="463"/>
        <v>0</v>
      </c>
      <c r="AY199" s="216">
        <f t="shared" si="463"/>
        <v>0</v>
      </c>
      <c r="AZ199" s="216">
        <f t="shared" si="463"/>
        <v>0</v>
      </c>
      <c r="BA199" s="216">
        <f t="shared" si="463"/>
        <v>0</v>
      </c>
      <c r="BB199" s="216">
        <f t="shared" si="463"/>
        <v>0</v>
      </c>
      <c r="BC199" s="216">
        <f t="shared" si="463"/>
        <v>0</v>
      </c>
      <c r="BD199" s="216">
        <f t="shared" si="463"/>
        <v>0</v>
      </c>
      <c r="BE199" s="216">
        <f t="shared" si="463"/>
        <v>0</v>
      </c>
      <c r="BF199" s="216">
        <f t="shared" si="463"/>
        <v>0</v>
      </c>
      <c r="BG199" s="216">
        <f t="shared" si="463"/>
        <v>0</v>
      </c>
      <c r="BH199" s="216">
        <f t="shared" si="463"/>
        <v>0</v>
      </c>
      <c r="BI199" s="216">
        <f t="shared" si="463"/>
        <v>0</v>
      </c>
      <c r="BJ199" s="216">
        <f t="shared" si="463"/>
        <v>0</v>
      </c>
      <c r="BK199" s="216">
        <f t="shared" si="463"/>
        <v>0</v>
      </c>
      <c r="BL199" s="216">
        <f t="shared" si="463"/>
        <v>0</v>
      </c>
      <c r="BM199" s="216">
        <f t="shared" si="463"/>
        <v>0</v>
      </c>
      <c r="BN199" s="216">
        <f t="shared" si="463"/>
        <v>0</v>
      </c>
      <c r="BO199" s="216">
        <f t="shared" si="463"/>
        <v>0</v>
      </c>
      <c r="BP199" s="216">
        <f t="shared" si="463"/>
        <v>0</v>
      </c>
      <c r="BQ199" s="216">
        <f t="shared" si="463"/>
        <v>0</v>
      </c>
      <c r="BR199" s="216">
        <f t="shared" si="463"/>
        <v>0</v>
      </c>
      <c r="BS199" s="216">
        <f t="shared" si="463"/>
        <v>0</v>
      </c>
      <c r="BT199" s="216">
        <f t="shared" si="463"/>
        <v>0</v>
      </c>
      <c r="BU199" s="216">
        <f t="shared" ref="BU199:CZ199" si="464">IF(BU$6&lt;$F$76,MAX(0,BU198-(1-$F$74)*$F$29),0)</f>
        <v>0</v>
      </c>
      <c r="BV199" s="216">
        <f t="shared" si="464"/>
        <v>0</v>
      </c>
      <c r="BW199" s="216">
        <f t="shared" si="464"/>
        <v>0</v>
      </c>
      <c r="BX199" s="216">
        <f t="shared" si="464"/>
        <v>0</v>
      </c>
      <c r="BY199" s="216">
        <f t="shared" si="464"/>
        <v>0</v>
      </c>
      <c r="BZ199" s="216">
        <f t="shared" si="464"/>
        <v>0</v>
      </c>
      <c r="CA199" s="216">
        <f t="shared" si="464"/>
        <v>0</v>
      </c>
      <c r="CB199" s="216">
        <f t="shared" si="464"/>
        <v>0</v>
      </c>
      <c r="CC199" s="216">
        <f t="shared" si="464"/>
        <v>0</v>
      </c>
      <c r="CD199" s="216">
        <f t="shared" si="464"/>
        <v>0</v>
      </c>
      <c r="CE199" s="216">
        <f t="shared" si="464"/>
        <v>0</v>
      </c>
      <c r="CF199" s="216">
        <f t="shared" si="464"/>
        <v>0</v>
      </c>
      <c r="CG199" s="216">
        <f t="shared" si="464"/>
        <v>0</v>
      </c>
      <c r="CH199" s="216">
        <f t="shared" si="464"/>
        <v>0</v>
      </c>
      <c r="CI199" s="216">
        <f t="shared" si="464"/>
        <v>0</v>
      </c>
      <c r="CJ199" s="216">
        <f t="shared" si="464"/>
        <v>6640.4105583627024</v>
      </c>
      <c r="CK199" s="216">
        <f t="shared" si="464"/>
        <v>13910.764999999999</v>
      </c>
      <c r="CL199" s="216">
        <f t="shared" si="464"/>
        <v>21181.119441637304</v>
      </c>
      <c r="CM199" s="216">
        <f t="shared" si="464"/>
        <v>28371.818358592544</v>
      </c>
      <c r="CN199" s="216">
        <f t="shared" si="464"/>
        <v>35404.078948781083</v>
      </c>
      <c r="CO199" s="216">
        <f t="shared" si="464"/>
        <v>42200.854293581666</v>
      </c>
      <c r="CP199" s="216">
        <f t="shared" si="464"/>
        <v>48687.677499999991</v>
      </c>
      <c r="CQ199" s="216">
        <f t="shared" si="464"/>
        <v>54793.47757553152</v>
      </c>
      <c r="CR199" s="216">
        <f t="shared" si="464"/>
        <v>60451.358096827913</v>
      </c>
      <c r="CS199" s="216">
        <f t="shared" si="464"/>
        <v>65599.330140910213</v>
      </c>
      <c r="CT199" s="216">
        <f t="shared" si="464"/>
        <v>70180.991448781075</v>
      </c>
      <c r="CU199" s="216">
        <f t="shared" si="464"/>
        <v>74146.144380377184</v>
      </c>
      <c r="CV199" s="216">
        <f t="shared" si="464"/>
        <v>77451.345890418364</v>
      </c>
      <c r="CW199" s="216">
        <f t="shared" si="464"/>
        <v>80060.383499502757</v>
      </c>
      <c r="CX199" s="216">
        <f t="shared" si="464"/>
        <v>81944.672045608982</v>
      </c>
      <c r="CY199" s="216">
        <f t="shared" si="464"/>
        <v>83083.566869113158</v>
      </c>
      <c r="CZ199" s="216">
        <f t="shared" si="464"/>
        <v>83464.589999999967</v>
      </c>
      <c r="DA199" s="216">
        <f t="shared" ref="DA199:EF199" si="465">IF(DA$6&lt;$F$76,MAX(0,DA198-(1-$F$74)*$F$29),0)</f>
        <v>83464.589999999967</v>
      </c>
      <c r="DB199" s="216">
        <f t="shared" si="465"/>
        <v>83464.589999999967</v>
      </c>
      <c r="DC199" s="216">
        <f t="shared" si="465"/>
        <v>83464.589999999967</v>
      </c>
      <c r="DD199" s="216">
        <f t="shared" si="465"/>
        <v>83464.589999999967</v>
      </c>
      <c r="DE199" s="216">
        <f t="shared" si="465"/>
        <v>83464.589999999967</v>
      </c>
      <c r="DF199" s="216">
        <f t="shared" si="465"/>
        <v>83464.589999999967</v>
      </c>
      <c r="DG199" s="216">
        <f t="shared" si="465"/>
        <v>83464.589999999967</v>
      </c>
      <c r="DH199" s="216">
        <f t="shared" si="465"/>
        <v>83464.589999999967</v>
      </c>
      <c r="DI199" s="216">
        <f t="shared" si="465"/>
        <v>83464.589999999967</v>
      </c>
      <c r="DJ199" s="216">
        <f t="shared" si="465"/>
        <v>83464.589999999967</v>
      </c>
      <c r="DK199" s="216">
        <f t="shared" si="465"/>
        <v>83464.589999999967</v>
      </c>
      <c r="DL199" s="216">
        <f t="shared" si="465"/>
        <v>0</v>
      </c>
      <c r="DM199" s="216">
        <f t="shared" si="465"/>
        <v>0</v>
      </c>
      <c r="DN199" s="216">
        <f t="shared" si="465"/>
        <v>0</v>
      </c>
      <c r="DO199" s="216">
        <f t="shared" si="465"/>
        <v>0</v>
      </c>
      <c r="DP199" s="216">
        <f t="shared" si="465"/>
        <v>0</v>
      </c>
      <c r="DQ199" s="216">
        <f t="shared" si="465"/>
        <v>0</v>
      </c>
      <c r="DR199" s="216">
        <f t="shared" si="465"/>
        <v>0</v>
      </c>
      <c r="DS199" s="216">
        <f t="shared" si="465"/>
        <v>0</v>
      </c>
      <c r="DT199" s="216">
        <f t="shared" si="465"/>
        <v>0</v>
      </c>
      <c r="DU199" s="216">
        <f t="shared" si="465"/>
        <v>0</v>
      </c>
      <c r="DV199" s="216">
        <f t="shared" si="465"/>
        <v>0</v>
      </c>
      <c r="DW199" s="216">
        <f t="shared" si="465"/>
        <v>0</v>
      </c>
      <c r="DX199" s="216">
        <f t="shared" si="465"/>
        <v>0</v>
      </c>
      <c r="DY199" s="216">
        <f t="shared" si="465"/>
        <v>0</v>
      </c>
      <c r="DZ199" s="216">
        <f t="shared" si="465"/>
        <v>0</v>
      </c>
      <c r="EA199" s="216">
        <f t="shared" si="465"/>
        <v>0</v>
      </c>
      <c r="EB199" s="216">
        <f t="shared" si="465"/>
        <v>0</v>
      </c>
      <c r="EC199" s="216">
        <f t="shared" si="465"/>
        <v>0</v>
      </c>
      <c r="ED199" s="216">
        <f t="shared" si="465"/>
        <v>0</v>
      </c>
      <c r="EE199" s="216">
        <f t="shared" si="465"/>
        <v>0</v>
      </c>
      <c r="EF199" s="216">
        <f t="shared" si="465"/>
        <v>0</v>
      </c>
      <c r="EG199" s="216">
        <f t="shared" ref="EG199:FH199" si="466">IF(EG$6&lt;$F$76,MAX(0,EG198-(1-$F$74)*$F$29),0)</f>
        <v>0</v>
      </c>
      <c r="EH199" s="216">
        <f t="shared" si="466"/>
        <v>0</v>
      </c>
      <c r="EI199" s="216">
        <f t="shared" si="466"/>
        <v>0</v>
      </c>
      <c r="EJ199" s="216">
        <f t="shared" si="466"/>
        <v>0</v>
      </c>
      <c r="EK199" s="216">
        <f t="shared" si="466"/>
        <v>0</v>
      </c>
      <c r="EL199" s="216">
        <f t="shared" si="466"/>
        <v>0</v>
      </c>
      <c r="EM199" s="216">
        <f t="shared" si="466"/>
        <v>0</v>
      </c>
      <c r="EN199" s="216">
        <f t="shared" si="466"/>
        <v>0</v>
      </c>
      <c r="EO199" s="216">
        <f t="shared" si="466"/>
        <v>0</v>
      </c>
      <c r="EP199" s="216">
        <f t="shared" si="466"/>
        <v>0</v>
      </c>
      <c r="EQ199" s="216">
        <f t="shared" si="466"/>
        <v>0</v>
      </c>
      <c r="ER199" s="216">
        <f t="shared" si="466"/>
        <v>0</v>
      </c>
      <c r="ES199" s="216">
        <f t="shared" si="466"/>
        <v>0</v>
      </c>
      <c r="ET199" s="216">
        <f t="shared" si="466"/>
        <v>0</v>
      </c>
      <c r="EU199" s="216">
        <f t="shared" si="466"/>
        <v>0</v>
      </c>
      <c r="EV199" s="216">
        <f t="shared" si="466"/>
        <v>0</v>
      </c>
      <c r="EW199" s="216">
        <f t="shared" si="466"/>
        <v>0</v>
      </c>
      <c r="EX199" s="216">
        <f t="shared" si="466"/>
        <v>0</v>
      </c>
      <c r="EY199" s="216">
        <f t="shared" si="466"/>
        <v>0</v>
      </c>
      <c r="EZ199" s="216">
        <f t="shared" si="466"/>
        <v>0</v>
      </c>
      <c r="FA199" s="216">
        <f t="shared" si="466"/>
        <v>0</v>
      </c>
      <c r="FB199" s="216">
        <f t="shared" si="466"/>
        <v>0</v>
      </c>
      <c r="FC199" s="216">
        <f t="shared" si="466"/>
        <v>0</v>
      </c>
      <c r="FD199" s="216">
        <f t="shared" si="466"/>
        <v>0</v>
      </c>
      <c r="FE199" s="216">
        <f t="shared" si="466"/>
        <v>0</v>
      </c>
      <c r="FF199" s="216">
        <f t="shared" si="466"/>
        <v>0</v>
      </c>
      <c r="FG199" s="216">
        <f t="shared" si="466"/>
        <v>0</v>
      </c>
      <c r="FH199" s="216">
        <f t="shared" si="466"/>
        <v>0</v>
      </c>
    </row>
    <row r="200" spans="1:164" x14ac:dyDescent="0.2">
      <c r="A200" s="10"/>
      <c r="B200" s="10"/>
      <c r="C200" s="10" t="s">
        <v>766</v>
      </c>
      <c r="D200" s="10"/>
      <c r="E200" s="10"/>
      <c r="F200" s="10"/>
      <c r="G200" s="10"/>
      <c r="H200" s="12"/>
      <c r="I200" s="12">
        <f>0</f>
        <v>0</v>
      </c>
      <c r="J200" s="12">
        <f t="shared" ref="J200:AO200" si="467">I204</f>
        <v>0</v>
      </c>
      <c r="K200" s="12">
        <f t="shared" si="467"/>
        <v>0</v>
      </c>
      <c r="L200" s="12">
        <f t="shared" si="467"/>
        <v>0</v>
      </c>
      <c r="M200" s="12">
        <f t="shared" si="467"/>
        <v>0</v>
      </c>
      <c r="N200" s="12">
        <f t="shared" si="467"/>
        <v>0</v>
      </c>
      <c r="O200" s="12">
        <f t="shared" si="467"/>
        <v>0</v>
      </c>
      <c r="P200" s="12">
        <f t="shared" si="467"/>
        <v>0</v>
      </c>
      <c r="Q200" s="12">
        <f t="shared" si="467"/>
        <v>0</v>
      </c>
      <c r="R200" s="12">
        <f t="shared" si="467"/>
        <v>0</v>
      </c>
      <c r="S200" s="12">
        <f t="shared" si="467"/>
        <v>0</v>
      </c>
      <c r="T200" s="12">
        <f t="shared" si="467"/>
        <v>0</v>
      </c>
      <c r="U200" s="12">
        <f t="shared" si="467"/>
        <v>0</v>
      </c>
      <c r="V200" s="12">
        <f t="shared" si="467"/>
        <v>0</v>
      </c>
      <c r="W200" s="12">
        <f t="shared" si="467"/>
        <v>0</v>
      </c>
      <c r="X200" s="12">
        <f t="shared" si="467"/>
        <v>0</v>
      </c>
      <c r="Y200" s="12">
        <f t="shared" si="467"/>
        <v>0</v>
      </c>
      <c r="Z200" s="12">
        <f t="shared" si="467"/>
        <v>0</v>
      </c>
      <c r="AA200" s="12">
        <f t="shared" si="467"/>
        <v>0</v>
      </c>
      <c r="AB200" s="12">
        <f t="shared" si="467"/>
        <v>0</v>
      </c>
      <c r="AC200" s="12">
        <f t="shared" si="467"/>
        <v>0</v>
      </c>
      <c r="AD200" s="12">
        <f t="shared" si="467"/>
        <v>0</v>
      </c>
      <c r="AE200" s="12">
        <f t="shared" si="467"/>
        <v>0</v>
      </c>
      <c r="AF200" s="12">
        <f t="shared" si="467"/>
        <v>0</v>
      </c>
      <c r="AG200" s="12">
        <f t="shared" si="467"/>
        <v>0</v>
      </c>
      <c r="AH200" s="12">
        <f t="shared" si="467"/>
        <v>0</v>
      </c>
      <c r="AI200" s="12">
        <f t="shared" si="467"/>
        <v>0</v>
      </c>
      <c r="AJ200" s="12">
        <f t="shared" si="467"/>
        <v>0</v>
      </c>
      <c r="AK200" s="12">
        <f t="shared" si="467"/>
        <v>0</v>
      </c>
      <c r="AL200" s="12">
        <f t="shared" si="467"/>
        <v>0</v>
      </c>
      <c r="AM200" s="12">
        <f t="shared" si="467"/>
        <v>0</v>
      </c>
      <c r="AN200" s="12">
        <f t="shared" si="467"/>
        <v>0</v>
      </c>
      <c r="AO200" s="12">
        <f t="shared" si="467"/>
        <v>0</v>
      </c>
      <c r="AP200" s="12">
        <f t="shared" ref="AP200:BU200" si="468">AO204</f>
        <v>0</v>
      </c>
      <c r="AQ200" s="12">
        <f t="shared" si="468"/>
        <v>0</v>
      </c>
      <c r="AR200" s="12">
        <f t="shared" si="468"/>
        <v>0</v>
      </c>
      <c r="AS200" s="12">
        <f t="shared" si="468"/>
        <v>0</v>
      </c>
      <c r="AT200" s="12">
        <f t="shared" si="468"/>
        <v>0</v>
      </c>
      <c r="AU200" s="12">
        <f t="shared" si="468"/>
        <v>0</v>
      </c>
      <c r="AV200" s="12">
        <f t="shared" si="468"/>
        <v>0</v>
      </c>
      <c r="AW200" s="12">
        <f t="shared" si="468"/>
        <v>0</v>
      </c>
      <c r="AX200" s="12">
        <f t="shared" si="468"/>
        <v>0</v>
      </c>
      <c r="AY200" s="12">
        <f t="shared" si="468"/>
        <v>0</v>
      </c>
      <c r="AZ200" s="12">
        <f t="shared" si="468"/>
        <v>0</v>
      </c>
      <c r="BA200" s="12">
        <f t="shared" si="468"/>
        <v>0</v>
      </c>
      <c r="BB200" s="12">
        <f t="shared" si="468"/>
        <v>0</v>
      </c>
      <c r="BC200" s="12">
        <f t="shared" si="468"/>
        <v>0</v>
      </c>
      <c r="BD200" s="12">
        <f t="shared" si="468"/>
        <v>0</v>
      </c>
      <c r="BE200" s="12">
        <f t="shared" si="468"/>
        <v>0</v>
      </c>
      <c r="BF200" s="12">
        <f t="shared" si="468"/>
        <v>0</v>
      </c>
      <c r="BG200" s="12">
        <f t="shared" si="468"/>
        <v>0</v>
      </c>
      <c r="BH200" s="12">
        <f t="shared" si="468"/>
        <v>0</v>
      </c>
      <c r="BI200" s="12">
        <f t="shared" si="468"/>
        <v>0</v>
      </c>
      <c r="BJ200" s="12">
        <f t="shared" si="468"/>
        <v>0</v>
      </c>
      <c r="BK200" s="12">
        <f t="shared" si="468"/>
        <v>0</v>
      </c>
      <c r="BL200" s="12">
        <f t="shared" si="468"/>
        <v>0</v>
      </c>
      <c r="BM200" s="12">
        <f t="shared" si="468"/>
        <v>0</v>
      </c>
      <c r="BN200" s="12">
        <f t="shared" si="468"/>
        <v>0</v>
      </c>
      <c r="BO200" s="12">
        <f t="shared" si="468"/>
        <v>0</v>
      </c>
      <c r="BP200" s="12">
        <f t="shared" si="468"/>
        <v>0</v>
      </c>
      <c r="BQ200" s="12">
        <f t="shared" si="468"/>
        <v>0</v>
      </c>
      <c r="BR200" s="12">
        <f t="shared" si="468"/>
        <v>0</v>
      </c>
      <c r="BS200" s="12">
        <f t="shared" si="468"/>
        <v>0</v>
      </c>
      <c r="BT200" s="12">
        <f t="shared" si="468"/>
        <v>0</v>
      </c>
      <c r="BU200" s="12">
        <f t="shared" si="468"/>
        <v>0</v>
      </c>
      <c r="BV200" s="12">
        <f t="shared" ref="BV200:DA200" si="469">BU204</f>
        <v>0</v>
      </c>
      <c r="BW200" s="12">
        <f t="shared" si="469"/>
        <v>0</v>
      </c>
      <c r="BX200" s="12">
        <f t="shared" si="469"/>
        <v>0</v>
      </c>
      <c r="BY200" s="12">
        <f t="shared" si="469"/>
        <v>0</v>
      </c>
      <c r="BZ200" s="12">
        <f t="shared" si="469"/>
        <v>0</v>
      </c>
      <c r="CA200" s="12">
        <f t="shared" si="469"/>
        <v>0</v>
      </c>
      <c r="CB200" s="12">
        <f t="shared" si="469"/>
        <v>0</v>
      </c>
      <c r="CC200" s="12">
        <f t="shared" si="469"/>
        <v>0</v>
      </c>
      <c r="CD200" s="12">
        <f t="shared" si="469"/>
        <v>0</v>
      </c>
      <c r="CE200" s="12">
        <f t="shared" si="469"/>
        <v>0</v>
      </c>
      <c r="CF200" s="12">
        <f t="shared" si="469"/>
        <v>0</v>
      </c>
      <c r="CG200" s="12">
        <f t="shared" si="469"/>
        <v>0</v>
      </c>
      <c r="CH200" s="12">
        <f t="shared" si="469"/>
        <v>0</v>
      </c>
      <c r="CI200" s="12">
        <f t="shared" si="469"/>
        <v>0</v>
      </c>
      <c r="CJ200" s="12">
        <f t="shared" si="469"/>
        <v>0</v>
      </c>
      <c r="CK200" s="12">
        <f t="shared" si="469"/>
        <v>6640.4105583627024</v>
      </c>
      <c r="CL200" s="12">
        <f t="shared" si="469"/>
        <v>13910.764999999999</v>
      </c>
      <c r="CM200" s="12">
        <f t="shared" si="469"/>
        <v>21181.119441637304</v>
      </c>
      <c r="CN200" s="12">
        <f t="shared" si="469"/>
        <v>28371.818358592544</v>
      </c>
      <c r="CO200" s="12">
        <f t="shared" si="469"/>
        <v>35404.078948781083</v>
      </c>
      <c r="CP200" s="12">
        <f t="shared" si="469"/>
        <v>42200.854293581666</v>
      </c>
      <c r="CQ200" s="12">
        <f t="shared" si="469"/>
        <v>48687.677499999991</v>
      </c>
      <c r="CR200" s="12">
        <f t="shared" si="469"/>
        <v>54793.47757553152</v>
      </c>
      <c r="CS200" s="12">
        <f t="shared" si="469"/>
        <v>60451.358096827913</v>
      </c>
      <c r="CT200" s="12">
        <f t="shared" si="469"/>
        <v>65599.330140910213</v>
      </c>
      <c r="CU200" s="12">
        <f t="shared" si="469"/>
        <v>70180.991448781075</v>
      </c>
      <c r="CV200" s="12">
        <f t="shared" si="469"/>
        <v>74146.144380377184</v>
      </c>
      <c r="CW200" s="12">
        <f t="shared" si="469"/>
        <v>77451.345890418364</v>
      </c>
      <c r="CX200" s="12">
        <f t="shared" si="469"/>
        <v>80060.383499502757</v>
      </c>
      <c r="CY200" s="12">
        <f t="shared" si="469"/>
        <v>81944.672045608982</v>
      </c>
      <c r="CZ200" s="12">
        <f t="shared" si="469"/>
        <v>83083.566869113158</v>
      </c>
      <c r="DA200" s="12">
        <f t="shared" si="469"/>
        <v>83464.589999999967</v>
      </c>
      <c r="DB200" s="12">
        <f t="shared" ref="DB200:EG200" si="470">DA204</f>
        <v>83464.589999999967</v>
      </c>
      <c r="DC200" s="12">
        <f t="shared" si="470"/>
        <v>83464.589999999967</v>
      </c>
      <c r="DD200" s="12">
        <f t="shared" si="470"/>
        <v>83464.589999999967</v>
      </c>
      <c r="DE200" s="12">
        <f t="shared" si="470"/>
        <v>83464.589999999967</v>
      </c>
      <c r="DF200" s="12">
        <f t="shared" si="470"/>
        <v>83464.589999999967</v>
      </c>
      <c r="DG200" s="12">
        <f t="shared" si="470"/>
        <v>83464.589999999967</v>
      </c>
      <c r="DH200" s="12">
        <f t="shared" si="470"/>
        <v>83464.589999999967</v>
      </c>
      <c r="DI200" s="12">
        <f t="shared" si="470"/>
        <v>83464.589999999967</v>
      </c>
      <c r="DJ200" s="12">
        <f t="shared" si="470"/>
        <v>83464.589999999967</v>
      </c>
      <c r="DK200" s="12">
        <f t="shared" si="470"/>
        <v>83464.589999999967</v>
      </c>
      <c r="DL200" s="12">
        <f t="shared" si="470"/>
        <v>83464.589999999967</v>
      </c>
      <c r="DM200" s="12">
        <f t="shared" si="470"/>
        <v>0</v>
      </c>
      <c r="DN200" s="12">
        <f t="shared" si="470"/>
        <v>0</v>
      </c>
      <c r="DO200" s="12">
        <f t="shared" si="470"/>
        <v>0</v>
      </c>
      <c r="DP200" s="12">
        <f t="shared" si="470"/>
        <v>0</v>
      </c>
      <c r="DQ200" s="12">
        <f t="shared" si="470"/>
        <v>0</v>
      </c>
      <c r="DR200" s="12">
        <f t="shared" si="470"/>
        <v>0</v>
      </c>
      <c r="DS200" s="12">
        <f t="shared" si="470"/>
        <v>0</v>
      </c>
      <c r="DT200" s="12">
        <f t="shared" si="470"/>
        <v>0</v>
      </c>
      <c r="DU200" s="12">
        <f t="shared" si="470"/>
        <v>0</v>
      </c>
      <c r="DV200" s="12">
        <f t="shared" si="470"/>
        <v>0</v>
      </c>
      <c r="DW200" s="12">
        <f t="shared" si="470"/>
        <v>0</v>
      </c>
      <c r="DX200" s="12">
        <f t="shared" si="470"/>
        <v>0</v>
      </c>
      <c r="DY200" s="12">
        <f t="shared" si="470"/>
        <v>0</v>
      </c>
      <c r="DZ200" s="12">
        <f t="shared" si="470"/>
        <v>0</v>
      </c>
      <c r="EA200" s="12">
        <f t="shared" si="470"/>
        <v>0</v>
      </c>
      <c r="EB200" s="12">
        <f t="shared" si="470"/>
        <v>0</v>
      </c>
      <c r="EC200" s="12">
        <f t="shared" si="470"/>
        <v>0</v>
      </c>
      <c r="ED200" s="12">
        <f t="shared" si="470"/>
        <v>0</v>
      </c>
      <c r="EE200" s="12">
        <f t="shared" si="470"/>
        <v>0</v>
      </c>
      <c r="EF200" s="12">
        <f t="shared" si="470"/>
        <v>0</v>
      </c>
      <c r="EG200" s="12">
        <f t="shared" si="470"/>
        <v>0</v>
      </c>
      <c r="EH200" s="12">
        <f t="shared" ref="EH200:FH200" si="471">EG204</f>
        <v>0</v>
      </c>
      <c r="EI200" s="12">
        <f t="shared" si="471"/>
        <v>0</v>
      </c>
      <c r="EJ200" s="12">
        <f t="shared" si="471"/>
        <v>0</v>
      </c>
      <c r="EK200" s="12">
        <f t="shared" si="471"/>
        <v>0</v>
      </c>
      <c r="EL200" s="12">
        <f t="shared" si="471"/>
        <v>0</v>
      </c>
      <c r="EM200" s="12">
        <f t="shared" si="471"/>
        <v>0</v>
      </c>
      <c r="EN200" s="12">
        <f t="shared" si="471"/>
        <v>0</v>
      </c>
      <c r="EO200" s="12">
        <f t="shared" si="471"/>
        <v>0</v>
      </c>
      <c r="EP200" s="12">
        <f t="shared" si="471"/>
        <v>0</v>
      </c>
      <c r="EQ200" s="12">
        <f t="shared" si="471"/>
        <v>0</v>
      </c>
      <c r="ER200" s="12">
        <f t="shared" si="471"/>
        <v>0</v>
      </c>
      <c r="ES200" s="12">
        <f t="shared" si="471"/>
        <v>0</v>
      </c>
      <c r="ET200" s="12">
        <f t="shared" si="471"/>
        <v>0</v>
      </c>
      <c r="EU200" s="12">
        <f t="shared" si="471"/>
        <v>0</v>
      </c>
      <c r="EV200" s="12">
        <f t="shared" si="471"/>
        <v>0</v>
      </c>
      <c r="EW200" s="12">
        <f t="shared" si="471"/>
        <v>0</v>
      </c>
      <c r="EX200" s="12">
        <f t="shared" si="471"/>
        <v>0</v>
      </c>
      <c r="EY200" s="12">
        <f t="shared" si="471"/>
        <v>0</v>
      </c>
      <c r="EZ200" s="12">
        <f t="shared" si="471"/>
        <v>0</v>
      </c>
      <c r="FA200" s="12">
        <f t="shared" si="471"/>
        <v>0</v>
      </c>
      <c r="FB200" s="12">
        <f t="shared" si="471"/>
        <v>0</v>
      </c>
      <c r="FC200" s="12">
        <f t="shared" si="471"/>
        <v>0</v>
      </c>
      <c r="FD200" s="12">
        <f t="shared" si="471"/>
        <v>0</v>
      </c>
      <c r="FE200" s="12">
        <f t="shared" si="471"/>
        <v>0</v>
      </c>
      <c r="FF200" s="12">
        <f t="shared" si="471"/>
        <v>0</v>
      </c>
      <c r="FG200" s="12">
        <f t="shared" si="471"/>
        <v>0</v>
      </c>
      <c r="FH200" s="12">
        <f t="shared" si="471"/>
        <v>0</v>
      </c>
    </row>
    <row r="201" spans="1:164" x14ac:dyDescent="0.2">
      <c r="A201" s="10"/>
      <c r="B201" s="10"/>
      <c r="C201" s="10" t="s">
        <v>767</v>
      </c>
      <c r="D201" s="10"/>
      <c r="E201" s="10"/>
      <c r="F201" s="10"/>
      <c r="G201" s="10"/>
      <c r="H201" s="12">
        <f>SUM(I201:FH201)</f>
        <v>83464.589999999967</v>
      </c>
      <c r="I201" s="12">
        <f>MAX(0,I199)</f>
        <v>0</v>
      </c>
      <c r="J201" s="12">
        <f t="shared" ref="J201:AO201" si="472">MAX(0,J199-I199)</f>
        <v>0</v>
      </c>
      <c r="K201" s="12">
        <f t="shared" si="472"/>
        <v>0</v>
      </c>
      <c r="L201" s="12">
        <f t="shared" si="472"/>
        <v>0</v>
      </c>
      <c r="M201" s="12">
        <f t="shared" si="472"/>
        <v>0</v>
      </c>
      <c r="N201" s="12">
        <f t="shared" si="472"/>
        <v>0</v>
      </c>
      <c r="O201" s="12">
        <f t="shared" si="472"/>
        <v>0</v>
      </c>
      <c r="P201" s="12">
        <f t="shared" si="472"/>
        <v>0</v>
      </c>
      <c r="Q201" s="12">
        <f t="shared" si="472"/>
        <v>0</v>
      </c>
      <c r="R201" s="12">
        <f t="shared" si="472"/>
        <v>0</v>
      </c>
      <c r="S201" s="12">
        <f t="shared" si="472"/>
        <v>0</v>
      </c>
      <c r="T201" s="12">
        <f t="shared" si="472"/>
        <v>0</v>
      </c>
      <c r="U201" s="12">
        <f t="shared" si="472"/>
        <v>0</v>
      </c>
      <c r="V201" s="12">
        <f t="shared" si="472"/>
        <v>0</v>
      </c>
      <c r="W201" s="12">
        <f t="shared" si="472"/>
        <v>0</v>
      </c>
      <c r="X201" s="12">
        <f t="shared" si="472"/>
        <v>0</v>
      </c>
      <c r="Y201" s="12">
        <f t="shared" si="472"/>
        <v>0</v>
      </c>
      <c r="Z201" s="12">
        <f t="shared" si="472"/>
        <v>0</v>
      </c>
      <c r="AA201" s="12">
        <f t="shared" si="472"/>
        <v>0</v>
      </c>
      <c r="AB201" s="12">
        <f t="shared" si="472"/>
        <v>0</v>
      </c>
      <c r="AC201" s="12">
        <f t="shared" si="472"/>
        <v>0</v>
      </c>
      <c r="AD201" s="12">
        <f t="shared" si="472"/>
        <v>0</v>
      </c>
      <c r="AE201" s="12">
        <f t="shared" si="472"/>
        <v>0</v>
      </c>
      <c r="AF201" s="12">
        <f t="shared" si="472"/>
        <v>0</v>
      </c>
      <c r="AG201" s="12">
        <f t="shared" si="472"/>
        <v>0</v>
      </c>
      <c r="AH201" s="12">
        <f t="shared" si="472"/>
        <v>0</v>
      </c>
      <c r="AI201" s="12">
        <f t="shared" si="472"/>
        <v>0</v>
      </c>
      <c r="AJ201" s="12">
        <f t="shared" si="472"/>
        <v>0</v>
      </c>
      <c r="AK201" s="12">
        <f t="shared" si="472"/>
        <v>0</v>
      </c>
      <c r="AL201" s="12">
        <f t="shared" si="472"/>
        <v>0</v>
      </c>
      <c r="AM201" s="12">
        <f t="shared" si="472"/>
        <v>0</v>
      </c>
      <c r="AN201" s="12">
        <f t="shared" si="472"/>
        <v>0</v>
      </c>
      <c r="AO201" s="12">
        <f t="shared" si="472"/>
        <v>0</v>
      </c>
      <c r="AP201" s="12">
        <f t="shared" ref="AP201:BU201" si="473">MAX(0,AP199-AO199)</f>
        <v>0</v>
      </c>
      <c r="AQ201" s="12">
        <f t="shared" si="473"/>
        <v>0</v>
      </c>
      <c r="AR201" s="12">
        <f t="shared" si="473"/>
        <v>0</v>
      </c>
      <c r="AS201" s="12">
        <f t="shared" si="473"/>
        <v>0</v>
      </c>
      <c r="AT201" s="12">
        <f t="shared" si="473"/>
        <v>0</v>
      </c>
      <c r="AU201" s="12">
        <f t="shared" si="473"/>
        <v>0</v>
      </c>
      <c r="AV201" s="12">
        <f t="shared" si="473"/>
        <v>0</v>
      </c>
      <c r="AW201" s="12">
        <f t="shared" si="473"/>
        <v>0</v>
      </c>
      <c r="AX201" s="12">
        <f t="shared" si="473"/>
        <v>0</v>
      </c>
      <c r="AY201" s="12">
        <f t="shared" si="473"/>
        <v>0</v>
      </c>
      <c r="AZ201" s="12">
        <f t="shared" si="473"/>
        <v>0</v>
      </c>
      <c r="BA201" s="12">
        <f t="shared" si="473"/>
        <v>0</v>
      </c>
      <c r="BB201" s="12">
        <f t="shared" si="473"/>
        <v>0</v>
      </c>
      <c r="BC201" s="12">
        <f t="shared" si="473"/>
        <v>0</v>
      </c>
      <c r="BD201" s="12">
        <f t="shared" si="473"/>
        <v>0</v>
      </c>
      <c r="BE201" s="12">
        <f t="shared" si="473"/>
        <v>0</v>
      </c>
      <c r="BF201" s="12">
        <f t="shared" si="473"/>
        <v>0</v>
      </c>
      <c r="BG201" s="12">
        <f t="shared" si="473"/>
        <v>0</v>
      </c>
      <c r="BH201" s="12">
        <f t="shared" si="473"/>
        <v>0</v>
      </c>
      <c r="BI201" s="12">
        <f t="shared" si="473"/>
        <v>0</v>
      </c>
      <c r="BJ201" s="12">
        <f t="shared" si="473"/>
        <v>0</v>
      </c>
      <c r="BK201" s="12">
        <f t="shared" si="473"/>
        <v>0</v>
      </c>
      <c r="BL201" s="12">
        <f t="shared" si="473"/>
        <v>0</v>
      </c>
      <c r="BM201" s="12">
        <f t="shared" si="473"/>
        <v>0</v>
      </c>
      <c r="BN201" s="12">
        <f t="shared" si="473"/>
        <v>0</v>
      </c>
      <c r="BO201" s="12">
        <f t="shared" si="473"/>
        <v>0</v>
      </c>
      <c r="BP201" s="12">
        <f t="shared" si="473"/>
        <v>0</v>
      </c>
      <c r="BQ201" s="12">
        <f t="shared" si="473"/>
        <v>0</v>
      </c>
      <c r="BR201" s="12">
        <f t="shared" si="473"/>
        <v>0</v>
      </c>
      <c r="BS201" s="12">
        <f t="shared" si="473"/>
        <v>0</v>
      </c>
      <c r="BT201" s="12">
        <f t="shared" si="473"/>
        <v>0</v>
      </c>
      <c r="BU201" s="12">
        <f t="shared" si="473"/>
        <v>0</v>
      </c>
      <c r="BV201" s="12">
        <f t="shared" ref="BV201:DA201" si="474">MAX(0,BV199-BU199)</f>
        <v>0</v>
      </c>
      <c r="BW201" s="12">
        <f t="shared" si="474"/>
        <v>0</v>
      </c>
      <c r="BX201" s="12">
        <f t="shared" si="474"/>
        <v>0</v>
      </c>
      <c r="BY201" s="12">
        <f t="shared" si="474"/>
        <v>0</v>
      </c>
      <c r="BZ201" s="12">
        <f t="shared" si="474"/>
        <v>0</v>
      </c>
      <c r="CA201" s="12">
        <f t="shared" si="474"/>
        <v>0</v>
      </c>
      <c r="CB201" s="12">
        <f t="shared" si="474"/>
        <v>0</v>
      </c>
      <c r="CC201" s="12">
        <f t="shared" si="474"/>
        <v>0</v>
      </c>
      <c r="CD201" s="12">
        <f t="shared" si="474"/>
        <v>0</v>
      </c>
      <c r="CE201" s="12">
        <f t="shared" si="474"/>
        <v>0</v>
      </c>
      <c r="CF201" s="12">
        <f t="shared" si="474"/>
        <v>0</v>
      </c>
      <c r="CG201" s="12">
        <f t="shared" si="474"/>
        <v>0</v>
      </c>
      <c r="CH201" s="12">
        <f t="shared" si="474"/>
        <v>0</v>
      </c>
      <c r="CI201" s="12">
        <f t="shared" si="474"/>
        <v>0</v>
      </c>
      <c r="CJ201" s="12">
        <f t="shared" si="474"/>
        <v>6640.4105583627024</v>
      </c>
      <c r="CK201" s="12">
        <f t="shared" si="474"/>
        <v>7270.354441637297</v>
      </c>
      <c r="CL201" s="12">
        <f t="shared" si="474"/>
        <v>7270.3544416373043</v>
      </c>
      <c r="CM201" s="12">
        <f t="shared" si="474"/>
        <v>7190.6989169552398</v>
      </c>
      <c r="CN201" s="12">
        <f t="shared" si="474"/>
        <v>7032.2605901885399</v>
      </c>
      <c r="CO201" s="12">
        <f t="shared" si="474"/>
        <v>6796.7753448005824</v>
      </c>
      <c r="CP201" s="12">
        <f t="shared" si="474"/>
        <v>6486.8232064183248</v>
      </c>
      <c r="CQ201" s="12">
        <f t="shared" si="474"/>
        <v>6105.8000755315297</v>
      </c>
      <c r="CR201" s="12">
        <f t="shared" si="474"/>
        <v>5657.8805212963925</v>
      </c>
      <c r="CS201" s="12">
        <f t="shared" si="474"/>
        <v>5147.9720440823003</v>
      </c>
      <c r="CT201" s="12">
        <f t="shared" si="474"/>
        <v>4581.6613078708615</v>
      </c>
      <c r="CU201" s="12">
        <f t="shared" si="474"/>
        <v>3965.1529315961088</v>
      </c>
      <c r="CV201" s="12">
        <f t="shared" si="474"/>
        <v>3305.2015100411809</v>
      </c>
      <c r="CW201" s="12">
        <f t="shared" si="474"/>
        <v>2609.0376090843929</v>
      </c>
      <c r="CX201" s="12">
        <f t="shared" si="474"/>
        <v>1884.2885461062251</v>
      </c>
      <c r="CY201" s="12">
        <f t="shared" si="474"/>
        <v>1138.8948235041753</v>
      </c>
      <c r="CZ201" s="12">
        <f t="shared" si="474"/>
        <v>381.02313088680967</v>
      </c>
      <c r="DA201" s="12">
        <f t="shared" si="474"/>
        <v>0</v>
      </c>
      <c r="DB201" s="12">
        <f t="shared" ref="DB201:EG201" si="475">MAX(0,DB199-DA199)</f>
        <v>0</v>
      </c>
      <c r="DC201" s="12">
        <f t="shared" si="475"/>
        <v>0</v>
      </c>
      <c r="DD201" s="12">
        <f t="shared" si="475"/>
        <v>0</v>
      </c>
      <c r="DE201" s="12">
        <f t="shared" si="475"/>
        <v>0</v>
      </c>
      <c r="DF201" s="12">
        <f t="shared" si="475"/>
        <v>0</v>
      </c>
      <c r="DG201" s="12">
        <f t="shared" si="475"/>
        <v>0</v>
      </c>
      <c r="DH201" s="12">
        <f t="shared" si="475"/>
        <v>0</v>
      </c>
      <c r="DI201" s="12">
        <f t="shared" si="475"/>
        <v>0</v>
      </c>
      <c r="DJ201" s="12">
        <f t="shared" si="475"/>
        <v>0</v>
      </c>
      <c r="DK201" s="12">
        <f t="shared" si="475"/>
        <v>0</v>
      </c>
      <c r="DL201" s="12">
        <f t="shared" si="475"/>
        <v>0</v>
      </c>
      <c r="DM201" s="12">
        <f t="shared" si="475"/>
        <v>0</v>
      </c>
      <c r="DN201" s="12">
        <f t="shared" si="475"/>
        <v>0</v>
      </c>
      <c r="DO201" s="12">
        <f t="shared" si="475"/>
        <v>0</v>
      </c>
      <c r="DP201" s="12">
        <f t="shared" si="475"/>
        <v>0</v>
      </c>
      <c r="DQ201" s="12">
        <f t="shared" si="475"/>
        <v>0</v>
      </c>
      <c r="DR201" s="12">
        <f t="shared" si="475"/>
        <v>0</v>
      </c>
      <c r="DS201" s="12">
        <f t="shared" si="475"/>
        <v>0</v>
      </c>
      <c r="DT201" s="12">
        <f t="shared" si="475"/>
        <v>0</v>
      </c>
      <c r="DU201" s="12">
        <f t="shared" si="475"/>
        <v>0</v>
      </c>
      <c r="DV201" s="12">
        <f t="shared" si="475"/>
        <v>0</v>
      </c>
      <c r="DW201" s="12">
        <f t="shared" si="475"/>
        <v>0</v>
      </c>
      <c r="DX201" s="12">
        <f t="shared" si="475"/>
        <v>0</v>
      </c>
      <c r="DY201" s="12">
        <f t="shared" si="475"/>
        <v>0</v>
      </c>
      <c r="DZ201" s="12">
        <f t="shared" si="475"/>
        <v>0</v>
      </c>
      <c r="EA201" s="12">
        <f t="shared" si="475"/>
        <v>0</v>
      </c>
      <c r="EB201" s="12">
        <f t="shared" si="475"/>
        <v>0</v>
      </c>
      <c r="EC201" s="12">
        <f t="shared" si="475"/>
        <v>0</v>
      </c>
      <c r="ED201" s="12">
        <f t="shared" si="475"/>
        <v>0</v>
      </c>
      <c r="EE201" s="12">
        <f t="shared" si="475"/>
        <v>0</v>
      </c>
      <c r="EF201" s="12">
        <f t="shared" si="475"/>
        <v>0</v>
      </c>
      <c r="EG201" s="12">
        <f t="shared" si="475"/>
        <v>0</v>
      </c>
      <c r="EH201" s="12">
        <f t="shared" ref="EH201:FH201" si="476">MAX(0,EH199-EG199)</f>
        <v>0</v>
      </c>
      <c r="EI201" s="12">
        <f t="shared" si="476"/>
        <v>0</v>
      </c>
      <c r="EJ201" s="12">
        <f t="shared" si="476"/>
        <v>0</v>
      </c>
      <c r="EK201" s="12">
        <f t="shared" si="476"/>
        <v>0</v>
      </c>
      <c r="EL201" s="12">
        <f t="shared" si="476"/>
        <v>0</v>
      </c>
      <c r="EM201" s="12">
        <f t="shared" si="476"/>
        <v>0</v>
      </c>
      <c r="EN201" s="12">
        <f t="shared" si="476"/>
        <v>0</v>
      </c>
      <c r="EO201" s="12">
        <f t="shared" si="476"/>
        <v>0</v>
      </c>
      <c r="EP201" s="12">
        <f t="shared" si="476"/>
        <v>0</v>
      </c>
      <c r="EQ201" s="12">
        <f t="shared" si="476"/>
        <v>0</v>
      </c>
      <c r="ER201" s="12">
        <f t="shared" si="476"/>
        <v>0</v>
      </c>
      <c r="ES201" s="12">
        <f t="shared" si="476"/>
        <v>0</v>
      </c>
      <c r="ET201" s="12">
        <f t="shared" si="476"/>
        <v>0</v>
      </c>
      <c r="EU201" s="12">
        <f t="shared" si="476"/>
        <v>0</v>
      </c>
      <c r="EV201" s="12">
        <f t="shared" si="476"/>
        <v>0</v>
      </c>
      <c r="EW201" s="12">
        <f t="shared" si="476"/>
        <v>0</v>
      </c>
      <c r="EX201" s="12">
        <f t="shared" si="476"/>
        <v>0</v>
      </c>
      <c r="EY201" s="12">
        <f t="shared" si="476"/>
        <v>0</v>
      </c>
      <c r="EZ201" s="12">
        <f t="shared" si="476"/>
        <v>0</v>
      </c>
      <c r="FA201" s="12">
        <f t="shared" si="476"/>
        <v>0</v>
      </c>
      <c r="FB201" s="12">
        <f t="shared" si="476"/>
        <v>0</v>
      </c>
      <c r="FC201" s="12">
        <f t="shared" si="476"/>
        <v>0</v>
      </c>
      <c r="FD201" s="12">
        <f t="shared" si="476"/>
        <v>0</v>
      </c>
      <c r="FE201" s="12">
        <f t="shared" si="476"/>
        <v>0</v>
      </c>
      <c r="FF201" s="12">
        <f t="shared" si="476"/>
        <v>0</v>
      </c>
      <c r="FG201" s="12">
        <f t="shared" si="476"/>
        <v>0</v>
      </c>
      <c r="FH201" s="12">
        <f t="shared" si="476"/>
        <v>0</v>
      </c>
    </row>
    <row r="202" spans="1:164" x14ac:dyDescent="0.2">
      <c r="A202" s="10"/>
      <c r="B202" s="10"/>
      <c r="C202" s="10" t="s">
        <v>768</v>
      </c>
      <c r="D202" s="10"/>
      <c r="E202" s="10"/>
      <c r="F202" s="10"/>
      <c r="G202" s="10"/>
      <c r="H202" s="12">
        <f>SUM(I202:FH202)</f>
        <v>-17513.304512506427</v>
      </c>
      <c r="I202" s="12">
        <f t="shared" ref="I202:AN202" si="477">-I200*((1+$F$75)^(1/12)-1)</f>
        <v>0</v>
      </c>
      <c r="J202" s="12">
        <f t="shared" si="477"/>
        <v>0</v>
      </c>
      <c r="K202" s="12">
        <f t="shared" si="477"/>
        <v>0</v>
      </c>
      <c r="L202" s="12">
        <f t="shared" si="477"/>
        <v>0</v>
      </c>
      <c r="M202" s="12">
        <f t="shared" si="477"/>
        <v>0</v>
      </c>
      <c r="N202" s="12">
        <f t="shared" si="477"/>
        <v>0</v>
      </c>
      <c r="O202" s="12">
        <f t="shared" si="477"/>
        <v>0</v>
      </c>
      <c r="P202" s="12">
        <f t="shared" si="477"/>
        <v>0</v>
      </c>
      <c r="Q202" s="12">
        <f t="shared" si="477"/>
        <v>0</v>
      </c>
      <c r="R202" s="12">
        <f t="shared" si="477"/>
        <v>0</v>
      </c>
      <c r="S202" s="12">
        <f t="shared" si="477"/>
        <v>0</v>
      </c>
      <c r="T202" s="12">
        <f t="shared" si="477"/>
        <v>0</v>
      </c>
      <c r="U202" s="12">
        <f t="shared" si="477"/>
        <v>0</v>
      </c>
      <c r="V202" s="12">
        <f t="shared" si="477"/>
        <v>0</v>
      </c>
      <c r="W202" s="12">
        <f t="shared" si="477"/>
        <v>0</v>
      </c>
      <c r="X202" s="12">
        <f t="shared" si="477"/>
        <v>0</v>
      </c>
      <c r="Y202" s="12">
        <f t="shared" si="477"/>
        <v>0</v>
      </c>
      <c r="Z202" s="12">
        <f t="shared" si="477"/>
        <v>0</v>
      </c>
      <c r="AA202" s="12">
        <f t="shared" si="477"/>
        <v>0</v>
      </c>
      <c r="AB202" s="12">
        <f t="shared" si="477"/>
        <v>0</v>
      </c>
      <c r="AC202" s="12">
        <f t="shared" si="477"/>
        <v>0</v>
      </c>
      <c r="AD202" s="12">
        <f t="shared" si="477"/>
        <v>0</v>
      </c>
      <c r="AE202" s="12">
        <f t="shared" si="477"/>
        <v>0</v>
      </c>
      <c r="AF202" s="12">
        <f t="shared" si="477"/>
        <v>0</v>
      </c>
      <c r="AG202" s="12">
        <f t="shared" si="477"/>
        <v>0</v>
      </c>
      <c r="AH202" s="12">
        <f t="shared" si="477"/>
        <v>0</v>
      </c>
      <c r="AI202" s="12">
        <f t="shared" si="477"/>
        <v>0</v>
      </c>
      <c r="AJ202" s="12">
        <f t="shared" si="477"/>
        <v>0</v>
      </c>
      <c r="AK202" s="12">
        <f t="shared" si="477"/>
        <v>0</v>
      </c>
      <c r="AL202" s="12">
        <f t="shared" si="477"/>
        <v>0</v>
      </c>
      <c r="AM202" s="12">
        <f t="shared" si="477"/>
        <v>0</v>
      </c>
      <c r="AN202" s="12">
        <f t="shared" si="477"/>
        <v>0</v>
      </c>
      <c r="AO202" s="12">
        <f t="shared" ref="AO202:BT202" si="478">-AO200*((1+$F$75)^(1/12)-1)</f>
        <v>0</v>
      </c>
      <c r="AP202" s="12">
        <f t="shared" si="478"/>
        <v>0</v>
      </c>
      <c r="AQ202" s="12">
        <f t="shared" si="478"/>
        <v>0</v>
      </c>
      <c r="AR202" s="12">
        <f t="shared" si="478"/>
        <v>0</v>
      </c>
      <c r="AS202" s="12">
        <f t="shared" si="478"/>
        <v>0</v>
      </c>
      <c r="AT202" s="12">
        <f t="shared" si="478"/>
        <v>0</v>
      </c>
      <c r="AU202" s="12">
        <f t="shared" si="478"/>
        <v>0</v>
      </c>
      <c r="AV202" s="12">
        <f t="shared" si="478"/>
        <v>0</v>
      </c>
      <c r="AW202" s="12">
        <f t="shared" si="478"/>
        <v>0</v>
      </c>
      <c r="AX202" s="12">
        <f t="shared" si="478"/>
        <v>0</v>
      </c>
      <c r="AY202" s="12">
        <f t="shared" si="478"/>
        <v>0</v>
      </c>
      <c r="AZ202" s="12">
        <f t="shared" si="478"/>
        <v>0</v>
      </c>
      <c r="BA202" s="12">
        <f t="shared" si="478"/>
        <v>0</v>
      </c>
      <c r="BB202" s="12">
        <f t="shared" si="478"/>
        <v>0</v>
      </c>
      <c r="BC202" s="12">
        <f t="shared" si="478"/>
        <v>0</v>
      </c>
      <c r="BD202" s="12">
        <f t="shared" si="478"/>
        <v>0</v>
      </c>
      <c r="BE202" s="12">
        <f t="shared" si="478"/>
        <v>0</v>
      </c>
      <c r="BF202" s="12">
        <f t="shared" si="478"/>
        <v>0</v>
      </c>
      <c r="BG202" s="12">
        <f t="shared" si="478"/>
        <v>0</v>
      </c>
      <c r="BH202" s="12">
        <f t="shared" si="478"/>
        <v>0</v>
      </c>
      <c r="BI202" s="12">
        <f t="shared" si="478"/>
        <v>0</v>
      </c>
      <c r="BJ202" s="12">
        <f t="shared" si="478"/>
        <v>0</v>
      </c>
      <c r="BK202" s="12">
        <f t="shared" si="478"/>
        <v>0</v>
      </c>
      <c r="BL202" s="12">
        <f t="shared" si="478"/>
        <v>0</v>
      </c>
      <c r="BM202" s="12">
        <f t="shared" si="478"/>
        <v>0</v>
      </c>
      <c r="BN202" s="12">
        <f t="shared" si="478"/>
        <v>0</v>
      </c>
      <c r="BO202" s="12">
        <f t="shared" si="478"/>
        <v>0</v>
      </c>
      <c r="BP202" s="12">
        <f t="shared" si="478"/>
        <v>0</v>
      </c>
      <c r="BQ202" s="12">
        <f t="shared" si="478"/>
        <v>0</v>
      </c>
      <c r="BR202" s="12">
        <f t="shared" si="478"/>
        <v>0</v>
      </c>
      <c r="BS202" s="12">
        <f t="shared" si="478"/>
        <v>0</v>
      </c>
      <c r="BT202" s="12">
        <f t="shared" si="478"/>
        <v>0</v>
      </c>
      <c r="BU202" s="12">
        <f t="shared" ref="BU202:CZ202" si="479">-BU200*((1+$F$75)^(1/12)-1)</f>
        <v>0</v>
      </c>
      <c r="BV202" s="12">
        <f t="shared" si="479"/>
        <v>0</v>
      </c>
      <c r="BW202" s="12">
        <f t="shared" si="479"/>
        <v>0</v>
      </c>
      <c r="BX202" s="12">
        <f t="shared" si="479"/>
        <v>0</v>
      </c>
      <c r="BY202" s="12">
        <f t="shared" si="479"/>
        <v>0</v>
      </c>
      <c r="BZ202" s="12">
        <f t="shared" si="479"/>
        <v>0</v>
      </c>
      <c r="CA202" s="12">
        <f t="shared" si="479"/>
        <v>0</v>
      </c>
      <c r="CB202" s="12">
        <f t="shared" si="479"/>
        <v>0</v>
      </c>
      <c r="CC202" s="12">
        <f t="shared" si="479"/>
        <v>0</v>
      </c>
      <c r="CD202" s="12">
        <f t="shared" si="479"/>
        <v>0</v>
      </c>
      <c r="CE202" s="12">
        <f t="shared" si="479"/>
        <v>0</v>
      </c>
      <c r="CF202" s="12">
        <f t="shared" si="479"/>
        <v>0</v>
      </c>
      <c r="CG202" s="12">
        <f t="shared" si="479"/>
        <v>0</v>
      </c>
      <c r="CH202" s="12">
        <f t="shared" si="479"/>
        <v>0</v>
      </c>
      <c r="CI202" s="12">
        <f t="shared" si="479"/>
        <v>0</v>
      </c>
      <c r="CJ202" s="12">
        <f t="shared" si="479"/>
        <v>0</v>
      </c>
      <c r="CK202" s="12">
        <f t="shared" si="479"/>
        <v>-63.009480788922666</v>
      </c>
      <c r="CL202" s="12">
        <f t="shared" si="479"/>
        <v>-131.99636864664512</v>
      </c>
      <c r="CM202" s="12">
        <f t="shared" si="479"/>
        <v>-200.98325650436763</v>
      </c>
      <c r="CN202" s="12">
        <f t="shared" si="479"/>
        <v>-269.21430958228649</v>
      </c>
      <c r="CO202" s="12">
        <f t="shared" si="479"/>
        <v>-335.94197418461431</v>
      </c>
      <c r="CP202" s="12">
        <f t="shared" si="479"/>
        <v>-400.4351680543063</v>
      </c>
      <c r="CQ202" s="12">
        <f t="shared" si="479"/>
        <v>-461.98729026325782</v>
      </c>
      <c r="CR202" s="12">
        <f t="shared" si="479"/>
        <v>-519.92396287993802</v>
      </c>
      <c r="CS202" s="12">
        <f t="shared" si="479"/>
        <v>-573.61041959513034</v>
      </c>
      <c r="CT202" s="12">
        <f t="shared" si="479"/>
        <v>-622.45846035444947</v>
      </c>
      <c r="CU202" s="12">
        <f t="shared" si="479"/>
        <v>-665.932895801227</v>
      </c>
      <c r="CV202" s="12">
        <f t="shared" si="479"/>
        <v>-703.55741092309745</v>
      </c>
      <c r="CW202" s="12">
        <f t="shared" si="479"/>
        <v>-734.91978365894943</v>
      </c>
      <c r="CX202" s="12">
        <f t="shared" si="479"/>
        <v>-759.67640129009078</v>
      </c>
      <c r="CY202" s="12">
        <f t="shared" si="479"/>
        <v>-777.5560251330993</v>
      </c>
      <c r="CZ202" s="12">
        <f t="shared" si="479"/>
        <v>-788.36276228759891</v>
      </c>
      <c r="DA202" s="12">
        <f t="shared" ref="DA202:EF202" si="480">-DA200*((1+$F$75)^(1/12)-1)</f>
        <v>-791.9782118798704</v>
      </c>
      <c r="DB202" s="12">
        <f t="shared" si="480"/>
        <v>-791.9782118798704</v>
      </c>
      <c r="DC202" s="12">
        <f t="shared" si="480"/>
        <v>-791.9782118798704</v>
      </c>
      <c r="DD202" s="12">
        <f t="shared" si="480"/>
        <v>-791.9782118798704</v>
      </c>
      <c r="DE202" s="12">
        <f t="shared" si="480"/>
        <v>-791.9782118798704</v>
      </c>
      <c r="DF202" s="12">
        <f t="shared" si="480"/>
        <v>-791.9782118798704</v>
      </c>
      <c r="DG202" s="12">
        <f t="shared" si="480"/>
        <v>-791.9782118798704</v>
      </c>
      <c r="DH202" s="12">
        <f t="shared" si="480"/>
        <v>-791.9782118798704</v>
      </c>
      <c r="DI202" s="12">
        <f t="shared" si="480"/>
        <v>-791.9782118798704</v>
      </c>
      <c r="DJ202" s="12">
        <f t="shared" si="480"/>
        <v>-791.9782118798704</v>
      </c>
      <c r="DK202" s="12">
        <f t="shared" si="480"/>
        <v>-791.9782118798704</v>
      </c>
      <c r="DL202" s="12">
        <f t="shared" si="480"/>
        <v>-791.9782118798704</v>
      </c>
      <c r="DM202" s="12">
        <f t="shared" si="480"/>
        <v>0</v>
      </c>
      <c r="DN202" s="12">
        <f t="shared" si="480"/>
        <v>0</v>
      </c>
      <c r="DO202" s="12">
        <f t="shared" si="480"/>
        <v>0</v>
      </c>
      <c r="DP202" s="12">
        <f t="shared" si="480"/>
        <v>0</v>
      </c>
      <c r="DQ202" s="12">
        <f t="shared" si="480"/>
        <v>0</v>
      </c>
      <c r="DR202" s="12">
        <f t="shared" si="480"/>
        <v>0</v>
      </c>
      <c r="DS202" s="12">
        <f t="shared" si="480"/>
        <v>0</v>
      </c>
      <c r="DT202" s="12">
        <f t="shared" si="480"/>
        <v>0</v>
      </c>
      <c r="DU202" s="12">
        <f t="shared" si="480"/>
        <v>0</v>
      </c>
      <c r="DV202" s="12">
        <f t="shared" si="480"/>
        <v>0</v>
      </c>
      <c r="DW202" s="12">
        <f t="shared" si="480"/>
        <v>0</v>
      </c>
      <c r="DX202" s="12">
        <f t="shared" si="480"/>
        <v>0</v>
      </c>
      <c r="DY202" s="12">
        <f t="shared" si="480"/>
        <v>0</v>
      </c>
      <c r="DZ202" s="12">
        <f t="shared" si="480"/>
        <v>0</v>
      </c>
      <c r="EA202" s="12">
        <f t="shared" si="480"/>
        <v>0</v>
      </c>
      <c r="EB202" s="12">
        <f t="shared" si="480"/>
        <v>0</v>
      </c>
      <c r="EC202" s="12">
        <f t="shared" si="480"/>
        <v>0</v>
      </c>
      <c r="ED202" s="12">
        <f t="shared" si="480"/>
        <v>0</v>
      </c>
      <c r="EE202" s="12">
        <f t="shared" si="480"/>
        <v>0</v>
      </c>
      <c r="EF202" s="12">
        <f t="shared" si="480"/>
        <v>0</v>
      </c>
      <c r="EG202" s="12">
        <f t="shared" ref="EG202:FH202" si="481">-EG200*((1+$F$75)^(1/12)-1)</f>
        <v>0</v>
      </c>
      <c r="EH202" s="12">
        <f t="shared" si="481"/>
        <v>0</v>
      </c>
      <c r="EI202" s="12">
        <f t="shared" si="481"/>
        <v>0</v>
      </c>
      <c r="EJ202" s="12">
        <f t="shared" si="481"/>
        <v>0</v>
      </c>
      <c r="EK202" s="12">
        <f t="shared" si="481"/>
        <v>0</v>
      </c>
      <c r="EL202" s="12">
        <f t="shared" si="481"/>
        <v>0</v>
      </c>
      <c r="EM202" s="12">
        <f t="shared" si="481"/>
        <v>0</v>
      </c>
      <c r="EN202" s="12">
        <f t="shared" si="481"/>
        <v>0</v>
      </c>
      <c r="EO202" s="12">
        <f t="shared" si="481"/>
        <v>0</v>
      </c>
      <c r="EP202" s="12">
        <f t="shared" si="481"/>
        <v>0</v>
      </c>
      <c r="EQ202" s="12">
        <f t="shared" si="481"/>
        <v>0</v>
      </c>
      <c r="ER202" s="12">
        <f t="shared" si="481"/>
        <v>0</v>
      </c>
      <c r="ES202" s="12">
        <f t="shared" si="481"/>
        <v>0</v>
      </c>
      <c r="ET202" s="12">
        <f t="shared" si="481"/>
        <v>0</v>
      </c>
      <c r="EU202" s="12">
        <f t="shared" si="481"/>
        <v>0</v>
      </c>
      <c r="EV202" s="12">
        <f t="shared" si="481"/>
        <v>0</v>
      </c>
      <c r="EW202" s="12">
        <f t="shared" si="481"/>
        <v>0</v>
      </c>
      <c r="EX202" s="12">
        <f t="shared" si="481"/>
        <v>0</v>
      </c>
      <c r="EY202" s="12">
        <f t="shared" si="481"/>
        <v>0</v>
      </c>
      <c r="EZ202" s="12">
        <f t="shared" si="481"/>
        <v>0</v>
      </c>
      <c r="FA202" s="12">
        <f t="shared" si="481"/>
        <v>0</v>
      </c>
      <c r="FB202" s="12">
        <f t="shared" si="481"/>
        <v>0</v>
      </c>
      <c r="FC202" s="12">
        <f t="shared" si="481"/>
        <v>0</v>
      </c>
      <c r="FD202" s="12">
        <f t="shared" si="481"/>
        <v>0</v>
      </c>
      <c r="FE202" s="12">
        <f t="shared" si="481"/>
        <v>0</v>
      </c>
      <c r="FF202" s="12">
        <f t="shared" si="481"/>
        <v>0</v>
      </c>
      <c r="FG202" s="12">
        <f t="shared" si="481"/>
        <v>0</v>
      </c>
      <c r="FH202" s="12">
        <f t="shared" si="481"/>
        <v>0</v>
      </c>
    </row>
    <row r="203" spans="1:164" x14ac:dyDescent="0.2">
      <c r="A203" s="10"/>
      <c r="B203" s="10"/>
      <c r="C203" s="10" t="s">
        <v>338</v>
      </c>
      <c r="D203" s="10"/>
      <c r="E203" s="10"/>
      <c r="F203" s="10"/>
      <c r="G203" s="10"/>
      <c r="H203" s="12">
        <f>SUM(I203:FH203)</f>
        <v>-83464.589999999967</v>
      </c>
      <c r="I203" s="12">
        <f t="shared" ref="I203:AN203" si="482">IF(I$6=$F$76,-(I200+I201),0)</f>
        <v>0</v>
      </c>
      <c r="J203" s="12">
        <f t="shared" si="482"/>
        <v>0</v>
      </c>
      <c r="K203" s="12">
        <f t="shared" si="482"/>
        <v>0</v>
      </c>
      <c r="L203" s="12">
        <f t="shared" si="482"/>
        <v>0</v>
      </c>
      <c r="M203" s="12">
        <f t="shared" si="482"/>
        <v>0</v>
      </c>
      <c r="N203" s="12">
        <f t="shared" si="482"/>
        <v>0</v>
      </c>
      <c r="O203" s="12">
        <f t="shared" si="482"/>
        <v>0</v>
      </c>
      <c r="P203" s="12">
        <f t="shared" si="482"/>
        <v>0</v>
      </c>
      <c r="Q203" s="12">
        <f t="shared" si="482"/>
        <v>0</v>
      </c>
      <c r="R203" s="12">
        <f t="shared" si="482"/>
        <v>0</v>
      </c>
      <c r="S203" s="12">
        <f t="shared" si="482"/>
        <v>0</v>
      </c>
      <c r="T203" s="12">
        <f t="shared" si="482"/>
        <v>0</v>
      </c>
      <c r="U203" s="12">
        <f t="shared" si="482"/>
        <v>0</v>
      </c>
      <c r="V203" s="12">
        <f t="shared" si="482"/>
        <v>0</v>
      </c>
      <c r="W203" s="12">
        <f t="shared" si="482"/>
        <v>0</v>
      </c>
      <c r="X203" s="12">
        <f t="shared" si="482"/>
        <v>0</v>
      </c>
      <c r="Y203" s="12">
        <f t="shared" si="482"/>
        <v>0</v>
      </c>
      <c r="Z203" s="12">
        <f t="shared" si="482"/>
        <v>0</v>
      </c>
      <c r="AA203" s="12">
        <f t="shared" si="482"/>
        <v>0</v>
      </c>
      <c r="AB203" s="12">
        <f t="shared" si="482"/>
        <v>0</v>
      </c>
      <c r="AC203" s="12">
        <f t="shared" si="482"/>
        <v>0</v>
      </c>
      <c r="AD203" s="12">
        <f t="shared" si="482"/>
        <v>0</v>
      </c>
      <c r="AE203" s="12">
        <f t="shared" si="482"/>
        <v>0</v>
      </c>
      <c r="AF203" s="12">
        <f t="shared" si="482"/>
        <v>0</v>
      </c>
      <c r="AG203" s="12">
        <f t="shared" si="482"/>
        <v>0</v>
      </c>
      <c r="AH203" s="12">
        <f t="shared" si="482"/>
        <v>0</v>
      </c>
      <c r="AI203" s="12">
        <f t="shared" si="482"/>
        <v>0</v>
      </c>
      <c r="AJ203" s="12">
        <f t="shared" si="482"/>
        <v>0</v>
      </c>
      <c r="AK203" s="12">
        <f t="shared" si="482"/>
        <v>0</v>
      </c>
      <c r="AL203" s="12">
        <f t="shared" si="482"/>
        <v>0</v>
      </c>
      <c r="AM203" s="12">
        <f t="shared" si="482"/>
        <v>0</v>
      </c>
      <c r="AN203" s="12">
        <f t="shared" si="482"/>
        <v>0</v>
      </c>
      <c r="AO203" s="12">
        <f t="shared" ref="AO203:BT203" si="483">IF(AO$6=$F$76,-(AO200+AO201),0)</f>
        <v>0</v>
      </c>
      <c r="AP203" s="12">
        <f t="shared" si="483"/>
        <v>0</v>
      </c>
      <c r="AQ203" s="12">
        <f t="shared" si="483"/>
        <v>0</v>
      </c>
      <c r="AR203" s="12">
        <f t="shared" si="483"/>
        <v>0</v>
      </c>
      <c r="AS203" s="12">
        <f t="shared" si="483"/>
        <v>0</v>
      </c>
      <c r="AT203" s="12">
        <f t="shared" si="483"/>
        <v>0</v>
      </c>
      <c r="AU203" s="12">
        <f t="shared" si="483"/>
        <v>0</v>
      </c>
      <c r="AV203" s="12">
        <f t="shared" si="483"/>
        <v>0</v>
      </c>
      <c r="AW203" s="12">
        <f t="shared" si="483"/>
        <v>0</v>
      </c>
      <c r="AX203" s="12">
        <f t="shared" si="483"/>
        <v>0</v>
      </c>
      <c r="AY203" s="12">
        <f t="shared" si="483"/>
        <v>0</v>
      </c>
      <c r="AZ203" s="12">
        <f t="shared" si="483"/>
        <v>0</v>
      </c>
      <c r="BA203" s="12">
        <f t="shared" si="483"/>
        <v>0</v>
      </c>
      <c r="BB203" s="12">
        <f t="shared" si="483"/>
        <v>0</v>
      </c>
      <c r="BC203" s="12">
        <f t="shared" si="483"/>
        <v>0</v>
      </c>
      <c r="BD203" s="12">
        <f t="shared" si="483"/>
        <v>0</v>
      </c>
      <c r="BE203" s="12">
        <f t="shared" si="483"/>
        <v>0</v>
      </c>
      <c r="BF203" s="12">
        <f t="shared" si="483"/>
        <v>0</v>
      </c>
      <c r="BG203" s="12">
        <f t="shared" si="483"/>
        <v>0</v>
      </c>
      <c r="BH203" s="12">
        <f t="shared" si="483"/>
        <v>0</v>
      </c>
      <c r="BI203" s="12">
        <f t="shared" si="483"/>
        <v>0</v>
      </c>
      <c r="BJ203" s="12">
        <f t="shared" si="483"/>
        <v>0</v>
      </c>
      <c r="BK203" s="12">
        <f t="shared" si="483"/>
        <v>0</v>
      </c>
      <c r="BL203" s="12">
        <f t="shared" si="483"/>
        <v>0</v>
      </c>
      <c r="BM203" s="12">
        <f t="shared" si="483"/>
        <v>0</v>
      </c>
      <c r="BN203" s="12">
        <f t="shared" si="483"/>
        <v>0</v>
      </c>
      <c r="BO203" s="12">
        <f t="shared" si="483"/>
        <v>0</v>
      </c>
      <c r="BP203" s="12">
        <f t="shared" si="483"/>
        <v>0</v>
      </c>
      <c r="BQ203" s="12">
        <f t="shared" si="483"/>
        <v>0</v>
      </c>
      <c r="BR203" s="12">
        <f t="shared" si="483"/>
        <v>0</v>
      </c>
      <c r="BS203" s="12">
        <f t="shared" si="483"/>
        <v>0</v>
      </c>
      <c r="BT203" s="12">
        <f t="shared" si="483"/>
        <v>0</v>
      </c>
      <c r="BU203" s="12">
        <f t="shared" ref="BU203:CZ203" si="484">IF(BU$6=$F$76,-(BU200+BU201),0)</f>
        <v>0</v>
      </c>
      <c r="BV203" s="12">
        <f t="shared" si="484"/>
        <v>0</v>
      </c>
      <c r="BW203" s="12">
        <f t="shared" si="484"/>
        <v>0</v>
      </c>
      <c r="BX203" s="12">
        <f t="shared" si="484"/>
        <v>0</v>
      </c>
      <c r="BY203" s="12">
        <f t="shared" si="484"/>
        <v>0</v>
      </c>
      <c r="BZ203" s="12">
        <f t="shared" si="484"/>
        <v>0</v>
      </c>
      <c r="CA203" s="12">
        <f t="shared" si="484"/>
        <v>0</v>
      </c>
      <c r="CB203" s="12">
        <f t="shared" si="484"/>
        <v>0</v>
      </c>
      <c r="CC203" s="12">
        <f t="shared" si="484"/>
        <v>0</v>
      </c>
      <c r="CD203" s="12">
        <f t="shared" si="484"/>
        <v>0</v>
      </c>
      <c r="CE203" s="12">
        <f t="shared" si="484"/>
        <v>0</v>
      </c>
      <c r="CF203" s="12">
        <f t="shared" si="484"/>
        <v>0</v>
      </c>
      <c r="CG203" s="12">
        <f t="shared" si="484"/>
        <v>0</v>
      </c>
      <c r="CH203" s="12">
        <f t="shared" si="484"/>
        <v>0</v>
      </c>
      <c r="CI203" s="12">
        <f t="shared" si="484"/>
        <v>0</v>
      </c>
      <c r="CJ203" s="12">
        <f t="shared" si="484"/>
        <v>0</v>
      </c>
      <c r="CK203" s="12">
        <f t="shared" si="484"/>
        <v>0</v>
      </c>
      <c r="CL203" s="12">
        <f t="shared" si="484"/>
        <v>0</v>
      </c>
      <c r="CM203" s="12">
        <f t="shared" si="484"/>
        <v>0</v>
      </c>
      <c r="CN203" s="12">
        <f t="shared" si="484"/>
        <v>0</v>
      </c>
      <c r="CO203" s="12">
        <f t="shared" si="484"/>
        <v>0</v>
      </c>
      <c r="CP203" s="12">
        <f t="shared" si="484"/>
        <v>0</v>
      </c>
      <c r="CQ203" s="12">
        <f t="shared" si="484"/>
        <v>0</v>
      </c>
      <c r="CR203" s="12">
        <f t="shared" si="484"/>
        <v>0</v>
      </c>
      <c r="CS203" s="12">
        <f t="shared" si="484"/>
        <v>0</v>
      </c>
      <c r="CT203" s="12">
        <f t="shared" si="484"/>
        <v>0</v>
      </c>
      <c r="CU203" s="12">
        <f t="shared" si="484"/>
        <v>0</v>
      </c>
      <c r="CV203" s="12">
        <f t="shared" si="484"/>
        <v>0</v>
      </c>
      <c r="CW203" s="12">
        <f t="shared" si="484"/>
        <v>0</v>
      </c>
      <c r="CX203" s="12">
        <f t="shared" si="484"/>
        <v>0</v>
      </c>
      <c r="CY203" s="12">
        <f t="shared" si="484"/>
        <v>0</v>
      </c>
      <c r="CZ203" s="12">
        <f t="shared" si="484"/>
        <v>0</v>
      </c>
      <c r="DA203" s="12">
        <f t="shared" ref="DA203:EF203" si="485">IF(DA$6=$F$76,-(DA200+DA201),0)</f>
        <v>0</v>
      </c>
      <c r="DB203" s="12">
        <f t="shared" si="485"/>
        <v>0</v>
      </c>
      <c r="DC203" s="12">
        <f t="shared" si="485"/>
        <v>0</v>
      </c>
      <c r="DD203" s="12">
        <f t="shared" si="485"/>
        <v>0</v>
      </c>
      <c r="DE203" s="12">
        <f t="shared" si="485"/>
        <v>0</v>
      </c>
      <c r="DF203" s="12">
        <f t="shared" si="485"/>
        <v>0</v>
      </c>
      <c r="DG203" s="12">
        <f t="shared" si="485"/>
        <v>0</v>
      </c>
      <c r="DH203" s="12">
        <f t="shared" si="485"/>
        <v>0</v>
      </c>
      <c r="DI203" s="12">
        <f t="shared" si="485"/>
        <v>0</v>
      </c>
      <c r="DJ203" s="12">
        <f t="shared" si="485"/>
        <v>0</v>
      </c>
      <c r="DK203" s="12">
        <f t="shared" si="485"/>
        <v>0</v>
      </c>
      <c r="DL203" s="12">
        <f t="shared" si="485"/>
        <v>-83464.589999999967</v>
      </c>
      <c r="DM203" s="12">
        <f t="shared" si="485"/>
        <v>0</v>
      </c>
      <c r="DN203" s="12">
        <f t="shared" si="485"/>
        <v>0</v>
      </c>
      <c r="DO203" s="12">
        <f t="shared" si="485"/>
        <v>0</v>
      </c>
      <c r="DP203" s="12">
        <f t="shared" si="485"/>
        <v>0</v>
      </c>
      <c r="DQ203" s="12">
        <f t="shared" si="485"/>
        <v>0</v>
      </c>
      <c r="DR203" s="12">
        <f t="shared" si="485"/>
        <v>0</v>
      </c>
      <c r="DS203" s="12">
        <f t="shared" si="485"/>
        <v>0</v>
      </c>
      <c r="DT203" s="12">
        <f t="shared" si="485"/>
        <v>0</v>
      </c>
      <c r="DU203" s="12">
        <f t="shared" si="485"/>
        <v>0</v>
      </c>
      <c r="DV203" s="12">
        <f t="shared" si="485"/>
        <v>0</v>
      </c>
      <c r="DW203" s="12">
        <f t="shared" si="485"/>
        <v>0</v>
      </c>
      <c r="DX203" s="12">
        <f t="shared" si="485"/>
        <v>0</v>
      </c>
      <c r="DY203" s="12">
        <f t="shared" si="485"/>
        <v>0</v>
      </c>
      <c r="DZ203" s="12">
        <f t="shared" si="485"/>
        <v>0</v>
      </c>
      <c r="EA203" s="12">
        <f t="shared" si="485"/>
        <v>0</v>
      </c>
      <c r="EB203" s="12">
        <f t="shared" si="485"/>
        <v>0</v>
      </c>
      <c r="EC203" s="12">
        <f t="shared" si="485"/>
        <v>0</v>
      </c>
      <c r="ED203" s="12">
        <f t="shared" si="485"/>
        <v>0</v>
      </c>
      <c r="EE203" s="12">
        <f t="shared" si="485"/>
        <v>0</v>
      </c>
      <c r="EF203" s="12">
        <f t="shared" si="485"/>
        <v>0</v>
      </c>
      <c r="EG203" s="12">
        <f t="shared" ref="EG203:FH203" si="486">IF(EG$6=$F$76,-(EG200+EG201),0)</f>
        <v>0</v>
      </c>
      <c r="EH203" s="12">
        <f t="shared" si="486"/>
        <v>0</v>
      </c>
      <c r="EI203" s="12">
        <f t="shared" si="486"/>
        <v>0</v>
      </c>
      <c r="EJ203" s="12">
        <f t="shared" si="486"/>
        <v>0</v>
      </c>
      <c r="EK203" s="12">
        <f t="shared" si="486"/>
        <v>0</v>
      </c>
      <c r="EL203" s="12">
        <f t="shared" si="486"/>
        <v>0</v>
      </c>
      <c r="EM203" s="12">
        <f t="shared" si="486"/>
        <v>0</v>
      </c>
      <c r="EN203" s="12">
        <f t="shared" si="486"/>
        <v>0</v>
      </c>
      <c r="EO203" s="12">
        <f t="shared" si="486"/>
        <v>0</v>
      </c>
      <c r="EP203" s="12">
        <f t="shared" si="486"/>
        <v>0</v>
      </c>
      <c r="EQ203" s="12">
        <f t="shared" si="486"/>
        <v>0</v>
      </c>
      <c r="ER203" s="12">
        <f t="shared" si="486"/>
        <v>0</v>
      </c>
      <c r="ES203" s="12">
        <f t="shared" si="486"/>
        <v>0</v>
      </c>
      <c r="ET203" s="12">
        <f t="shared" si="486"/>
        <v>0</v>
      </c>
      <c r="EU203" s="12">
        <f t="shared" si="486"/>
        <v>0</v>
      </c>
      <c r="EV203" s="12">
        <f t="shared" si="486"/>
        <v>0</v>
      </c>
      <c r="EW203" s="12">
        <f t="shared" si="486"/>
        <v>0</v>
      </c>
      <c r="EX203" s="12">
        <f t="shared" si="486"/>
        <v>0</v>
      </c>
      <c r="EY203" s="12">
        <f t="shared" si="486"/>
        <v>0</v>
      </c>
      <c r="EZ203" s="12">
        <f t="shared" si="486"/>
        <v>0</v>
      </c>
      <c r="FA203" s="12">
        <f t="shared" si="486"/>
        <v>0</v>
      </c>
      <c r="FB203" s="12">
        <f t="shared" si="486"/>
        <v>0</v>
      </c>
      <c r="FC203" s="12">
        <f t="shared" si="486"/>
        <v>0</v>
      </c>
      <c r="FD203" s="12">
        <f t="shared" si="486"/>
        <v>0</v>
      </c>
      <c r="FE203" s="12">
        <f t="shared" si="486"/>
        <v>0</v>
      </c>
      <c r="FF203" s="12">
        <f t="shared" si="486"/>
        <v>0</v>
      </c>
      <c r="FG203" s="12">
        <f t="shared" si="486"/>
        <v>0</v>
      </c>
      <c r="FH203" s="12">
        <f t="shared" si="486"/>
        <v>0</v>
      </c>
    </row>
    <row r="204" spans="1:164" x14ac:dyDescent="0.2">
      <c r="A204" s="10"/>
      <c r="B204" s="10"/>
      <c r="C204" s="10" t="s">
        <v>769</v>
      </c>
      <c r="D204" s="10"/>
      <c r="E204" s="10"/>
      <c r="F204" s="10"/>
      <c r="G204" s="10"/>
      <c r="H204" s="12"/>
      <c r="I204" s="12">
        <f t="shared" ref="I204:AN204" si="487">I200+I201+I203</f>
        <v>0</v>
      </c>
      <c r="J204" s="12">
        <f t="shared" si="487"/>
        <v>0</v>
      </c>
      <c r="K204" s="12">
        <f t="shared" si="487"/>
        <v>0</v>
      </c>
      <c r="L204" s="12">
        <f t="shared" si="487"/>
        <v>0</v>
      </c>
      <c r="M204" s="12">
        <f t="shared" si="487"/>
        <v>0</v>
      </c>
      <c r="N204" s="12">
        <f t="shared" si="487"/>
        <v>0</v>
      </c>
      <c r="O204" s="12">
        <f t="shared" si="487"/>
        <v>0</v>
      </c>
      <c r="P204" s="12">
        <f t="shared" si="487"/>
        <v>0</v>
      </c>
      <c r="Q204" s="12">
        <f t="shared" si="487"/>
        <v>0</v>
      </c>
      <c r="R204" s="12">
        <f t="shared" si="487"/>
        <v>0</v>
      </c>
      <c r="S204" s="12">
        <f t="shared" si="487"/>
        <v>0</v>
      </c>
      <c r="T204" s="12">
        <f t="shared" si="487"/>
        <v>0</v>
      </c>
      <c r="U204" s="12">
        <f t="shared" si="487"/>
        <v>0</v>
      </c>
      <c r="V204" s="12">
        <f t="shared" si="487"/>
        <v>0</v>
      </c>
      <c r="W204" s="12">
        <f t="shared" si="487"/>
        <v>0</v>
      </c>
      <c r="X204" s="12">
        <f t="shared" si="487"/>
        <v>0</v>
      </c>
      <c r="Y204" s="12">
        <f t="shared" si="487"/>
        <v>0</v>
      </c>
      <c r="Z204" s="12">
        <f t="shared" si="487"/>
        <v>0</v>
      </c>
      <c r="AA204" s="12">
        <f t="shared" si="487"/>
        <v>0</v>
      </c>
      <c r="AB204" s="12">
        <f t="shared" si="487"/>
        <v>0</v>
      </c>
      <c r="AC204" s="12">
        <f t="shared" si="487"/>
        <v>0</v>
      </c>
      <c r="AD204" s="12">
        <f t="shared" si="487"/>
        <v>0</v>
      </c>
      <c r="AE204" s="12">
        <f t="shared" si="487"/>
        <v>0</v>
      </c>
      <c r="AF204" s="12">
        <f t="shared" si="487"/>
        <v>0</v>
      </c>
      <c r="AG204" s="12">
        <f t="shared" si="487"/>
        <v>0</v>
      </c>
      <c r="AH204" s="12">
        <f t="shared" si="487"/>
        <v>0</v>
      </c>
      <c r="AI204" s="12">
        <f t="shared" si="487"/>
        <v>0</v>
      </c>
      <c r="AJ204" s="12">
        <f t="shared" si="487"/>
        <v>0</v>
      </c>
      <c r="AK204" s="12">
        <f t="shared" si="487"/>
        <v>0</v>
      </c>
      <c r="AL204" s="12">
        <f t="shared" si="487"/>
        <v>0</v>
      </c>
      <c r="AM204" s="12">
        <f t="shared" si="487"/>
        <v>0</v>
      </c>
      <c r="AN204" s="12">
        <f t="shared" si="487"/>
        <v>0</v>
      </c>
      <c r="AO204" s="12">
        <f t="shared" ref="AO204:BT204" si="488">AO200+AO201+AO203</f>
        <v>0</v>
      </c>
      <c r="AP204" s="12">
        <f t="shared" si="488"/>
        <v>0</v>
      </c>
      <c r="AQ204" s="12">
        <f t="shared" si="488"/>
        <v>0</v>
      </c>
      <c r="AR204" s="12">
        <f t="shared" si="488"/>
        <v>0</v>
      </c>
      <c r="AS204" s="12">
        <f t="shared" si="488"/>
        <v>0</v>
      </c>
      <c r="AT204" s="12">
        <f t="shared" si="488"/>
        <v>0</v>
      </c>
      <c r="AU204" s="12">
        <f t="shared" si="488"/>
        <v>0</v>
      </c>
      <c r="AV204" s="12">
        <f t="shared" si="488"/>
        <v>0</v>
      </c>
      <c r="AW204" s="12">
        <f t="shared" si="488"/>
        <v>0</v>
      </c>
      <c r="AX204" s="12">
        <f t="shared" si="488"/>
        <v>0</v>
      </c>
      <c r="AY204" s="12">
        <f t="shared" si="488"/>
        <v>0</v>
      </c>
      <c r="AZ204" s="12">
        <f t="shared" si="488"/>
        <v>0</v>
      </c>
      <c r="BA204" s="12">
        <f t="shared" si="488"/>
        <v>0</v>
      </c>
      <c r="BB204" s="12">
        <f t="shared" si="488"/>
        <v>0</v>
      </c>
      <c r="BC204" s="12">
        <f t="shared" si="488"/>
        <v>0</v>
      </c>
      <c r="BD204" s="12">
        <f t="shared" si="488"/>
        <v>0</v>
      </c>
      <c r="BE204" s="12">
        <f t="shared" si="488"/>
        <v>0</v>
      </c>
      <c r="BF204" s="12">
        <f t="shared" si="488"/>
        <v>0</v>
      </c>
      <c r="BG204" s="12">
        <f t="shared" si="488"/>
        <v>0</v>
      </c>
      <c r="BH204" s="12">
        <f t="shared" si="488"/>
        <v>0</v>
      </c>
      <c r="BI204" s="12">
        <f t="shared" si="488"/>
        <v>0</v>
      </c>
      <c r="BJ204" s="12">
        <f t="shared" si="488"/>
        <v>0</v>
      </c>
      <c r="BK204" s="12">
        <f t="shared" si="488"/>
        <v>0</v>
      </c>
      <c r="BL204" s="12">
        <f t="shared" si="488"/>
        <v>0</v>
      </c>
      <c r="BM204" s="12">
        <f t="shared" si="488"/>
        <v>0</v>
      </c>
      <c r="BN204" s="12">
        <f t="shared" si="488"/>
        <v>0</v>
      </c>
      <c r="BO204" s="12">
        <f t="shared" si="488"/>
        <v>0</v>
      </c>
      <c r="BP204" s="12">
        <f t="shared" si="488"/>
        <v>0</v>
      </c>
      <c r="BQ204" s="12">
        <f t="shared" si="488"/>
        <v>0</v>
      </c>
      <c r="BR204" s="12">
        <f t="shared" si="488"/>
        <v>0</v>
      </c>
      <c r="BS204" s="12">
        <f t="shared" si="488"/>
        <v>0</v>
      </c>
      <c r="BT204" s="12">
        <f t="shared" si="488"/>
        <v>0</v>
      </c>
      <c r="BU204" s="12">
        <f t="shared" ref="BU204:CZ204" si="489">BU200+BU201+BU203</f>
        <v>0</v>
      </c>
      <c r="BV204" s="12">
        <f t="shared" si="489"/>
        <v>0</v>
      </c>
      <c r="BW204" s="12">
        <f t="shared" si="489"/>
        <v>0</v>
      </c>
      <c r="BX204" s="12">
        <f t="shared" si="489"/>
        <v>0</v>
      </c>
      <c r="BY204" s="12">
        <f t="shared" si="489"/>
        <v>0</v>
      </c>
      <c r="BZ204" s="12">
        <f t="shared" si="489"/>
        <v>0</v>
      </c>
      <c r="CA204" s="12">
        <f t="shared" si="489"/>
        <v>0</v>
      </c>
      <c r="CB204" s="12">
        <f t="shared" si="489"/>
        <v>0</v>
      </c>
      <c r="CC204" s="12">
        <f t="shared" si="489"/>
        <v>0</v>
      </c>
      <c r="CD204" s="12">
        <f t="shared" si="489"/>
        <v>0</v>
      </c>
      <c r="CE204" s="12">
        <f t="shared" si="489"/>
        <v>0</v>
      </c>
      <c r="CF204" s="12">
        <f t="shared" si="489"/>
        <v>0</v>
      </c>
      <c r="CG204" s="12">
        <f t="shared" si="489"/>
        <v>0</v>
      </c>
      <c r="CH204" s="12">
        <f t="shared" si="489"/>
        <v>0</v>
      </c>
      <c r="CI204" s="12">
        <f t="shared" si="489"/>
        <v>0</v>
      </c>
      <c r="CJ204" s="12">
        <f t="shared" si="489"/>
        <v>6640.4105583627024</v>
      </c>
      <c r="CK204" s="12">
        <f t="shared" si="489"/>
        <v>13910.764999999999</v>
      </c>
      <c r="CL204" s="12">
        <f t="shared" si="489"/>
        <v>21181.119441637304</v>
      </c>
      <c r="CM204" s="12">
        <f t="shared" si="489"/>
        <v>28371.818358592544</v>
      </c>
      <c r="CN204" s="12">
        <f t="shared" si="489"/>
        <v>35404.078948781083</v>
      </c>
      <c r="CO204" s="12">
        <f t="shared" si="489"/>
        <v>42200.854293581666</v>
      </c>
      <c r="CP204" s="12">
        <f t="shared" si="489"/>
        <v>48687.677499999991</v>
      </c>
      <c r="CQ204" s="12">
        <f t="shared" si="489"/>
        <v>54793.47757553152</v>
      </c>
      <c r="CR204" s="12">
        <f t="shared" si="489"/>
        <v>60451.358096827913</v>
      </c>
      <c r="CS204" s="12">
        <f t="shared" si="489"/>
        <v>65599.330140910213</v>
      </c>
      <c r="CT204" s="12">
        <f t="shared" si="489"/>
        <v>70180.991448781075</v>
      </c>
      <c r="CU204" s="12">
        <f t="shared" si="489"/>
        <v>74146.144380377184</v>
      </c>
      <c r="CV204" s="12">
        <f t="shared" si="489"/>
        <v>77451.345890418364</v>
      </c>
      <c r="CW204" s="12">
        <f t="shared" si="489"/>
        <v>80060.383499502757</v>
      </c>
      <c r="CX204" s="12">
        <f t="shared" si="489"/>
        <v>81944.672045608982</v>
      </c>
      <c r="CY204" s="12">
        <f t="shared" si="489"/>
        <v>83083.566869113158</v>
      </c>
      <c r="CZ204" s="12">
        <f t="shared" si="489"/>
        <v>83464.589999999967</v>
      </c>
      <c r="DA204" s="12">
        <f t="shared" ref="DA204:EF204" si="490">DA200+DA201+DA203</f>
        <v>83464.589999999967</v>
      </c>
      <c r="DB204" s="12">
        <f t="shared" si="490"/>
        <v>83464.589999999967</v>
      </c>
      <c r="DC204" s="12">
        <f t="shared" si="490"/>
        <v>83464.589999999967</v>
      </c>
      <c r="DD204" s="12">
        <f t="shared" si="490"/>
        <v>83464.589999999967</v>
      </c>
      <c r="DE204" s="12">
        <f t="shared" si="490"/>
        <v>83464.589999999967</v>
      </c>
      <c r="DF204" s="12">
        <f t="shared" si="490"/>
        <v>83464.589999999967</v>
      </c>
      <c r="DG204" s="12">
        <f t="shared" si="490"/>
        <v>83464.589999999967</v>
      </c>
      <c r="DH204" s="12">
        <f t="shared" si="490"/>
        <v>83464.589999999967</v>
      </c>
      <c r="DI204" s="12">
        <f t="shared" si="490"/>
        <v>83464.589999999967</v>
      </c>
      <c r="DJ204" s="12">
        <f t="shared" si="490"/>
        <v>83464.589999999967</v>
      </c>
      <c r="DK204" s="12">
        <f t="shared" si="490"/>
        <v>83464.589999999967</v>
      </c>
      <c r="DL204" s="12">
        <f t="shared" si="490"/>
        <v>0</v>
      </c>
      <c r="DM204" s="12">
        <f t="shared" si="490"/>
        <v>0</v>
      </c>
      <c r="DN204" s="12">
        <f t="shared" si="490"/>
        <v>0</v>
      </c>
      <c r="DO204" s="12">
        <f t="shared" si="490"/>
        <v>0</v>
      </c>
      <c r="DP204" s="12">
        <f t="shared" si="490"/>
        <v>0</v>
      </c>
      <c r="DQ204" s="12">
        <f t="shared" si="490"/>
        <v>0</v>
      </c>
      <c r="DR204" s="12">
        <f t="shared" si="490"/>
        <v>0</v>
      </c>
      <c r="DS204" s="12">
        <f t="shared" si="490"/>
        <v>0</v>
      </c>
      <c r="DT204" s="12">
        <f t="shared" si="490"/>
        <v>0</v>
      </c>
      <c r="DU204" s="12">
        <f t="shared" si="490"/>
        <v>0</v>
      </c>
      <c r="DV204" s="12">
        <f t="shared" si="490"/>
        <v>0</v>
      </c>
      <c r="DW204" s="12">
        <f t="shared" si="490"/>
        <v>0</v>
      </c>
      <c r="DX204" s="12">
        <f t="shared" si="490"/>
        <v>0</v>
      </c>
      <c r="DY204" s="12">
        <f t="shared" si="490"/>
        <v>0</v>
      </c>
      <c r="DZ204" s="12">
        <f t="shared" si="490"/>
        <v>0</v>
      </c>
      <c r="EA204" s="12">
        <f t="shared" si="490"/>
        <v>0</v>
      </c>
      <c r="EB204" s="12">
        <f t="shared" si="490"/>
        <v>0</v>
      </c>
      <c r="EC204" s="12">
        <f t="shared" si="490"/>
        <v>0</v>
      </c>
      <c r="ED204" s="12">
        <f t="shared" si="490"/>
        <v>0</v>
      </c>
      <c r="EE204" s="12">
        <f t="shared" si="490"/>
        <v>0</v>
      </c>
      <c r="EF204" s="12">
        <f t="shared" si="490"/>
        <v>0</v>
      </c>
      <c r="EG204" s="12">
        <f t="shared" ref="EG204:FH204" si="491">EG200+EG201+EG203</f>
        <v>0</v>
      </c>
      <c r="EH204" s="12">
        <f t="shared" si="491"/>
        <v>0</v>
      </c>
      <c r="EI204" s="12">
        <f t="shared" si="491"/>
        <v>0</v>
      </c>
      <c r="EJ204" s="12">
        <f t="shared" si="491"/>
        <v>0</v>
      </c>
      <c r="EK204" s="12">
        <f t="shared" si="491"/>
        <v>0</v>
      </c>
      <c r="EL204" s="12">
        <f t="shared" si="491"/>
        <v>0</v>
      </c>
      <c r="EM204" s="12">
        <f t="shared" si="491"/>
        <v>0</v>
      </c>
      <c r="EN204" s="12">
        <f t="shared" si="491"/>
        <v>0</v>
      </c>
      <c r="EO204" s="12">
        <f t="shared" si="491"/>
        <v>0</v>
      </c>
      <c r="EP204" s="12">
        <f t="shared" si="491"/>
        <v>0</v>
      </c>
      <c r="EQ204" s="12">
        <f t="shared" si="491"/>
        <v>0</v>
      </c>
      <c r="ER204" s="12">
        <f t="shared" si="491"/>
        <v>0</v>
      </c>
      <c r="ES204" s="12">
        <f t="shared" si="491"/>
        <v>0</v>
      </c>
      <c r="ET204" s="12">
        <f t="shared" si="491"/>
        <v>0</v>
      </c>
      <c r="EU204" s="12">
        <f t="shared" si="491"/>
        <v>0</v>
      </c>
      <c r="EV204" s="12">
        <f t="shared" si="491"/>
        <v>0</v>
      </c>
      <c r="EW204" s="12">
        <f t="shared" si="491"/>
        <v>0</v>
      </c>
      <c r="EX204" s="12">
        <f t="shared" si="491"/>
        <v>0</v>
      </c>
      <c r="EY204" s="12">
        <f t="shared" si="491"/>
        <v>0</v>
      </c>
      <c r="EZ204" s="12">
        <f t="shared" si="491"/>
        <v>0</v>
      </c>
      <c r="FA204" s="12">
        <f t="shared" si="491"/>
        <v>0</v>
      </c>
      <c r="FB204" s="12">
        <f t="shared" si="491"/>
        <v>0</v>
      </c>
      <c r="FC204" s="12">
        <f t="shared" si="491"/>
        <v>0</v>
      </c>
      <c r="FD204" s="12">
        <f t="shared" si="491"/>
        <v>0</v>
      </c>
      <c r="FE204" s="12">
        <f t="shared" si="491"/>
        <v>0</v>
      </c>
      <c r="FF204" s="12">
        <f t="shared" si="491"/>
        <v>0</v>
      </c>
      <c r="FG204" s="12">
        <f t="shared" si="491"/>
        <v>0</v>
      </c>
      <c r="FH204" s="12">
        <f t="shared" si="491"/>
        <v>0</v>
      </c>
    </row>
    <row r="205" spans="1:164" x14ac:dyDescent="0.2">
      <c r="A205" s="10"/>
      <c r="B205" s="31" t="s">
        <v>917</v>
      </c>
      <c r="C205" s="31"/>
      <c r="D205" s="31"/>
      <c r="E205" s="31"/>
      <c r="F205" s="31"/>
      <c r="G205" s="31"/>
      <c r="H205" s="32">
        <f>SUM(I205:FH205)</f>
        <v>111201.29358090923</v>
      </c>
      <c r="I205" s="32">
        <f t="shared" ref="I205:AN205" si="492">I196+I201+I202+I203</f>
        <v>0</v>
      </c>
      <c r="J205" s="32">
        <f t="shared" si="492"/>
        <v>0</v>
      </c>
      <c r="K205" s="32">
        <f t="shared" si="492"/>
        <v>0</v>
      </c>
      <c r="L205" s="32">
        <f t="shared" si="492"/>
        <v>0</v>
      </c>
      <c r="M205" s="32">
        <f t="shared" si="492"/>
        <v>0</v>
      </c>
      <c r="N205" s="32">
        <f t="shared" si="492"/>
        <v>0</v>
      </c>
      <c r="O205" s="32">
        <f t="shared" si="492"/>
        <v>0</v>
      </c>
      <c r="P205" s="32">
        <f t="shared" si="492"/>
        <v>0</v>
      </c>
      <c r="Q205" s="32">
        <f t="shared" si="492"/>
        <v>0</v>
      </c>
      <c r="R205" s="32">
        <f t="shared" si="492"/>
        <v>0</v>
      </c>
      <c r="S205" s="32">
        <f t="shared" si="492"/>
        <v>0</v>
      </c>
      <c r="T205" s="32">
        <f t="shared" si="492"/>
        <v>0</v>
      </c>
      <c r="U205" s="32">
        <f t="shared" si="492"/>
        <v>0</v>
      </c>
      <c r="V205" s="32">
        <f t="shared" si="492"/>
        <v>0</v>
      </c>
      <c r="W205" s="32">
        <f t="shared" si="492"/>
        <v>0</v>
      </c>
      <c r="X205" s="32">
        <f t="shared" si="492"/>
        <v>0</v>
      </c>
      <c r="Y205" s="32">
        <f t="shared" si="492"/>
        <v>0</v>
      </c>
      <c r="Z205" s="32">
        <f t="shared" si="492"/>
        <v>0</v>
      </c>
      <c r="AA205" s="32">
        <f t="shared" si="492"/>
        <v>0</v>
      </c>
      <c r="AB205" s="32">
        <f t="shared" si="492"/>
        <v>0</v>
      </c>
      <c r="AC205" s="32">
        <f t="shared" si="492"/>
        <v>0</v>
      </c>
      <c r="AD205" s="32">
        <f t="shared" si="492"/>
        <v>0</v>
      </c>
      <c r="AE205" s="32">
        <f t="shared" si="492"/>
        <v>0</v>
      </c>
      <c r="AF205" s="32">
        <f t="shared" si="492"/>
        <v>0</v>
      </c>
      <c r="AG205" s="32">
        <f t="shared" si="492"/>
        <v>0</v>
      </c>
      <c r="AH205" s="32">
        <f t="shared" si="492"/>
        <v>0</v>
      </c>
      <c r="AI205" s="32">
        <f t="shared" si="492"/>
        <v>0</v>
      </c>
      <c r="AJ205" s="32">
        <f t="shared" si="492"/>
        <v>0</v>
      </c>
      <c r="AK205" s="32">
        <f t="shared" si="492"/>
        <v>0</v>
      </c>
      <c r="AL205" s="32">
        <f t="shared" si="492"/>
        <v>0</v>
      </c>
      <c r="AM205" s="32">
        <f t="shared" si="492"/>
        <v>0</v>
      </c>
      <c r="AN205" s="32">
        <f t="shared" si="492"/>
        <v>0</v>
      </c>
      <c r="AO205" s="32">
        <f t="shared" ref="AO205:BT205" si="493">AO196+AO201+AO202+AO203</f>
        <v>0</v>
      </c>
      <c r="AP205" s="32">
        <f t="shared" si="493"/>
        <v>0</v>
      </c>
      <c r="AQ205" s="32">
        <f t="shared" si="493"/>
        <v>0</v>
      </c>
      <c r="AR205" s="32">
        <f t="shared" si="493"/>
        <v>0</v>
      </c>
      <c r="AS205" s="32">
        <f t="shared" si="493"/>
        <v>0</v>
      </c>
      <c r="AT205" s="32">
        <f t="shared" si="493"/>
        <v>0</v>
      </c>
      <c r="AU205" s="32">
        <f t="shared" si="493"/>
        <v>0</v>
      </c>
      <c r="AV205" s="32">
        <f t="shared" si="493"/>
        <v>0</v>
      </c>
      <c r="AW205" s="32">
        <f t="shared" si="493"/>
        <v>0</v>
      </c>
      <c r="AX205" s="32">
        <f t="shared" si="493"/>
        <v>0</v>
      </c>
      <c r="AY205" s="32">
        <f t="shared" si="493"/>
        <v>0</v>
      </c>
      <c r="AZ205" s="32">
        <f t="shared" si="493"/>
        <v>0</v>
      </c>
      <c r="BA205" s="32">
        <f t="shared" si="493"/>
        <v>0</v>
      </c>
      <c r="BB205" s="32">
        <f t="shared" si="493"/>
        <v>0</v>
      </c>
      <c r="BC205" s="32">
        <f t="shared" si="493"/>
        <v>0</v>
      </c>
      <c r="BD205" s="32">
        <f t="shared" si="493"/>
        <v>0</v>
      </c>
      <c r="BE205" s="32">
        <f t="shared" si="493"/>
        <v>0</v>
      </c>
      <c r="BF205" s="32">
        <f t="shared" si="493"/>
        <v>0</v>
      </c>
      <c r="BG205" s="32">
        <f t="shared" si="493"/>
        <v>0</v>
      </c>
      <c r="BH205" s="32">
        <f t="shared" si="493"/>
        <v>0</v>
      </c>
      <c r="BI205" s="32">
        <f t="shared" si="493"/>
        <v>0</v>
      </c>
      <c r="BJ205" s="32">
        <f t="shared" si="493"/>
        <v>0</v>
      </c>
      <c r="BK205" s="32">
        <f t="shared" si="493"/>
        <v>-231.84608333333333</v>
      </c>
      <c r="BL205" s="32">
        <f t="shared" si="493"/>
        <v>-231.84608333333333</v>
      </c>
      <c r="BM205" s="32">
        <f t="shared" si="493"/>
        <v>-231.84608333333333</v>
      </c>
      <c r="BN205" s="32">
        <f t="shared" si="493"/>
        <v>-928.45091666666656</v>
      </c>
      <c r="BO205" s="32">
        <f t="shared" si="493"/>
        <v>-928.45091666666656</v>
      </c>
      <c r="BP205" s="32">
        <f t="shared" si="493"/>
        <v>-928.45091666666656</v>
      </c>
      <c r="BQ205" s="32">
        <f t="shared" si="493"/>
        <v>876.97142028466055</v>
      </c>
      <c r="BR205" s="32">
        <f t="shared" si="493"/>
        <v>991.61267285608869</v>
      </c>
      <c r="BS205" s="32">
        <f t="shared" si="493"/>
        <v>1109.6257269737355</v>
      </c>
      <c r="BT205" s="32">
        <f t="shared" si="493"/>
        <v>1231.2149342464629</v>
      </c>
      <c r="BU205" s="32">
        <f t="shared" ref="BU205:CZ205" si="494">BU196+BU201+BU202+BU203</f>
        <v>1356.6038042464627</v>
      </c>
      <c r="BV205" s="32">
        <f t="shared" si="494"/>
        <v>1486.0374765045274</v>
      </c>
      <c r="BW205" s="32">
        <f t="shared" si="494"/>
        <v>-1673.2927941519467</v>
      </c>
      <c r="BX205" s="32">
        <f t="shared" si="494"/>
        <v>-2755.8383586480259</v>
      </c>
      <c r="BY205" s="32">
        <f t="shared" si="494"/>
        <v>-3819.1164713618305</v>
      </c>
      <c r="BZ205" s="32">
        <f t="shared" si="494"/>
        <v>-4851.0904199776005</v>
      </c>
      <c r="CA205" s="32">
        <f t="shared" si="494"/>
        <v>-5840.0463903174168</v>
      </c>
      <c r="CB205" s="32">
        <f t="shared" si="494"/>
        <v>-6774.719559226678</v>
      </c>
      <c r="CC205" s="32">
        <f t="shared" si="494"/>
        <v>-6663.4178829215434</v>
      </c>
      <c r="CD205" s="32">
        <f t="shared" si="494"/>
        <v>-7458.124144404067</v>
      </c>
      <c r="CE205" s="32">
        <f t="shared" si="494"/>
        <v>-8168.6199459251839</v>
      </c>
      <c r="CF205" s="32">
        <f t="shared" si="494"/>
        <v>-8089.9654239360625</v>
      </c>
      <c r="CG205" s="32">
        <f t="shared" si="494"/>
        <v>-8608.007475459206</v>
      </c>
      <c r="CH205" s="32">
        <f t="shared" si="494"/>
        <v>-9019.8247532893183</v>
      </c>
      <c r="CI205" s="32">
        <f t="shared" si="494"/>
        <v>-9320.207906109712</v>
      </c>
      <c r="CJ205" s="32">
        <f t="shared" si="494"/>
        <v>-2864.6908034554199</v>
      </c>
      <c r="CK205" s="32">
        <f t="shared" si="494"/>
        <v>-2364.2894238480794</v>
      </c>
      <c r="CL205" s="32">
        <f t="shared" si="494"/>
        <v>-2379.7770605057958</v>
      </c>
      <c r="CM205" s="32">
        <f t="shared" si="494"/>
        <v>-2354.4102758815357</v>
      </c>
      <c r="CN205" s="32">
        <f t="shared" si="494"/>
        <v>-2287.2510731399161</v>
      </c>
      <c r="CO205" s="32">
        <f t="shared" si="494"/>
        <v>-2177.6240569764741</v>
      </c>
      <c r="CP205" s="32">
        <f t="shared" si="494"/>
        <v>-2025.0623360873074</v>
      </c>
      <c r="CQ205" s="32">
        <f t="shared" si="494"/>
        <v>-1829.2222224599136</v>
      </c>
      <c r="CR205" s="32">
        <f t="shared" si="494"/>
        <v>-1589.7489684437089</v>
      </c>
      <c r="CS205" s="32">
        <f t="shared" si="494"/>
        <v>-1306.060242670058</v>
      </c>
      <c r="CT205" s="32">
        <f t="shared" si="494"/>
        <v>-976.98068958686099</v>
      </c>
      <c r="CU205" s="32">
        <f t="shared" si="494"/>
        <v>-600.08302123152453</v>
      </c>
      <c r="CV205" s="32">
        <f t="shared" si="494"/>
        <v>-170.38848467905973</v>
      </c>
      <c r="CW205" s="32">
        <f t="shared" si="494"/>
        <v>322.52835658350227</v>
      </c>
      <c r="CX205" s="32">
        <f t="shared" si="494"/>
        <v>902.21468681218767</v>
      </c>
      <c r="CY205" s="32">
        <f t="shared" si="494"/>
        <v>1632.1241502237881</v>
      </c>
      <c r="CZ205" s="32">
        <f t="shared" si="494"/>
        <v>2776.1520794307621</v>
      </c>
      <c r="DA205" s="32">
        <f t="shared" ref="DA205:EF205" si="495">DA196+DA201+DA202+DA203</f>
        <v>15257.797148120126</v>
      </c>
      <c r="DB205" s="32">
        <f t="shared" si="495"/>
        <v>1615.4880921201293</v>
      </c>
      <c r="DC205" s="32">
        <f t="shared" si="495"/>
        <v>1615.4880921201293</v>
      </c>
      <c r="DD205" s="32">
        <f t="shared" si="495"/>
        <v>1615.4880921201293</v>
      </c>
      <c r="DE205" s="32">
        <f t="shared" si="495"/>
        <v>1615.4880921201293</v>
      </c>
      <c r="DF205" s="32">
        <f t="shared" si="495"/>
        <v>1615.4880921201293</v>
      </c>
      <c r="DG205" s="32">
        <f t="shared" si="495"/>
        <v>1615.4880921201293</v>
      </c>
      <c r="DH205" s="32">
        <f t="shared" si="495"/>
        <v>1615.4880921201293</v>
      </c>
      <c r="DI205" s="32">
        <f t="shared" si="495"/>
        <v>1615.4880921201293</v>
      </c>
      <c r="DJ205" s="32">
        <f t="shared" si="495"/>
        <v>1615.4880921201293</v>
      </c>
      <c r="DK205" s="32">
        <f t="shared" si="495"/>
        <v>1615.4880921201293</v>
      </c>
      <c r="DL205" s="32">
        <f t="shared" si="495"/>
        <v>176552.28138811994</v>
      </c>
      <c r="DM205" s="32">
        <f t="shared" si="495"/>
        <v>0</v>
      </c>
      <c r="DN205" s="32">
        <f t="shared" si="495"/>
        <v>0</v>
      </c>
      <c r="DO205" s="32">
        <f t="shared" si="495"/>
        <v>0</v>
      </c>
      <c r="DP205" s="32">
        <f t="shared" si="495"/>
        <v>0</v>
      </c>
      <c r="DQ205" s="32">
        <f t="shared" si="495"/>
        <v>0</v>
      </c>
      <c r="DR205" s="32">
        <f t="shared" si="495"/>
        <v>0</v>
      </c>
      <c r="DS205" s="32">
        <f t="shared" si="495"/>
        <v>0</v>
      </c>
      <c r="DT205" s="32">
        <f t="shared" si="495"/>
        <v>0</v>
      </c>
      <c r="DU205" s="32">
        <f t="shared" si="495"/>
        <v>0</v>
      </c>
      <c r="DV205" s="32">
        <f t="shared" si="495"/>
        <v>0</v>
      </c>
      <c r="DW205" s="32">
        <f t="shared" si="495"/>
        <v>0</v>
      </c>
      <c r="DX205" s="32">
        <f t="shared" si="495"/>
        <v>0</v>
      </c>
      <c r="DY205" s="32">
        <f t="shared" si="495"/>
        <v>0</v>
      </c>
      <c r="DZ205" s="32">
        <f t="shared" si="495"/>
        <v>0</v>
      </c>
      <c r="EA205" s="32">
        <f t="shared" si="495"/>
        <v>0</v>
      </c>
      <c r="EB205" s="32">
        <f t="shared" si="495"/>
        <v>0</v>
      </c>
      <c r="EC205" s="32">
        <f t="shared" si="495"/>
        <v>0</v>
      </c>
      <c r="ED205" s="32">
        <f t="shared" si="495"/>
        <v>0</v>
      </c>
      <c r="EE205" s="32">
        <f t="shared" si="495"/>
        <v>0</v>
      </c>
      <c r="EF205" s="32">
        <f t="shared" si="495"/>
        <v>0</v>
      </c>
      <c r="EG205" s="32">
        <f t="shared" ref="EG205:FH205" si="496">EG196+EG201+EG202+EG203</f>
        <v>0</v>
      </c>
      <c r="EH205" s="32">
        <f t="shared" si="496"/>
        <v>0</v>
      </c>
      <c r="EI205" s="32">
        <f t="shared" si="496"/>
        <v>0</v>
      </c>
      <c r="EJ205" s="32">
        <f t="shared" si="496"/>
        <v>0</v>
      </c>
      <c r="EK205" s="32">
        <f t="shared" si="496"/>
        <v>0</v>
      </c>
      <c r="EL205" s="32">
        <f t="shared" si="496"/>
        <v>0</v>
      </c>
      <c r="EM205" s="32">
        <f t="shared" si="496"/>
        <v>0</v>
      </c>
      <c r="EN205" s="32">
        <f t="shared" si="496"/>
        <v>0</v>
      </c>
      <c r="EO205" s="32">
        <f t="shared" si="496"/>
        <v>0</v>
      </c>
      <c r="EP205" s="32">
        <f t="shared" si="496"/>
        <v>0</v>
      </c>
      <c r="EQ205" s="32">
        <f t="shared" si="496"/>
        <v>0</v>
      </c>
      <c r="ER205" s="32">
        <f t="shared" si="496"/>
        <v>0</v>
      </c>
      <c r="ES205" s="32">
        <f t="shared" si="496"/>
        <v>0</v>
      </c>
      <c r="ET205" s="32">
        <f t="shared" si="496"/>
        <v>0</v>
      </c>
      <c r="EU205" s="32">
        <f t="shared" si="496"/>
        <v>0</v>
      </c>
      <c r="EV205" s="32">
        <f t="shared" si="496"/>
        <v>0</v>
      </c>
      <c r="EW205" s="32">
        <f t="shared" si="496"/>
        <v>0</v>
      </c>
      <c r="EX205" s="32">
        <f t="shared" si="496"/>
        <v>0</v>
      </c>
      <c r="EY205" s="32">
        <f t="shared" si="496"/>
        <v>0</v>
      </c>
      <c r="EZ205" s="32">
        <f t="shared" si="496"/>
        <v>0</v>
      </c>
      <c r="FA205" s="32">
        <f t="shared" si="496"/>
        <v>0</v>
      </c>
      <c r="FB205" s="32">
        <f t="shared" si="496"/>
        <v>0</v>
      </c>
      <c r="FC205" s="32">
        <f t="shared" si="496"/>
        <v>0</v>
      </c>
      <c r="FD205" s="32">
        <f t="shared" si="496"/>
        <v>0</v>
      </c>
      <c r="FE205" s="32">
        <f t="shared" si="496"/>
        <v>0</v>
      </c>
      <c r="FF205" s="32">
        <f t="shared" si="496"/>
        <v>0</v>
      </c>
      <c r="FG205" s="32">
        <f t="shared" si="496"/>
        <v>0</v>
      </c>
      <c r="FH205" s="32">
        <f t="shared" si="496"/>
        <v>0</v>
      </c>
    </row>
    <row r="206" spans="1:164" x14ac:dyDescent="0.2">
      <c r="A206" s="10"/>
      <c r="B206" s="10"/>
      <c r="C206" s="10" t="s">
        <v>918</v>
      </c>
      <c r="D206" s="10"/>
      <c r="E206" s="10"/>
      <c r="F206" s="10"/>
      <c r="G206" s="10"/>
      <c r="H206" s="12"/>
      <c r="I206" s="12">
        <f>I205</f>
        <v>0</v>
      </c>
      <c r="J206" s="12">
        <f t="shared" ref="J206:AO206" si="497">I206+J205</f>
        <v>0</v>
      </c>
      <c r="K206" s="12">
        <f t="shared" si="497"/>
        <v>0</v>
      </c>
      <c r="L206" s="12">
        <f t="shared" si="497"/>
        <v>0</v>
      </c>
      <c r="M206" s="12">
        <f t="shared" si="497"/>
        <v>0</v>
      </c>
      <c r="N206" s="12">
        <f t="shared" si="497"/>
        <v>0</v>
      </c>
      <c r="O206" s="12">
        <f t="shared" si="497"/>
        <v>0</v>
      </c>
      <c r="P206" s="12">
        <f t="shared" si="497"/>
        <v>0</v>
      </c>
      <c r="Q206" s="12">
        <f t="shared" si="497"/>
        <v>0</v>
      </c>
      <c r="R206" s="12">
        <f t="shared" si="497"/>
        <v>0</v>
      </c>
      <c r="S206" s="12">
        <f t="shared" si="497"/>
        <v>0</v>
      </c>
      <c r="T206" s="12">
        <f t="shared" si="497"/>
        <v>0</v>
      </c>
      <c r="U206" s="12">
        <f t="shared" si="497"/>
        <v>0</v>
      </c>
      <c r="V206" s="12">
        <f t="shared" si="497"/>
        <v>0</v>
      </c>
      <c r="W206" s="12">
        <f t="shared" si="497"/>
        <v>0</v>
      </c>
      <c r="X206" s="12">
        <f t="shared" si="497"/>
        <v>0</v>
      </c>
      <c r="Y206" s="12">
        <f t="shared" si="497"/>
        <v>0</v>
      </c>
      <c r="Z206" s="12">
        <f t="shared" si="497"/>
        <v>0</v>
      </c>
      <c r="AA206" s="12">
        <f t="shared" si="497"/>
        <v>0</v>
      </c>
      <c r="AB206" s="12">
        <f t="shared" si="497"/>
        <v>0</v>
      </c>
      <c r="AC206" s="12">
        <f t="shared" si="497"/>
        <v>0</v>
      </c>
      <c r="AD206" s="12">
        <f t="shared" si="497"/>
        <v>0</v>
      </c>
      <c r="AE206" s="12">
        <f t="shared" si="497"/>
        <v>0</v>
      </c>
      <c r="AF206" s="12">
        <f t="shared" si="497"/>
        <v>0</v>
      </c>
      <c r="AG206" s="12">
        <f t="shared" si="497"/>
        <v>0</v>
      </c>
      <c r="AH206" s="12">
        <f t="shared" si="497"/>
        <v>0</v>
      </c>
      <c r="AI206" s="12">
        <f t="shared" si="497"/>
        <v>0</v>
      </c>
      <c r="AJ206" s="12">
        <f t="shared" si="497"/>
        <v>0</v>
      </c>
      <c r="AK206" s="12">
        <f t="shared" si="497"/>
        <v>0</v>
      </c>
      <c r="AL206" s="12">
        <f t="shared" si="497"/>
        <v>0</v>
      </c>
      <c r="AM206" s="12">
        <f t="shared" si="497"/>
        <v>0</v>
      </c>
      <c r="AN206" s="12">
        <f t="shared" si="497"/>
        <v>0</v>
      </c>
      <c r="AO206" s="12">
        <f t="shared" si="497"/>
        <v>0</v>
      </c>
      <c r="AP206" s="12">
        <f t="shared" ref="AP206:BU206" si="498">AO206+AP205</f>
        <v>0</v>
      </c>
      <c r="AQ206" s="12">
        <f t="shared" si="498"/>
        <v>0</v>
      </c>
      <c r="AR206" s="12">
        <f t="shared" si="498"/>
        <v>0</v>
      </c>
      <c r="AS206" s="12">
        <f t="shared" si="498"/>
        <v>0</v>
      </c>
      <c r="AT206" s="12">
        <f t="shared" si="498"/>
        <v>0</v>
      </c>
      <c r="AU206" s="12">
        <f t="shared" si="498"/>
        <v>0</v>
      </c>
      <c r="AV206" s="12">
        <f t="shared" si="498"/>
        <v>0</v>
      </c>
      <c r="AW206" s="12">
        <f t="shared" si="498"/>
        <v>0</v>
      </c>
      <c r="AX206" s="12">
        <f t="shared" si="498"/>
        <v>0</v>
      </c>
      <c r="AY206" s="12">
        <f t="shared" si="498"/>
        <v>0</v>
      </c>
      <c r="AZ206" s="12">
        <f t="shared" si="498"/>
        <v>0</v>
      </c>
      <c r="BA206" s="12">
        <f t="shared" si="498"/>
        <v>0</v>
      </c>
      <c r="BB206" s="12">
        <f t="shared" si="498"/>
        <v>0</v>
      </c>
      <c r="BC206" s="12">
        <f t="shared" si="498"/>
        <v>0</v>
      </c>
      <c r="BD206" s="12">
        <f t="shared" si="498"/>
        <v>0</v>
      </c>
      <c r="BE206" s="12">
        <f t="shared" si="498"/>
        <v>0</v>
      </c>
      <c r="BF206" s="12">
        <f t="shared" si="498"/>
        <v>0</v>
      </c>
      <c r="BG206" s="12">
        <f t="shared" si="498"/>
        <v>0</v>
      </c>
      <c r="BH206" s="12">
        <f t="shared" si="498"/>
        <v>0</v>
      </c>
      <c r="BI206" s="12">
        <f t="shared" si="498"/>
        <v>0</v>
      </c>
      <c r="BJ206" s="12">
        <f t="shared" si="498"/>
        <v>0</v>
      </c>
      <c r="BK206" s="12">
        <f t="shared" si="498"/>
        <v>-231.84608333333333</v>
      </c>
      <c r="BL206" s="12">
        <f t="shared" si="498"/>
        <v>-463.69216666666665</v>
      </c>
      <c r="BM206" s="12">
        <f t="shared" si="498"/>
        <v>-695.53824999999995</v>
      </c>
      <c r="BN206" s="12">
        <f t="shared" si="498"/>
        <v>-1623.9891666666665</v>
      </c>
      <c r="BO206" s="12">
        <f t="shared" si="498"/>
        <v>-2552.440083333333</v>
      </c>
      <c r="BP206" s="12">
        <f t="shared" si="498"/>
        <v>-3480.8909999999996</v>
      </c>
      <c r="BQ206" s="12">
        <f t="shared" si="498"/>
        <v>-2603.9195797153388</v>
      </c>
      <c r="BR206" s="12">
        <f t="shared" si="498"/>
        <v>-1612.3069068592501</v>
      </c>
      <c r="BS206" s="12">
        <f t="shared" si="498"/>
        <v>-502.68117988551467</v>
      </c>
      <c r="BT206" s="12">
        <f t="shared" si="498"/>
        <v>728.53375436094825</v>
      </c>
      <c r="BU206" s="12">
        <f t="shared" si="498"/>
        <v>2085.1375586074109</v>
      </c>
      <c r="BV206" s="12">
        <f t="shared" ref="BV206:DA206" si="499">BU206+BV205</f>
        <v>3571.1750351119381</v>
      </c>
      <c r="BW206" s="12">
        <f t="shared" si="499"/>
        <v>1897.8822409599913</v>
      </c>
      <c r="BX206" s="12">
        <f t="shared" si="499"/>
        <v>-857.95611768803451</v>
      </c>
      <c r="BY206" s="12">
        <f t="shared" si="499"/>
        <v>-4677.0725890498652</v>
      </c>
      <c r="BZ206" s="12">
        <f t="shared" si="499"/>
        <v>-9528.1630090274666</v>
      </c>
      <c r="CA206" s="12">
        <f t="shared" si="499"/>
        <v>-15368.209399344883</v>
      </c>
      <c r="CB206" s="12">
        <f t="shared" si="499"/>
        <v>-22142.92895857156</v>
      </c>
      <c r="CC206" s="12">
        <f t="shared" si="499"/>
        <v>-28806.346841493105</v>
      </c>
      <c r="CD206" s="12">
        <f t="shared" si="499"/>
        <v>-36264.470985897169</v>
      </c>
      <c r="CE206" s="12">
        <f t="shared" si="499"/>
        <v>-44433.090931822357</v>
      </c>
      <c r="CF206" s="12">
        <f t="shared" si="499"/>
        <v>-52523.056355758417</v>
      </c>
      <c r="CG206" s="12">
        <f t="shared" si="499"/>
        <v>-61131.063831217623</v>
      </c>
      <c r="CH206" s="12">
        <f t="shared" si="499"/>
        <v>-70150.888584506945</v>
      </c>
      <c r="CI206" s="12">
        <f t="shared" si="499"/>
        <v>-79471.096490616663</v>
      </c>
      <c r="CJ206" s="12">
        <f t="shared" si="499"/>
        <v>-82335.787294072084</v>
      </c>
      <c r="CK206" s="12">
        <f t="shared" si="499"/>
        <v>-84700.076717920165</v>
      </c>
      <c r="CL206" s="12">
        <f t="shared" si="499"/>
        <v>-87079.853778425953</v>
      </c>
      <c r="CM206" s="12">
        <f t="shared" si="499"/>
        <v>-89434.264054307496</v>
      </c>
      <c r="CN206" s="12">
        <f t="shared" si="499"/>
        <v>-91721.515127447405</v>
      </c>
      <c r="CO206" s="12">
        <f t="shared" si="499"/>
        <v>-93899.139184423882</v>
      </c>
      <c r="CP206" s="12">
        <f t="shared" si="499"/>
        <v>-95924.201520511197</v>
      </c>
      <c r="CQ206" s="12">
        <f t="shared" si="499"/>
        <v>-97753.423742971107</v>
      </c>
      <c r="CR206" s="12">
        <f t="shared" si="499"/>
        <v>-99343.172711414809</v>
      </c>
      <c r="CS206" s="12">
        <f t="shared" si="499"/>
        <v>-100649.23295408487</v>
      </c>
      <c r="CT206" s="12">
        <f t="shared" si="499"/>
        <v>-101626.21364367174</v>
      </c>
      <c r="CU206" s="12">
        <f t="shared" si="499"/>
        <v>-102226.29666490326</v>
      </c>
      <c r="CV206" s="12">
        <f t="shared" si="499"/>
        <v>-102396.68514958232</v>
      </c>
      <c r="CW206" s="12">
        <f t="shared" si="499"/>
        <v>-102074.15679299882</v>
      </c>
      <c r="CX206" s="12">
        <f t="shared" si="499"/>
        <v>-101171.94210618663</v>
      </c>
      <c r="CY206" s="12">
        <f t="shared" si="499"/>
        <v>-99539.817955962848</v>
      </c>
      <c r="CZ206" s="12">
        <f t="shared" si="499"/>
        <v>-96763.66587653209</v>
      </c>
      <c r="DA206" s="12">
        <f t="shared" si="499"/>
        <v>-81505.868728411966</v>
      </c>
      <c r="DB206" s="12">
        <f t="shared" ref="DB206:EG206" si="500">DA206+DB205</f>
        <v>-79890.38063629184</v>
      </c>
      <c r="DC206" s="12">
        <f t="shared" si="500"/>
        <v>-78274.892544171715</v>
      </c>
      <c r="DD206" s="12">
        <f t="shared" si="500"/>
        <v>-76659.404452051589</v>
      </c>
      <c r="DE206" s="12">
        <f t="shared" si="500"/>
        <v>-75043.916359931463</v>
      </c>
      <c r="DF206" s="12">
        <f t="shared" si="500"/>
        <v>-73428.428267811338</v>
      </c>
      <c r="DG206" s="12">
        <f t="shared" si="500"/>
        <v>-71812.940175691212</v>
      </c>
      <c r="DH206" s="12">
        <f t="shared" si="500"/>
        <v>-70197.452083571086</v>
      </c>
      <c r="DI206" s="12">
        <f t="shared" si="500"/>
        <v>-68581.963991450961</v>
      </c>
      <c r="DJ206" s="12">
        <f t="shared" si="500"/>
        <v>-66966.475899330835</v>
      </c>
      <c r="DK206" s="12">
        <f t="shared" si="500"/>
        <v>-65350.987807210709</v>
      </c>
      <c r="DL206" s="12">
        <f t="shared" si="500"/>
        <v>111201.29358090923</v>
      </c>
      <c r="DM206" s="12">
        <f t="shared" si="500"/>
        <v>111201.29358090923</v>
      </c>
      <c r="DN206" s="12">
        <f t="shared" si="500"/>
        <v>111201.29358090923</v>
      </c>
      <c r="DO206" s="12">
        <f t="shared" si="500"/>
        <v>111201.29358090923</v>
      </c>
      <c r="DP206" s="12">
        <f t="shared" si="500"/>
        <v>111201.29358090923</v>
      </c>
      <c r="DQ206" s="12">
        <f t="shared" si="500"/>
        <v>111201.29358090923</v>
      </c>
      <c r="DR206" s="12">
        <f t="shared" si="500"/>
        <v>111201.29358090923</v>
      </c>
      <c r="DS206" s="12">
        <f t="shared" si="500"/>
        <v>111201.29358090923</v>
      </c>
      <c r="DT206" s="12">
        <f t="shared" si="500"/>
        <v>111201.29358090923</v>
      </c>
      <c r="DU206" s="12">
        <f t="shared" si="500"/>
        <v>111201.29358090923</v>
      </c>
      <c r="DV206" s="12">
        <f t="shared" si="500"/>
        <v>111201.29358090923</v>
      </c>
      <c r="DW206" s="12">
        <f t="shared" si="500"/>
        <v>111201.29358090923</v>
      </c>
      <c r="DX206" s="12">
        <f t="shared" si="500"/>
        <v>111201.29358090923</v>
      </c>
      <c r="DY206" s="12">
        <f t="shared" si="500"/>
        <v>111201.29358090923</v>
      </c>
      <c r="DZ206" s="12">
        <f t="shared" si="500"/>
        <v>111201.29358090923</v>
      </c>
      <c r="EA206" s="12">
        <f t="shared" si="500"/>
        <v>111201.29358090923</v>
      </c>
      <c r="EB206" s="12">
        <f t="shared" si="500"/>
        <v>111201.29358090923</v>
      </c>
      <c r="EC206" s="12">
        <f t="shared" si="500"/>
        <v>111201.29358090923</v>
      </c>
      <c r="ED206" s="12">
        <f t="shared" si="500"/>
        <v>111201.29358090923</v>
      </c>
      <c r="EE206" s="12">
        <f t="shared" si="500"/>
        <v>111201.29358090923</v>
      </c>
      <c r="EF206" s="12">
        <f t="shared" si="500"/>
        <v>111201.29358090923</v>
      </c>
      <c r="EG206" s="12">
        <f t="shared" si="500"/>
        <v>111201.29358090923</v>
      </c>
      <c r="EH206" s="12">
        <f t="shared" ref="EH206:FH206" si="501">EG206+EH205</f>
        <v>111201.29358090923</v>
      </c>
      <c r="EI206" s="12">
        <f t="shared" si="501"/>
        <v>111201.29358090923</v>
      </c>
      <c r="EJ206" s="12">
        <f t="shared" si="501"/>
        <v>111201.29358090923</v>
      </c>
      <c r="EK206" s="12">
        <f t="shared" si="501"/>
        <v>111201.29358090923</v>
      </c>
      <c r="EL206" s="12">
        <f t="shared" si="501"/>
        <v>111201.29358090923</v>
      </c>
      <c r="EM206" s="12">
        <f t="shared" si="501"/>
        <v>111201.29358090923</v>
      </c>
      <c r="EN206" s="12">
        <f t="shared" si="501"/>
        <v>111201.29358090923</v>
      </c>
      <c r="EO206" s="12">
        <f t="shared" si="501"/>
        <v>111201.29358090923</v>
      </c>
      <c r="EP206" s="12">
        <f t="shared" si="501"/>
        <v>111201.29358090923</v>
      </c>
      <c r="EQ206" s="12">
        <f t="shared" si="501"/>
        <v>111201.29358090923</v>
      </c>
      <c r="ER206" s="12">
        <f t="shared" si="501"/>
        <v>111201.29358090923</v>
      </c>
      <c r="ES206" s="12">
        <f t="shared" si="501"/>
        <v>111201.29358090923</v>
      </c>
      <c r="ET206" s="12">
        <f t="shared" si="501"/>
        <v>111201.29358090923</v>
      </c>
      <c r="EU206" s="12">
        <f t="shared" si="501"/>
        <v>111201.29358090923</v>
      </c>
      <c r="EV206" s="12">
        <f t="shared" si="501"/>
        <v>111201.29358090923</v>
      </c>
      <c r="EW206" s="12">
        <f t="shared" si="501"/>
        <v>111201.29358090923</v>
      </c>
      <c r="EX206" s="12">
        <f t="shared" si="501"/>
        <v>111201.29358090923</v>
      </c>
      <c r="EY206" s="12">
        <f t="shared" si="501"/>
        <v>111201.29358090923</v>
      </c>
      <c r="EZ206" s="12">
        <f t="shared" si="501"/>
        <v>111201.29358090923</v>
      </c>
      <c r="FA206" s="12">
        <f t="shared" si="501"/>
        <v>111201.29358090923</v>
      </c>
      <c r="FB206" s="12">
        <f t="shared" si="501"/>
        <v>111201.29358090923</v>
      </c>
      <c r="FC206" s="12">
        <f t="shared" si="501"/>
        <v>111201.29358090923</v>
      </c>
      <c r="FD206" s="12">
        <f t="shared" si="501"/>
        <v>111201.29358090923</v>
      </c>
      <c r="FE206" s="12">
        <f t="shared" si="501"/>
        <v>111201.29358090923</v>
      </c>
      <c r="FF206" s="12">
        <f t="shared" si="501"/>
        <v>111201.29358090923</v>
      </c>
      <c r="FG206" s="12">
        <f t="shared" si="501"/>
        <v>111201.29358090923</v>
      </c>
      <c r="FH206" s="12">
        <f t="shared" si="501"/>
        <v>111201.29358090923</v>
      </c>
    </row>
    <row r="207" spans="1:164" x14ac:dyDescent="0.2">
      <c r="A207" s="10"/>
      <c r="B207" s="10"/>
      <c r="C207" s="70" t="s">
        <v>919</v>
      </c>
      <c r="D207" s="70"/>
      <c r="E207" s="70"/>
      <c r="F207" s="70"/>
      <c r="G207" s="70"/>
      <c r="H207" s="56">
        <f>SUM(I207:FH207)</f>
        <v>111201.29358090923</v>
      </c>
      <c r="I207" s="56">
        <f t="shared" ref="I207:AN207" si="502">IF($D$14="Levered",I205,I196)</f>
        <v>0</v>
      </c>
      <c r="J207" s="56">
        <f t="shared" si="502"/>
        <v>0</v>
      </c>
      <c r="K207" s="56">
        <f t="shared" si="502"/>
        <v>0</v>
      </c>
      <c r="L207" s="56">
        <f t="shared" si="502"/>
        <v>0</v>
      </c>
      <c r="M207" s="56">
        <f t="shared" si="502"/>
        <v>0</v>
      </c>
      <c r="N207" s="56">
        <f t="shared" si="502"/>
        <v>0</v>
      </c>
      <c r="O207" s="56">
        <f t="shared" si="502"/>
        <v>0</v>
      </c>
      <c r="P207" s="56">
        <f t="shared" si="502"/>
        <v>0</v>
      </c>
      <c r="Q207" s="56">
        <f t="shared" si="502"/>
        <v>0</v>
      </c>
      <c r="R207" s="56">
        <f t="shared" si="502"/>
        <v>0</v>
      </c>
      <c r="S207" s="56">
        <f t="shared" si="502"/>
        <v>0</v>
      </c>
      <c r="T207" s="56">
        <f t="shared" si="502"/>
        <v>0</v>
      </c>
      <c r="U207" s="56">
        <f t="shared" si="502"/>
        <v>0</v>
      </c>
      <c r="V207" s="56">
        <f t="shared" si="502"/>
        <v>0</v>
      </c>
      <c r="W207" s="56">
        <f t="shared" si="502"/>
        <v>0</v>
      </c>
      <c r="X207" s="56">
        <f t="shared" si="502"/>
        <v>0</v>
      </c>
      <c r="Y207" s="56">
        <f t="shared" si="502"/>
        <v>0</v>
      </c>
      <c r="Z207" s="56">
        <f t="shared" si="502"/>
        <v>0</v>
      </c>
      <c r="AA207" s="56">
        <f t="shared" si="502"/>
        <v>0</v>
      </c>
      <c r="AB207" s="56">
        <f t="shared" si="502"/>
        <v>0</v>
      </c>
      <c r="AC207" s="56">
        <f t="shared" si="502"/>
        <v>0</v>
      </c>
      <c r="AD207" s="56">
        <f t="shared" si="502"/>
        <v>0</v>
      </c>
      <c r="AE207" s="56">
        <f t="shared" si="502"/>
        <v>0</v>
      </c>
      <c r="AF207" s="56">
        <f t="shared" si="502"/>
        <v>0</v>
      </c>
      <c r="AG207" s="56">
        <f t="shared" si="502"/>
        <v>0</v>
      </c>
      <c r="AH207" s="56">
        <f t="shared" si="502"/>
        <v>0</v>
      </c>
      <c r="AI207" s="56">
        <f t="shared" si="502"/>
        <v>0</v>
      </c>
      <c r="AJ207" s="56">
        <f t="shared" si="502"/>
        <v>0</v>
      </c>
      <c r="AK207" s="56">
        <f t="shared" si="502"/>
        <v>0</v>
      </c>
      <c r="AL207" s="56">
        <f t="shared" si="502"/>
        <v>0</v>
      </c>
      <c r="AM207" s="56">
        <f t="shared" si="502"/>
        <v>0</v>
      </c>
      <c r="AN207" s="56">
        <f t="shared" si="502"/>
        <v>0</v>
      </c>
      <c r="AO207" s="56">
        <f t="shared" ref="AO207:BT207" si="503">IF($D$14="Levered",AO205,AO196)</f>
        <v>0</v>
      </c>
      <c r="AP207" s="56">
        <f t="shared" si="503"/>
        <v>0</v>
      </c>
      <c r="AQ207" s="56">
        <f t="shared" si="503"/>
        <v>0</v>
      </c>
      <c r="AR207" s="56">
        <f t="shared" si="503"/>
        <v>0</v>
      </c>
      <c r="AS207" s="56">
        <f t="shared" si="503"/>
        <v>0</v>
      </c>
      <c r="AT207" s="56">
        <f t="shared" si="503"/>
        <v>0</v>
      </c>
      <c r="AU207" s="56">
        <f t="shared" si="503"/>
        <v>0</v>
      </c>
      <c r="AV207" s="56">
        <f t="shared" si="503"/>
        <v>0</v>
      </c>
      <c r="AW207" s="56">
        <f t="shared" si="503"/>
        <v>0</v>
      </c>
      <c r="AX207" s="56">
        <f t="shared" si="503"/>
        <v>0</v>
      </c>
      <c r="AY207" s="56">
        <f t="shared" si="503"/>
        <v>0</v>
      </c>
      <c r="AZ207" s="56">
        <f t="shared" si="503"/>
        <v>0</v>
      </c>
      <c r="BA207" s="56">
        <f t="shared" si="503"/>
        <v>0</v>
      </c>
      <c r="BB207" s="56">
        <f t="shared" si="503"/>
        <v>0</v>
      </c>
      <c r="BC207" s="56">
        <f t="shared" si="503"/>
        <v>0</v>
      </c>
      <c r="BD207" s="56">
        <f t="shared" si="503"/>
        <v>0</v>
      </c>
      <c r="BE207" s="56">
        <f t="shared" si="503"/>
        <v>0</v>
      </c>
      <c r="BF207" s="56">
        <f t="shared" si="503"/>
        <v>0</v>
      </c>
      <c r="BG207" s="56">
        <f t="shared" si="503"/>
        <v>0</v>
      </c>
      <c r="BH207" s="56">
        <f t="shared" si="503"/>
        <v>0</v>
      </c>
      <c r="BI207" s="56">
        <f t="shared" si="503"/>
        <v>0</v>
      </c>
      <c r="BJ207" s="56">
        <f t="shared" si="503"/>
        <v>0</v>
      </c>
      <c r="BK207" s="56">
        <f t="shared" si="503"/>
        <v>-231.84608333333333</v>
      </c>
      <c r="BL207" s="56">
        <f t="shared" si="503"/>
        <v>-231.84608333333333</v>
      </c>
      <c r="BM207" s="56">
        <f t="shared" si="503"/>
        <v>-231.84608333333333</v>
      </c>
      <c r="BN207" s="56">
        <f t="shared" si="503"/>
        <v>-928.45091666666656</v>
      </c>
      <c r="BO207" s="56">
        <f t="shared" si="503"/>
        <v>-928.45091666666656</v>
      </c>
      <c r="BP207" s="56">
        <f t="shared" si="503"/>
        <v>-928.45091666666656</v>
      </c>
      <c r="BQ207" s="56">
        <f t="shared" si="503"/>
        <v>876.97142028466055</v>
      </c>
      <c r="BR207" s="56">
        <f t="shared" si="503"/>
        <v>991.61267285608869</v>
      </c>
      <c r="BS207" s="56">
        <f t="shared" si="503"/>
        <v>1109.6257269737355</v>
      </c>
      <c r="BT207" s="56">
        <f t="shared" si="503"/>
        <v>1231.2149342464629</v>
      </c>
      <c r="BU207" s="56">
        <f t="shared" ref="BU207:CZ207" si="504">IF($D$14="Levered",BU205,BU196)</f>
        <v>1356.6038042464627</v>
      </c>
      <c r="BV207" s="56">
        <f t="shared" si="504"/>
        <v>1486.0374765045274</v>
      </c>
      <c r="BW207" s="56">
        <f t="shared" si="504"/>
        <v>-1673.2927941519467</v>
      </c>
      <c r="BX207" s="56">
        <f t="shared" si="504"/>
        <v>-2755.8383586480259</v>
      </c>
      <c r="BY207" s="56">
        <f t="shared" si="504"/>
        <v>-3819.1164713618305</v>
      </c>
      <c r="BZ207" s="56">
        <f t="shared" si="504"/>
        <v>-4851.0904199776005</v>
      </c>
      <c r="CA207" s="56">
        <f t="shared" si="504"/>
        <v>-5840.0463903174168</v>
      </c>
      <c r="CB207" s="56">
        <f t="shared" si="504"/>
        <v>-6774.719559226678</v>
      </c>
      <c r="CC207" s="56">
        <f t="shared" si="504"/>
        <v>-6663.4178829215434</v>
      </c>
      <c r="CD207" s="56">
        <f t="shared" si="504"/>
        <v>-7458.124144404067</v>
      </c>
      <c r="CE207" s="56">
        <f t="shared" si="504"/>
        <v>-8168.6199459251839</v>
      </c>
      <c r="CF207" s="56">
        <f t="shared" si="504"/>
        <v>-8089.9654239360625</v>
      </c>
      <c r="CG207" s="56">
        <f t="shared" si="504"/>
        <v>-8608.007475459206</v>
      </c>
      <c r="CH207" s="56">
        <f t="shared" si="504"/>
        <v>-9019.8247532893183</v>
      </c>
      <c r="CI207" s="56">
        <f t="shared" si="504"/>
        <v>-9320.207906109712</v>
      </c>
      <c r="CJ207" s="56">
        <f t="shared" si="504"/>
        <v>-2864.6908034554199</v>
      </c>
      <c r="CK207" s="56">
        <f t="shared" si="504"/>
        <v>-2364.2894238480794</v>
      </c>
      <c r="CL207" s="56">
        <f t="shared" si="504"/>
        <v>-2379.7770605057958</v>
      </c>
      <c r="CM207" s="56">
        <f t="shared" si="504"/>
        <v>-2354.4102758815357</v>
      </c>
      <c r="CN207" s="56">
        <f t="shared" si="504"/>
        <v>-2287.2510731399161</v>
      </c>
      <c r="CO207" s="56">
        <f t="shared" si="504"/>
        <v>-2177.6240569764741</v>
      </c>
      <c r="CP207" s="56">
        <f t="shared" si="504"/>
        <v>-2025.0623360873074</v>
      </c>
      <c r="CQ207" s="56">
        <f t="shared" si="504"/>
        <v>-1829.2222224599136</v>
      </c>
      <c r="CR207" s="56">
        <f t="shared" si="504"/>
        <v>-1589.7489684437089</v>
      </c>
      <c r="CS207" s="56">
        <f t="shared" si="504"/>
        <v>-1306.060242670058</v>
      </c>
      <c r="CT207" s="56">
        <f t="shared" si="504"/>
        <v>-976.98068958686099</v>
      </c>
      <c r="CU207" s="56">
        <f t="shared" si="504"/>
        <v>-600.08302123152453</v>
      </c>
      <c r="CV207" s="56">
        <f t="shared" si="504"/>
        <v>-170.38848467905973</v>
      </c>
      <c r="CW207" s="56">
        <f t="shared" si="504"/>
        <v>322.52835658350227</v>
      </c>
      <c r="CX207" s="56">
        <f t="shared" si="504"/>
        <v>902.21468681218767</v>
      </c>
      <c r="CY207" s="56">
        <f t="shared" si="504"/>
        <v>1632.1241502237881</v>
      </c>
      <c r="CZ207" s="56">
        <f t="shared" si="504"/>
        <v>2776.1520794307621</v>
      </c>
      <c r="DA207" s="56">
        <f t="shared" ref="DA207:EF207" si="505">IF($D$14="Levered",DA205,DA196)</f>
        <v>15257.797148120126</v>
      </c>
      <c r="DB207" s="56">
        <f t="shared" si="505"/>
        <v>1615.4880921201293</v>
      </c>
      <c r="DC207" s="56">
        <f t="shared" si="505"/>
        <v>1615.4880921201293</v>
      </c>
      <c r="DD207" s="56">
        <f t="shared" si="505"/>
        <v>1615.4880921201293</v>
      </c>
      <c r="DE207" s="56">
        <f t="shared" si="505"/>
        <v>1615.4880921201293</v>
      </c>
      <c r="DF207" s="56">
        <f t="shared" si="505"/>
        <v>1615.4880921201293</v>
      </c>
      <c r="DG207" s="56">
        <f t="shared" si="505"/>
        <v>1615.4880921201293</v>
      </c>
      <c r="DH207" s="56">
        <f t="shared" si="505"/>
        <v>1615.4880921201293</v>
      </c>
      <c r="DI207" s="56">
        <f t="shared" si="505"/>
        <v>1615.4880921201293</v>
      </c>
      <c r="DJ207" s="56">
        <f t="shared" si="505"/>
        <v>1615.4880921201293</v>
      </c>
      <c r="DK207" s="56">
        <f t="shared" si="505"/>
        <v>1615.4880921201293</v>
      </c>
      <c r="DL207" s="56">
        <f t="shared" si="505"/>
        <v>176552.28138811994</v>
      </c>
      <c r="DM207" s="56">
        <f t="shared" si="505"/>
        <v>0</v>
      </c>
      <c r="DN207" s="56">
        <f t="shared" si="505"/>
        <v>0</v>
      </c>
      <c r="DO207" s="56">
        <f t="shared" si="505"/>
        <v>0</v>
      </c>
      <c r="DP207" s="56">
        <f t="shared" si="505"/>
        <v>0</v>
      </c>
      <c r="DQ207" s="56">
        <f t="shared" si="505"/>
        <v>0</v>
      </c>
      <c r="DR207" s="56">
        <f t="shared" si="505"/>
        <v>0</v>
      </c>
      <c r="DS207" s="56">
        <f t="shared" si="505"/>
        <v>0</v>
      </c>
      <c r="DT207" s="56">
        <f t="shared" si="505"/>
        <v>0</v>
      </c>
      <c r="DU207" s="56">
        <f t="shared" si="505"/>
        <v>0</v>
      </c>
      <c r="DV207" s="56">
        <f t="shared" si="505"/>
        <v>0</v>
      </c>
      <c r="DW207" s="56">
        <f t="shared" si="505"/>
        <v>0</v>
      </c>
      <c r="DX207" s="56">
        <f t="shared" si="505"/>
        <v>0</v>
      </c>
      <c r="DY207" s="56">
        <f t="shared" si="505"/>
        <v>0</v>
      </c>
      <c r="DZ207" s="56">
        <f t="shared" si="505"/>
        <v>0</v>
      </c>
      <c r="EA207" s="56">
        <f t="shared" si="505"/>
        <v>0</v>
      </c>
      <c r="EB207" s="56">
        <f t="shared" si="505"/>
        <v>0</v>
      </c>
      <c r="EC207" s="56">
        <f t="shared" si="505"/>
        <v>0</v>
      </c>
      <c r="ED207" s="56">
        <f t="shared" si="505"/>
        <v>0</v>
      </c>
      <c r="EE207" s="56">
        <f t="shared" si="505"/>
        <v>0</v>
      </c>
      <c r="EF207" s="56">
        <f t="shared" si="505"/>
        <v>0</v>
      </c>
      <c r="EG207" s="56">
        <f t="shared" ref="EG207:FH207" si="506">IF($D$14="Levered",EG205,EG196)</f>
        <v>0</v>
      </c>
      <c r="EH207" s="56">
        <f t="shared" si="506"/>
        <v>0</v>
      </c>
      <c r="EI207" s="56">
        <f t="shared" si="506"/>
        <v>0</v>
      </c>
      <c r="EJ207" s="56">
        <f t="shared" si="506"/>
        <v>0</v>
      </c>
      <c r="EK207" s="56">
        <f t="shared" si="506"/>
        <v>0</v>
      </c>
      <c r="EL207" s="56">
        <f t="shared" si="506"/>
        <v>0</v>
      </c>
      <c r="EM207" s="56">
        <f t="shared" si="506"/>
        <v>0</v>
      </c>
      <c r="EN207" s="56">
        <f t="shared" si="506"/>
        <v>0</v>
      </c>
      <c r="EO207" s="56">
        <f t="shared" si="506"/>
        <v>0</v>
      </c>
      <c r="EP207" s="56">
        <f t="shared" si="506"/>
        <v>0</v>
      </c>
      <c r="EQ207" s="56">
        <f t="shared" si="506"/>
        <v>0</v>
      </c>
      <c r="ER207" s="56">
        <f t="shared" si="506"/>
        <v>0</v>
      </c>
      <c r="ES207" s="56">
        <f t="shared" si="506"/>
        <v>0</v>
      </c>
      <c r="ET207" s="56">
        <f t="shared" si="506"/>
        <v>0</v>
      </c>
      <c r="EU207" s="56">
        <f t="shared" si="506"/>
        <v>0</v>
      </c>
      <c r="EV207" s="56">
        <f t="shared" si="506"/>
        <v>0</v>
      </c>
      <c r="EW207" s="56">
        <f t="shared" si="506"/>
        <v>0</v>
      </c>
      <c r="EX207" s="56">
        <f t="shared" si="506"/>
        <v>0</v>
      </c>
      <c r="EY207" s="56">
        <f t="shared" si="506"/>
        <v>0</v>
      </c>
      <c r="EZ207" s="56">
        <f t="shared" si="506"/>
        <v>0</v>
      </c>
      <c r="FA207" s="56">
        <f t="shared" si="506"/>
        <v>0</v>
      </c>
      <c r="FB207" s="56">
        <f t="shared" si="506"/>
        <v>0</v>
      </c>
      <c r="FC207" s="56">
        <f t="shared" si="506"/>
        <v>0</v>
      </c>
      <c r="FD207" s="56">
        <f t="shared" si="506"/>
        <v>0</v>
      </c>
      <c r="FE207" s="56">
        <f t="shared" si="506"/>
        <v>0</v>
      </c>
      <c r="FF207" s="56">
        <f t="shared" si="506"/>
        <v>0</v>
      </c>
      <c r="FG207" s="56">
        <f t="shared" si="506"/>
        <v>0</v>
      </c>
      <c r="FH207" s="56">
        <f t="shared" si="506"/>
        <v>0</v>
      </c>
    </row>
    <row r="208" spans="1:164" x14ac:dyDescent="0.2">
      <c r="A208" s="10"/>
      <c r="B208" s="10"/>
      <c r="C208" s="10"/>
      <c r="D208" s="10"/>
      <c r="E208" s="10"/>
      <c r="F208" s="10"/>
      <c r="G208" s="10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/>
      <c r="AX208" s="12"/>
      <c r="AY208" s="12"/>
      <c r="AZ208" s="12"/>
      <c r="BA208" s="12"/>
      <c r="BB208" s="12"/>
      <c r="BC208" s="12"/>
      <c r="BD208" s="12"/>
      <c r="BE208" s="12"/>
      <c r="BF208" s="12"/>
      <c r="BG208" s="12"/>
      <c r="BH208" s="12"/>
      <c r="BI208" s="12"/>
      <c r="BJ208" s="12"/>
      <c r="BK208" s="12"/>
      <c r="BL208" s="12"/>
      <c r="BM208" s="12"/>
      <c r="BN208" s="12"/>
      <c r="BO208" s="12"/>
      <c r="BP208" s="12"/>
      <c r="BQ208" s="12"/>
      <c r="BR208" s="12"/>
      <c r="BS208" s="12"/>
      <c r="BT208" s="12"/>
      <c r="BU208" s="12"/>
      <c r="BV208" s="12"/>
      <c r="BW208" s="12"/>
      <c r="BX208" s="12"/>
      <c r="BY208" s="12"/>
      <c r="BZ208" s="12"/>
      <c r="CA208" s="12"/>
      <c r="CB208" s="12"/>
      <c r="CC208" s="12"/>
      <c r="CD208" s="12"/>
      <c r="CE208" s="12"/>
      <c r="CF208" s="12"/>
      <c r="CG208" s="12"/>
      <c r="CH208" s="12"/>
      <c r="CI208" s="12"/>
      <c r="CJ208" s="12"/>
      <c r="CK208" s="12"/>
      <c r="CL208" s="12"/>
      <c r="CM208" s="12"/>
      <c r="CN208" s="12"/>
      <c r="CO208" s="12"/>
      <c r="CP208" s="12"/>
      <c r="CQ208" s="12"/>
      <c r="CR208" s="12"/>
      <c r="CS208" s="12"/>
      <c r="CT208" s="12"/>
      <c r="CU208" s="12"/>
      <c r="CV208" s="12"/>
      <c r="CW208" s="12"/>
      <c r="CX208" s="12"/>
      <c r="CY208" s="12"/>
      <c r="CZ208" s="12"/>
      <c r="DA208" s="12"/>
      <c r="DB208" s="12"/>
      <c r="DC208" s="12"/>
      <c r="DD208" s="12"/>
      <c r="DE208" s="12"/>
      <c r="DF208" s="12"/>
      <c r="DG208" s="12"/>
      <c r="DH208" s="12"/>
      <c r="DI208" s="12"/>
      <c r="DJ208" s="12"/>
      <c r="DK208" s="12"/>
      <c r="DL208" s="12"/>
      <c r="DM208" s="12"/>
      <c r="DN208" s="12"/>
      <c r="DO208" s="12"/>
      <c r="DP208" s="12"/>
      <c r="DQ208" s="12"/>
      <c r="DR208" s="12"/>
      <c r="DS208" s="12"/>
      <c r="DT208" s="12"/>
      <c r="DU208" s="12"/>
      <c r="DV208" s="12"/>
      <c r="DW208" s="12"/>
      <c r="DX208" s="12"/>
      <c r="DY208" s="12"/>
      <c r="DZ208" s="12"/>
      <c r="EA208" s="12"/>
      <c r="EB208" s="12"/>
      <c r="EC208" s="12"/>
      <c r="ED208" s="12"/>
      <c r="EE208" s="12"/>
      <c r="EF208" s="12"/>
      <c r="EG208" s="12"/>
      <c r="EH208" s="12"/>
      <c r="EI208" s="12"/>
      <c r="EJ208" s="12"/>
      <c r="EK208" s="12"/>
      <c r="EL208" s="12"/>
      <c r="EM208" s="12"/>
      <c r="EN208" s="12"/>
      <c r="EO208" s="12"/>
      <c r="EP208" s="12"/>
      <c r="EQ208" s="12"/>
      <c r="ER208" s="12"/>
      <c r="ES208" s="12"/>
      <c r="ET208" s="12"/>
      <c r="EU208" s="12"/>
      <c r="EV208" s="12"/>
      <c r="EW208" s="12"/>
      <c r="EX208" s="12"/>
      <c r="EY208" s="12"/>
      <c r="EZ208" s="12"/>
      <c r="FA208" s="12"/>
      <c r="FB208" s="12"/>
      <c r="FC208" s="12"/>
      <c r="FD208" s="12"/>
      <c r="FE208" s="12"/>
      <c r="FF208" s="12"/>
      <c r="FG208" s="12"/>
      <c r="FH208" s="12"/>
    </row>
    <row r="209" spans="1:164" x14ac:dyDescent="0.2">
      <c r="A209" s="10"/>
      <c r="B209" s="24" t="s">
        <v>922</v>
      </c>
      <c r="C209" s="24"/>
      <c r="D209" s="24"/>
      <c r="E209" s="24"/>
      <c r="F209" s="24"/>
      <c r="G209" s="24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  <c r="BI209" s="28"/>
      <c r="BJ209" s="28"/>
      <c r="BK209" s="28"/>
      <c r="BL209" s="28"/>
      <c r="BM209" s="28"/>
      <c r="BN209" s="28"/>
      <c r="BO209" s="28"/>
      <c r="BP209" s="28"/>
      <c r="BQ209" s="28"/>
      <c r="BR209" s="28"/>
      <c r="BS209" s="28"/>
      <c r="BT209" s="28"/>
      <c r="BU209" s="28"/>
      <c r="BV209" s="28"/>
      <c r="BW209" s="28"/>
      <c r="BX209" s="28"/>
      <c r="BY209" s="28"/>
      <c r="BZ209" s="28"/>
      <c r="CA209" s="28"/>
      <c r="CB209" s="28"/>
      <c r="CC209" s="28"/>
      <c r="CD209" s="28"/>
      <c r="CE209" s="28"/>
      <c r="CF209" s="28"/>
      <c r="CG209" s="28"/>
      <c r="CH209" s="28"/>
      <c r="CI209" s="28"/>
      <c r="CJ209" s="28"/>
      <c r="CK209" s="28"/>
      <c r="CL209" s="28"/>
      <c r="CM209" s="28"/>
      <c r="CN209" s="28"/>
      <c r="CO209" s="28"/>
      <c r="CP209" s="28"/>
      <c r="CQ209" s="28"/>
      <c r="CR209" s="28"/>
      <c r="CS209" s="28"/>
      <c r="CT209" s="28"/>
      <c r="CU209" s="28"/>
      <c r="CV209" s="28"/>
      <c r="CW209" s="28"/>
      <c r="CX209" s="28"/>
      <c r="CY209" s="28"/>
      <c r="CZ209" s="28"/>
      <c r="DA209" s="28"/>
      <c r="DB209" s="28"/>
      <c r="DC209" s="28"/>
      <c r="DD209" s="28"/>
      <c r="DE209" s="28"/>
      <c r="DF209" s="28"/>
      <c r="DG209" s="28"/>
      <c r="DH209" s="28"/>
      <c r="DI209" s="28"/>
      <c r="DJ209" s="28"/>
      <c r="DK209" s="28"/>
      <c r="DL209" s="28"/>
      <c r="DM209" s="28"/>
      <c r="DN209" s="28"/>
      <c r="DO209" s="28"/>
      <c r="DP209" s="28"/>
      <c r="DQ209" s="28"/>
      <c r="DR209" s="28"/>
      <c r="DS209" s="28"/>
      <c r="DT209" s="28"/>
      <c r="DU209" s="28"/>
      <c r="DV209" s="28"/>
      <c r="DW209" s="28"/>
      <c r="DX209" s="28"/>
      <c r="DY209" s="28"/>
      <c r="DZ209" s="28"/>
      <c r="EA209" s="28"/>
      <c r="EB209" s="28"/>
      <c r="EC209" s="28"/>
      <c r="ED209" s="28"/>
      <c r="EE209" s="28"/>
      <c r="EF209" s="28"/>
      <c r="EG209" s="28"/>
      <c r="EH209" s="28"/>
      <c r="EI209" s="28"/>
      <c r="EJ209" s="28"/>
      <c r="EK209" s="28"/>
      <c r="EL209" s="28"/>
      <c r="EM209" s="28"/>
      <c r="EN209" s="28"/>
      <c r="EO209" s="28"/>
      <c r="EP209" s="28"/>
      <c r="EQ209" s="28"/>
      <c r="ER209" s="28"/>
      <c r="ES209" s="28"/>
      <c r="ET209" s="28"/>
      <c r="EU209" s="28"/>
      <c r="EV209" s="28"/>
      <c r="EW209" s="28"/>
      <c r="EX209" s="28"/>
      <c r="EY209" s="28"/>
      <c r="EZ209" s="28"/>
      <c r="FA209" s="28"/>
      <c r="FB209" s="28"/>
      <c r="FC209" s="28"/>
      <c r="FD209" s="28"/>
      <c r="FE209" s="28"/>
      <c r="FF209" s="28"/>
      <c r="FG209" s="28"/>
      <c r="FH209" s="28"/>
    </row>
    <row r="210" spans="1:164" x14ac:dyDescent="0.2">
      <c r="A210" s="10"/>
      <c r="B210" s="10"/>
      <c r="C210" s="10" t="s">
        <v>909</v>
      </c>
      <c r="D210" s="10"/>
      <c r="E210" s="10"/>
      <c r="F210" s="10"/>
      <c r="G210" s="10"/>
      <c r="H210" s="12">
        <f>SUM(I210:FH210)</f>
        <v>1063530.8999999994</v>
      </c>
      <c r="I210" s="12">
        <f t="shared" ref="I210:AN210" si="507">I103+I139+I175</f>
        <v>0</v>
      </c>
      <c r="J210" s="12">
        <f t="shared" si="507"/>
        <v>0</v>
      </c>
      <c r="K210" s="12">
        <f t="shared" si="507"/>
        <v>0</v>
      </c>
      <c r="L210" s="12">
        <f t="shared" si="507"/>
        <v>0</v>
      </c>
      <c r="M210" s="12">
        <f t="shared" si="507"/>
        <v>0</v>
      </c>
      <c r="N210" s="12">
        <f t="shared" si="507"/>
        <v>0</v>
      </c>
      <c r="O210" s="12">
        <f t="shared" si="507"/>
        <v>0</v>
      </c>
      <c r="P210" s="12">
        <f t="shared" si="507"/>
        <v>0</v>
      </c>
      <c r="Q210" s="12">
        <f t="shared" si="507"/>
        <v>0</v>
      </c>
      <c r="R210" s="12">
        <f t="shared" si="507"/>
        <v>0</v>
      </c>
      <c r="S210" s="12">
        <f t="shared" si="507"/>
        <v>0</v>
      </c>
      <c r="T210" s="12">
        <f t="shared" si="507"/>
        <v>0</v>
      </c>
      <c r="U210" s="12">
        <f t="shared" si="507"/>
        <v>11978.666666666666</v>
      </c>
      <c r="V210" s="12">
        <f t="shared" si="507"/>
        <v>11978.666666666666</v>
      </c>
      <c r="W210" s="12">
        <f t="shared" si="507"/>
        <v>11978.666666666666</v>
      </c>
      <c r="X210" s="12">
        <f t="shared" si="507"/>
        <v>11978.666666666666</v>
      </c>
      <c r="Y210" s="12">
        <f t="shared" si="507"/>
        <v>11978.666666666666</v>
      </c>
      <c r="Z210" s="12">
        <f t="shared" si="507"/>
        <v>11978.666666666666</v>
      </c>
      <c r="AA210" s="12">
        <f t="shared" si="507"/>
        <v>2395.7333333333331</v>
      </c>
      <c r="AB210" s="12">
        <f t="shared" si="507"/>
        <v>2395.7333333333331</v>
      </c>
      <c r="AC210" s="12">
        <f t="shared" si="507"/>
        <v>2395.7333333333331</v>
      </c>
      <c r="AD210" s="12">
        <f t="shared" si="507"/>
        <v>2395.7333333333331</v>
      </c>
      <c r="AE210" s="12">
        <f t="shared" si="507"/>
        <v>2395.7333333333331</v>
      </c>
      <c r="AF210" s="12">
        <f t="shared" si="507"/>
        <v>2395.7333333333331</v>
      </c>
      <c r="AG210" s="12">
        <f t="shared" si="507"/>
        <v>2395.7333333333331</v>
      </c>
      <c r="AH210" s="12">
        <f t="shared" si="507"/>
        <v>2395.7333333333331</v>
      </c>
      <c r="AI210" s="12">
        <f t="shared" si="507"/>
        <v>2395.7333333333331</v>
      </c>
      <c r="AJ210" s="12">
        <f t="shared" si="507"/>
        <v>2395.7333333333331</v>
      </c>
      <c r="AK210" s="12">
        <f t="shared" si="507"/>
        <v>2395.7333333333331</v>
      </c>
      <c r="AL210" s="12">
        <f t="shared" si="507"/>
        <v>2395.7333333333331</v>
      </c>
      <c r="AM210" s="12">
        <f t="shared" si="507"/>
        <v>2395.7333333333331</v>
      </c>
      <c r="AN210" s="12">
        <f t="shared" si="507"/>
        <v>2395.7333333333331</v>
      </c>
      <c r="AO210" s="12">
        <f t="shared" ref="AO210:BT210" si="508">AO103+AO139+AO175</f>
        <v>2395.7333333333331</v>
      </c>
      <c r="AP210" s="12">
        <f t="shared" si="508"/>
        <v>2395.7333333333331</v>
      </c>
      <c r="AQ210" s="12">
        <f t="shared" si="508"/>
        <v>2395.7333333333331</v>
      </c>
      <c r="AR210" s="12">
        <f t="shared" si="508"/>
        <v>2395.7333333333331</v>
      </c>
      <c r="AS210" s="12">
        <f t="shared" si="508"/>
        <v>33454.933333333327</v>
      </c>
      <c r="AT210" s="12">
        <f t="shared" si="508"/>
        <v>33454.933333333327</v>
      </c>
      <c r="AU210" s="12">
        <f t="shared" si="508"/>
        <v>33454.933333333327</v>
      </c>
      <c r="AV210" s="12">
        <f t="shared" si="508"/>
        <v>33454.933333333327</v>
      </c>
      <c r="AW210" s="12">
        <f t="shared" si="508"/>
        <v>33454.933333333327</v>
      </c>
      <c r="AX210" s="12">
        <f t="shared" si="508"/>
        <v>33454.933333333327</v>
      </c>
      <c r="AY210" s="12">
        <f t="shared" si="508"/>
        <v>8607.5733333333319</v>
      </c>
      <c r="AZ210" s="12">
        <f t="shared" si="508"/>
        <v>8607.5733333333319</v>
      </c>
      <c r="BA210" s="12">
        <f t="shared" si="508"/>
        <v>8607.5733333333319</v>
      </c>
      <c r="BB210" s="12">
        <f t="shared" si="508"/>
        <v>8607.5733333333319</v>
      </c>
      <c r="BC210" s="12">
        <f t="shared" si="508"/>
        <v>8607.5733333333319</v>
      </c>
      <c r="BD210" s="12">
        <f t="shared" si="508"/>
        <v>8607.5733333333319</v>
      </c>
      <c r="BE210" s="12">
        <f t="shared" si="508"/>
        <v>6211.8399999999992</v>
      </c>
      <c r="BF210" s="12">
        <f t="shared" si="508"/>
        <v>9805.4399999999987</v>
      </c>
      <c r="BG210" s="12">
        <f t="shared" si="508"/>
        <v>9805.4399999999987</v>
      </c>
      <c r="BH210" s="12">
        <f t="shared" si="508"/>
        <v>9805.4399999999987</v>
      </c>
      <c r="BI210" s="12">
        <f t="shared" si="508"/>
        <v>9805.4399999999987</v>
      </c>
      <c r="BJ210" s="12">
        <f t="shared" si="508"/>
        <v>9805.4399999999987</v>
      </c>
      <c r="BK210" s="12">
        <f t="shared" si="508"/>
        <v>9805.4399999999987</v>
      </c>
      <c r="BL210" s="12">
        <f t="shared" si="508"/>
        <v>9805.4399999999987</v>
      </c>
      <c r="BM210" s="12">
        <f t="shared" si="508"/>
        <v>9805.4399999999987</v>
      </c>
      <c r="BN210" s="12">
        <f t="shared" si="508"/>
        <v>9805.4399999999987</v>
      </c>
      <c r="BO210" s="12">
        <f t="shared" si="508"/>
        <v>9805.4399999999987</v>
      </c>
      <c r="BP210" s="12">
        <f t="shared" si="508"/>
        <v>6211.8399999999992</v>
      </c>
      <c r="BQ210" s="12">
        <f t="shared" si="508"/>
        <v>34076.033333333326</v>
      </c>
      <c r="BR210" s="12">
        <f t="shared" si="508"/>
        <v>34076.033333333326</v>
      </c>
      <c r="BS210" s="12">
        <f t="shared" si="508"/>
        <v>34076.033333333326</v>
      </c>
      <c r="BT210" s="12">
        <f t="shared" si="508"/>
        <v>34076.033333333326</v>
      </c>
      <c r="BU210" s="12">
        <f t="shared" ref="BU210:CZ210" si="509">BU103+BU139+BU175</f>
        <v>34076.033333333326</v>
      </c>
      <c r="BV210" s="12">
        <f t="shared" si="509"/>
        <v>34076.033333333326</v>
      </c>
      <c r="BW210" s="12">
        <f t="shared" si="509"/>
        <v>11784.678666666663</v>
      </c>
      <c r="BX210" s="12">
        <f t="shared" si="509"/>
        <v>11784.678666666663</v>
      </c>
      <c r="BY210" s="12">
        <f t="shared" si="509"/>
        <v>11784.678666666663</v>
      </c>
      <c r="BZ210" s="12">
        <f t="shared" si="509"/>
        <v>11784.678666666663</v>
      </c>
      <c r="CA210" s="12">
        <f t="shared" si="509"/>
        <v>11784.678666666663</v>
      </c>
      <c r="CB210" s="12">
        <f t="shared" si="509"/>
        <v>11784.678666666663</v>
      </c>
      <c r="CC210" s="12">
        <f t="shared" si="509"/>
        <v>5572.8386666666647</v>
      </c>
      <c r="CD210" s="12">
        <f t="shared" si="509"/>
        <v>14890.598666666663</v>
      </c>
      <c r="CE210" s="12">
        <f t="shared" si="509"/>
        <v>14890.598666666663</v>
      </c>
      <c r="CF210" s="12">
        <f t="shared" si="509"/>
        <v>14890.598666666663</v>
      </c>
      <c r="CG210" s="12">
        <f t="shared" si="509"/>
        <v>14890.598666666663</v>
      </c>
      <c r="CH210" s="12">
        <f t="shared" si="509"/>
        <v>14890.598666666663</v>
      </c>
      <c r="CI210" s="12">
        <f t="shared" si="509"/>
        <v>14890.598666666663</v>
      </c>
      <c r="CJ210" s="12">
        <f t="shared" si="509"/>
        <v>14890.598666666663</v>
      </c>
      <c r="CK210" s="12">
        <f t="shared" si="509"/>
        <v>14890.598666666663</v>
      </c>
      <c r="CL210" s="12">
        <f t="shared" si="509"/>
        <v>14890.598666666663</v>
      </c>
      <c r="CM210" s="12">
        <f t="shared" si="509"/>
        <v>14890.598666666663</v>
      </c>
      <c r="CN210" s="12">
        <f t="shared" si="509"/>
        <v>5572.8386666666647</v>
      </c>
      <c r="CO210" s="12">
        <f t="shared" si="509"/>
        <v>5572.8386666666647</v>
      </c>
      <c r="CP210" s="12">
        <f t="shared" si="509"/>
        <v>5572.8386666666647</v>
      </c>
      <c r="CQ210" s="12">
        <f t="shared" si="509"/>
        <v>5572.8386666666647</v>
      </c>
      <c r="CR210" s="12">
        <f t="shared" si="509"/>
        <v>5572.8386666666647</v>
      </c>
      <c r="CS210" s="12">
        <f t="shared" si="509"/>
        <v>5572.8386666666647</v>
      </c>
      <c r="CT210" s="12">
        <f t="shared" si="509"/>
        <v>5572.8386666666647</v>
      </c>
      <c r="CU210" s="12">
        <f t="shared" si="509"/>
        <v>5572.8386666666647</v>
      </c>
      <c r="CV210" s="12">
        <f t="shared" si="509"/>
        <v>5572.8386666666647</v>
      </c>
      <c r="CW210" s="12">
        <f t="shared" si="509"/>
        <v>5572.8386666666647</v>
      </c>
      <c r="CX210" s="12">
        <f t="shared" si="509"/>
        <v>5572.8386666666647</v>
      </c>
      <c r="CY210" s="12">
        <f t="shared" si="509"/>
        <v>5572.8386666666647</v>
      </c>
      <c r="CZ210" s="12">
        <f t="shared" si="509"/>
        <v>5572.8386666666647</v>
      </c>
      <c r="DA210" s="12">
        <f t="shared" ref="DA210:EF210" si="510">DA103+DA139+DA175</f>
        <v>0</v>
      </c>
      <c r="DB210" s="12">
        <f t="shared" si="510"/>
        <v>8359.257999999998</v>
      </c>
      <c r="DC210" s="12">
        <f t="shared" si="510"/>
        <v>8359.257999999998</v>
      </c>
      <c r="DD210" s="12">
        <f t="shared" si="510"/>
        <v>8359.257999999998</v>
      </c>
      <c r="DE210" s="12">
        <f t="shared" si="510"/>
        <v>8359.257999999998</v>
      </c>
      <c r="DF210" s="12">
        <f t="shared" si="510"/>
        <v>8359.257999999998</v>
      </c>
      <c r="DG210" s="12">
        <f t="shared" si="510"/>
        <v>8359.257999999998</v>
      </c>
      <c r="DH210" s="12">
        <f t="shared" si="510"/>
        <v>8359.257999999998</v>
      </c>
      <c r="DI210" s="12">
        <f t="shared" si="510"/>
        <v>8359.257999999998</v>
      </c>
      <c r="DJ210" s="12">
        <f t="shared" si="510"/>
        <v>8359.257999999998</v>
      </c>
      <c r="DK210" s="12">
        <f t="shared" si="510"/>
        <v>8359.257999999998</v>
      </c>
      <c r="DL210" s="12">
        <f t="shared" si="510"/>
        <v>0</v>
      </c>
      <c r="DM210" s="12">
        <f t="shared" si="510"/>
        <v>0</v>
      </c>
      <c r="DN210" s="12">
        <f t="shared" si="510"/>
        <v>0</v>
      </c>
      <c r="DO210" s="12">
        <f t="shared" si="510"/>
        <v>0</v>
      </c>
      <c r="DP210" s="12">
        <f t="shared" si="510"/>
        <v>0</v>
      </c>
      <c r="DQ210" s="12">
        <f t="shared" si="510"/>
        <v>0</v>
      </c>
      <c r="DR210" s="12">
        <f t="shared" si="510"/>
        <v>0</v>
      </c>
      <c r="DS210" s="12">
        <f t="shared" si="510"/>
        <v>0</v>
      </c>
      <c r="DT210" s="12">
        <f t="shared" si="510"/>
        <v>0</v>
      </c>
      <c r="DU210" s="12">
        <f t="shared" si="510"/>
        <v>0</v>
      </c>
      <c r="DV210" s="12">
        <f t="shared" si="510"/>
        <v>0</v>
      </c>
      <c r="DW210" s="12">
        <f t="shared" si="510"/>
        <v>0</v>
      </c>
      <c r="DX210" s="12">
        <f t="shared" si="510"/>
        <v>0</v>
      </c>
      <c r="DY210" s="12">
        <f t="shared" si="510"/>
        <v>0</v>
      </c>
      <c r="DZ210" s="12">
        <f t="shared" si="510"/>
        <v>0</v>
      </c>
      <c r="EA210" s="12">
        <f t="shared" si="510"/>
        <v>0</v>
      </c>
      <c r="EB210" s="12">
        <f t="shared" si="510"/>
        <v>0</v>
      </c>
      <c r="EC210" s="12">
        <f t="shared" si="510"/>
        <v>0</v>
      </c>
      <c r="ED210" s="12">
        <f t="shared" si="510"/>
        <v>0</v>
      </c>
      <c r="EE210" s="12">
        <f t="shared" si="510"/>
        <v>0</v>
      </c>
      <c r="EF210" s="12">
        <f t="shared" si="510"/>
        <v>0</v>
      </c>
      <c r="EG210" s="12">
        <f t="shared" ref="EG210:FH210" si="511">EG103+EG139+EG175</f>
        <v>0</v>
      </c>
      <c r="EH210" s="12">
        <f t="shared" si="511"/>
        <v>0</v>
      </c>
      <c r="EI210" s="12">
        <f t="shared" si="511"/>
        <v>0</v>
      </c>
      <c r="EJ210" s="12">
        <f t="shared" si="511"/>
        <v>0</v>
      </c>
      <c r="EK210" s="12">
        <f t="shared" si="511"/>
        <v>0</v>
      </c>
      <c r="EL210" s="12">
        <f t="shared" si="511"/>
        <v>0</v>
      </c>
      <c r="EM210" s="12">
        <f t="shared" si="511"/>
        <v>0</v>
      </c>
      <c r="EN210" s="12">
        <f t="shared" si="511"/>
        <v>0</v>
      </c>
      <c r="EO210" s="12">
        <f t="shared" si="511"/>
        <v>0</v>
      </c>
      <c r="EP210" s="12">
        <f t="shared" si="511"/>
        <v>0</v>
      </c>
      <c r="EQ210" s="12">
        <f t="shared" si="511"/>
        <v>0</v>
      </c>
      <c r="ER210" s="12">
        <f t="shared" si="511"/>
        <v>0</v>
      </c>
      <c r="ES210" s="12">
        <f t="shared" si="511"/>
        <v>0</v>
      </c>
      <c r="ET210" s="12">
        <f t="shared" si="511"/>
        <v>0</v>
      </c>
      <c r="EU210" s="12">
        <f t="shared" si="511"/>
        <v>0</v>
      </c>
      <c r="EV210" s="12">
        <f t="shared" si="511"/>
        <v>0</v>
      </c>
      <c r="EW210" s="12">
        <f t="shared" si="511"/>
        <v>0</v>
      </c>
      <c r="EX210" s="12">
        <f t="shared" si="511"/>
        <v>0</v>
      </c>
      <c r="EY210" s="12">
        <f t="shared" si="511"/>
        <v>0</v>
      </c>
      <c r="EZ210" s="12">
        <f t="shared" si="511"/>
        <v>0</v>
      </c>
      <c r="FA210" s="12">
        <f t="shared" si="511"/>
        <v>0</v>
      </c>
      <c r="FB210" s="12">
        <f t="shared" si="511"/>
        <v>0</v>
      </c>
      <c r="FC210" s="12">
        <f t="shared" si="511"/>
        <v>0</v>
      </c>
      <c r="FD210" s="12">
        <f t="shared" si="511"/>
        <v>0</v>
      </c>
      <c r="FE210" s="12">
        <f t="shared" si="511"/>
        <v>0</v>
      </c>
      <c r="FF210" s="12">
        <f t="shared" si="511"/>
        <v>0</v>
      </c>
      <c r="FG210" s="12">
        <f t="shared" si="511"/>
        <v>0</v>
      </c>
      <c r="FH210" s="12">
        <f t="shared" si="511"/>
        <v>0</v>
      </c>
    </row>
    <row r="211" spans="1:164" x14ac:dyDescent="0.2">
      <c r="A211" s="10"/>
      <c r="B211" s="10"/>
      <c r="C211" s="10" t="s">
        <v>923</v>
      </c>
      <c r="D211" s="10"/>
      <c r="E211" s="10"/>
      <c r="F211" s="10"/>
      <c r="G211" s="10"/>
      <c r="H211" s="12">
        <f>SUM(I211:FH211)</f>
        <v>1063530.8999999997</v>
      </c>
      <c r="I211" s="12">
        <f t="shared" ref="I211:AN211" si="512">I109+I145+I181</f>
        <v>0</v>
      </c>
      <c r="J211" s="12">
        <f t="shared" si="512"/>
        <v>0</v>
      </c>
      <c r="K211" s="12">
        <f t="shared" si="512"/>
        <v>0</v>
      </c>
      <c r="L211" s="12">
        <f t="shared" si="512"/>
        <v>0</v>
      </c>
      <c r="M211" s="12">
        <f t="shared" si="512"/>
        <v>0</v>
      </c>
      <c r="N211" s="12">
        <f t="shared" si="512"/>
        <v>0</v>
      </c>
      <c r="O211" s="12">
        <f t="shared" si="512"/>
        <v>0</v>
      </c>
      <c r="P211" s="12">
        <f t="shared" si="512"/>
        <v>0</v>
      </c>
      <c r="Q211" s="12">
        <f t="shared" si="512"/>
        <v>0</v>
      </c>
      <c r="R211" s="12">
        <f t="shared" si="512"/>
        <v>0</v>
      </c>
      <c r="S211" s="12">
        <f t="shared" si="512"/>
        <v>0</v>
      </c>
      <c r="T211" s="12">
        <f t="shared" si="512"/>
        <v>0</v>
      </c>
      <c r="U211" s="12">
        <f t="shared" si="512"/>
        <v>1846.711111111111</v>
      </c>
      <c r="V211" s="12">
        <f t="shared" si="512"/>
        <v>1898.0482539682539</v>
      </c>
      <c r="W211" s="12">
        <f t="shared" si="512"/>
        <v>1950.8953127917835</v>
      </c>
      <c r="X211" s="12">
        <f t="shared" si="512"/>
        <v>2005.3437976402681</v>
      </c>
      <c r="Y211" s="12">
        <f t="shared" si="512"/>
        <v>2061.493797640268</v>
      </c>
      <c r="Z211" s="12">
        <f t="shared" si="512"/>
        <v>2119.4550879628487</v>
      </c>
      <c r="AA211" s="12">
        <f t="shared" si="512"/>
        <v>693.99375462951548</v>
      </c>
      <c r="AB211" s="12">
        <f t="shared" si="512"/>
        <v>706.38547876744644</v>
      </c>
      <c r="AC211" s="12">
        <f t="shared" si="512"/>
        <v>719.21976448173223</v>
      </c>
      <c r="AD211" s="12">
        <f t="shared" si="512"/>
        <v>732.52939411136185</v>
      </c>
      <c r="AE211" s="12">
        <f t="shared" si="512"/>
        <v>746.35093257290032</v>
      </c>
      <c r="AF211" s="12">
        <f t="shared" si="512"/>
        <v>760.72533257290024</v>
      </c>
      <c r="AG211" s="12">
        <f t="shared" si="512"/>
        <v>775.6986659062336</v>
      </c>
      <c r="AH211" s="12">
        <f t="shared" si="512"/>
        <v>791.32301373232053</v>
      </c>
      <c r="AI211" s="12">
        <f t="shared" si="512"/>
        <v>807.65755918686591</v>
      </c>
      <c r="AJ211" s="12">
        <f t="shared" si="512"/>
        <v>824.76994013924696</v>
      </c>
      <c r="AK211" s="12">
        <f t="shared" si="512"/>
        <v>842.73794013924692</v>
      </c>
      <c r="AL211" s="12">
        <f t="shared" si="512"/>
        <v>861.65162434977321</v>
      </c>
      <c r="AM211" s="12">
        <f t="shared" si="512"/>
        <v>881.61606879421765</v>
      </c>
      <c r="AN211" s="12">
        <f t="shared" si="512"/>
        <v>902.75489232362952</v>
      </c>
      <c r="AO211" s="12">
        <f t="shared" ref="AO211:BT211" si="513">AO109+AO145+AO181</f>
        <v>925.21489232362956</v>
      </c>
      <c r="AP211" s="12">
        <f t="shared" si="513"/>
        <v>949.17222565696284</v>
      </c>
      <c r="AQ211" s="12">
        <f t="shared" si="513"/>
        <v>974.84079708553418</v>
      </c>
      <c r="AR211" s="12">
        <f t="shared" si="513"/>
        <v>1002.4838740086111</v>
      </c>
      <c r="AS211" s="12">
        <f t="shared" si="513"/>
        <v>5820.7238740086104</v>
      </c>
      <c r="AT211" s="12">
        <f t="shared" si="513"/>
        <v>5986.5038220605584</v>
      </c>
      <c r="AU211" s="12">
        <f t="shared" si="513"/>
        <v>6159.4657044135001</v>
      </c>
      <c r="AV211" s="12">
        <f t="shared" si="513"/>
        <v>6340.5727751205704</v>
      </c>
      <c r="AW211" s="12">
        <f t="shared" si="513"/>
        <v>6531.0827751205707</v>
      </c>
      <c r="AX211" s="12">
        <f t="shared" si="513"/>
        <v>6732.7063695906163</v>
      </c>
      <c r="AY211" s="12">
        <f t="shared" si="513"/>
        <v>3096.5549029239501</v>
      </c>
      <c r="AZ211" s="12">
        <f t="shared" si="513"/>
        <v>3200.5571098205019</v>
      </c>
      <c r="BA211" s="12">
        <f t="shared" si="513"/>
        <v>3323.674824106216</v>
      </c>
      <c r="BB211" s="12">
        <f t="shared" si="513"/>
        <v>3477.971712995105</v>
      </c>
      <c r="BC211" s="12">
        <f t="shared" si="513"/>
        <v>3693.4892514566432</v>
      </c>
      <c r="BD211" s="12">
        <f t="shared" si="513"/>
        <v>4090.1202914566434</v>
      </c>
      <c r="BE211" s="12">
        <f t="shared" si="513"/>
        <v>9198.4906281262483</v>
      </c>
      <c r="BF211" s="12">
        <f t="shared" si="513"/>
        <v>3309.562628126243</v>
      </c>
      <c r="BG211" s="12">
        <f t="shared" si="513"/>
        <v>3351.9160826716979</v>
      </c>
      <c r="BH211" s="12">
        <f t="shared" si="513"/>
        <v>3396.2863683859832</v>
      </c>
      <c r="BI211" s="12">
        <f t="shared" si="513"/>
        <v>3442.8751683859837</v>
      </c>
      <c r="BJ211" s="12">
        <f t="shared" si="513"/>
        <v>3491.9160104912462</v>
      </c>
      <c r="BK211" s="12">
        <f t="shared" si="513"/>
        <v>3543.6813438245799</v>
      </c>
      <c r="BL211" s="12">
        <f t="shared" si="513"/>
        <v>3598.4916967657564</v>
      </c>
      <c r="BM211" s="12">
        <f t="shared" si="513"/>
        <v>3656.7276967657563</v>
      </c>
      <c r="BN211" s="12">
        <f t="shared" si="513"/>
        <v>3718.8460967657566</v>
      </c>
      <c r="BO211" s="12">
        <f t="shared" si="513"/>
        <v>3785.4015253371845</v>
      </c>
      <c r="BP211" s="12">
        <f t="shared" si="513"/>
        <v>119391.31660226038</v>
      </c>
      <c r="BQ211" s="12">
        <f t="shared" si="513"/>
        <v>6972.6944078158158</v>
      </c>
      <c r="BR211" s="12">
        <f t="shared" si="513"/>
        <v>7176.8192883352967</v>
      </c>
      <c r="BS211" s="12">
        <f t="shared" si="513"/>
        <v>7392.9271530411788</v>
      </c>
      <c r="BT211" s="12">
        <f t="shared" si="513"/>
        <v>7623.113243950269</v>
      </c>
      <c r="BU211" s="12">
        <f t="shared" ref="BU211:CZ211" si="514">BU109+BU145+BU181</f>
        <v>7870.1986502002692</v>
      </c>
      <c r="BV211" s="12">
        <f t="shared" si="514"/>
        <v>8138.1362492786102</v>
      </c>
      <c r="BW211" s="12">
        <f t="shared" si="514"/>
        <v>4977.5932426119443</v>
      </c>
      <c r="BX211" s="12">
        <f t="shared" si="514"/>
        <v>5192.7734701981517</v>
      </c>
      <c r="BY211" s="12">
        <f t="shared" si="514"/>
        <v>5455.571963055294</v>
      </c>
      <c r="BZ211" s="12">
        <f t="shared" si="514"/>
        <v>5797.1241778701087</v>
      </c>
      <c r="CA211" s="12">
        <f t="shared" si="514"/>
        <v>6295.1631701778006</v>
      </c>
      <c r="CB211" s="12">
        <f t="shared" si="514"/>
        <v>7260.3762021778011</v>
      </c>
      <c r="CC211" s="12">
        <f t="shared" si="514"/>
        <v>20439.912608683797</v>
      </c>
      <c r="CD211" s="12">
        <f t="shared" si="514"/>
        <v>5101.9532086837735</v>
      </c>
      <c r="CE211" s="12">
        <f t="shared" si="514"/>
        <v>5139.9498359565005</v>
      </c>
      <c r="CF211" s="12">
        <f t="shared" si="514"/>
        <v>5179.7558264326908</v>
      </c>
      <c r="CG211" s="12">
        <f t="shared" si="514"/>
        <v>5221.552116432691</v>
      </c>
      <c r="CH211" s="12">
        <f t="shared" si="514"/>
        <v>5265.5482111695328</v>
      </c>
      <c r="CI211" s="12">
        <f t="shared" si="514"/>
        <v>5311.9885333917555</v>
      </c>
      <c r="CJ211" s="12">
        <f t="shared" si="514"/>
        <v>5361.1606392741087</v>
      </c>
      <c r="CK211" s="12">
        <f t="shared" si="514"/>
        <v>5413.4060017741085</v>
      </c>
      <c r="CL211" s="12">
        <f t="shared" si="514"/>
        <v>5469.1343884407743</v>
      </c>
      <c r="CM211" s="12">
        <f t="shared" si="514"/>
        <v>5528.8433741550607</v>
      </c>
      <c r="CN211" s="12">
        <f t="shared" si="514"/>
        <v>305159.12935877079</v>
      </c>
      <c r="CO211" s="12">
        <f t="shared" si="514"/>
        <v>2401.5898421037791</v>
      </c>
      <c r="CP211" s="12">
        <f t="shared" si="514"/>
        <v>2477.5830966492335</v>
      </c>
      <c r="CQ211" s="12">
        <f t="shared" si="514"/>
        <v>2561.1756766492335</v>
      </c>
      <c r="CR211" s="12">
        <f t="shared" si="514"/>
        <v>2654.056321093678</v>
      </c>
      <c r="CS211" s="12">
        <f t="shared" si="514"/>
        <v>2758.5470460936776</v>
      </c>
      <c r="CT211" s="12">
        <f t="shared" si="514"/>
        <v>2877.9650175222491</v>
      </c>
      <c r="CU211" s="12">
        <f t="shared" si="514"/>
        <v>3017.2859841889158</v>
      </c>
      <c r="CV211" s="12">
        <f t="shared" si="514"/>
        <v>3184.4711441889158</v>
      </c>
      <c r="CW211" s="12">
        <f t="shared" si="514"/>
        <v>3393.4525941889156</v>
      </c>
      <c r="CX211" s="12">
        <f t="shared" si="514"/>
        <v>3672.0945275222489</v>
      </c>
      <c r="CY211" s="12">
        <f t="shared" si="514"/>
        <v>4090.0574275222489</v>
      </c>
      <c r="CZ211" s="12">
        <f t="shared" si="514"/>
        <v>4925.9832275222489</v>
      </c>
      <c r="DA211" s="12">
        <f t="shared" ref="DA211:EF211" si="515">DA109+DA145+DA181</f>
        <v>16718.515999999996</v>
      </c>
      <c r="DB211" s="12">
        <f t="shared" si="515"/>
        <v>2925.7402999999995</v>
      </c>
      <c r="DC211" s="12">
        <f t="shared" si="515"/>
        <v>2925.7402999999995</v>
      </c>
      <c r="DD211" s="12">
        <f t="shared" si="515"/>
        <v>2925.7402999999995</v>
      </c>
      <c r="DE211" s="12">
        <f t="shared" si="515"/>
        <v>2925.7402999999995</v>
      </c>
      <c r="DF211" s="12">
        <f t="shared" si="515"/>
        <v>2925.7402999999995</v>
      </c>
      <c r="DG211" s="12">
        <f t="shared" si="515"/>
        <v>2925.7402999999995</v>
      </c>
      <c r="DH211" s="12">
        <f t="shared" si="515"/>
        <v>2925.7402999999995</v>
      </c>
      <c r="DI211" s="12">
        <f t="shared" si="515"/>
        <v>2925.7402999999995</v>
      </c>
      <c r="DJ211" s="12">
        <f t="shared" si="515"/>
        <v>2925.7402999999995</v>
      </c>
      <c r="DK211" s="12">
        <f t="shared" si="515"/>
        <v>2925.7402999999995</v>
      </c>
      <c r="DL211" s="12">
        <f t="shared" si="515"/>
        <v>271675.88499999978</v>
      </c>
      <c r="DM211" s="12">
        <f t="shared" si="515"/>
        <v>0</v>
      </c>
      <c r="DN211" s="12">
        <f t="shared" si="515"/>
        <v>0</v>
      </c>
      <c r="DO211" s="12">
        <f t="shared" si="515"/>
        <v>0</v>
      </c>
      <c r="DP211" s="12">
        <f t="shared" si="515"/>
        <v>0</v>
      </c>
      <c r="DQ211" s="12">
        <f t="shared" si="515"/>
        <v>0</v>
      </c>
      <c r="DR211" s="12">
        <f t="shared" si="515"/>
        <v>0</v>
      </c>
      <c r="DS211" s="12">
        <f t="shared" si="515"/>
        <v>0</v>
      </c>
      <c r="DT211" s="12">
        <f t="shared" si="515"/>
        <v>0</v>
      </c>
      <c r="DU211" s="12">
        <f t="shared" si="515"/>
        <v>0</v>
      </c>
      <c r="DV211" s="12">
        <f t="shared" si="515"/>
        <v>0</v>
      </c>
      <c r="DW211" s="12">
        <f t="shared" si="515"/>
        <v>0</v>
      </c>
      <c r="DX211" s="12">
        <f t="shared" si="515"/>
        <v>0</v>
      </c>
      <c r="DY211" s="12">
        <f t="shared" si="515"/>
        <v>0</v>
      </c>
      <c r="DZ211" s="12">
        <f t="shared" si="515"/>
        <v>0</v>
      </c>
      <c r="EA211" s="12">
        <f t="shared" si="515"/>
        <v>0</v>
      </c>
      <c r="EB211" s="12">
        <f t="shared" si="515"/>
        <v>0</v>
      </c>
      <c r="EC211" s="12">
        <f t="shared" si="515"/>
        <v>0</v>
      </c>
      <c r="ED211" s="12">
        <f t="shared" si="515"/>
        <v>0</v>
      </c>
      <c r="EE211" s="12">
        <f t="shared" si="515"/>
        <v>0</v>
      </c>
      <c r="EF211" s="12">
        <f t="shared" si="515"/>
        <v>0</v>
      </c>
      <c r="EG211" s="12">
        <f t="shared" ref="EG211:FH211" si="516">EG109+EG145+EG181</f>
        <v>0</v>
      </c>
      <c r="EH211" s="12">
        <f t="shared" si="516"/>
        <v>0</v>
      </c>
      <c r="EI211" s="12">
        <f t="shared" si="516"/>
        <v>0</v>
      </c>
      <c r="EJ211" s="12">
        <f t="shared" si="516"/>
        <v>0</v>
      </c>
      <c r="EK211" s="12">
        <f t="shared" si="516"/>
        <v>0</v>
      </c>
      <c r="EL211" s="12">
        <f t="shared" si="516"/>
        <v>0</v>
      </c>
      <c r="EM211" s="12">
        <f t="shared" si="516"/>
        <v>0</v>
      </c>
      <c r="EN211" s="12">
        <f t="shared" si="516"/>
        <v>0</v>
      </c>
      <c r="EO211" s="12">
        <f t="shared" si="516"/>
        <v>0</v>
      </c>
      <c r="EP211" s="12">
        <f t="shared" si="516"/>
        <v>0</v>
      </c>
      <c r="EQ211" s="12">
        <f t="shared" si="516"/>
        <v>0</v>
      </c>
      <c r="ER211" s="12">
        <f t="shared" si="516"/>
        <v>0</v>
      </c>
      <c r="ES211" s="12">
        <f t="shared" si="516"/>
        <v>0</v>
      </c>
      <c r="ET211" s="12">
        <f t="shared" si="516"/>
        <v>0</v>
      </c>
      <c r="EU211" s="12">
        <f t="shared" si="516"/>
        <v>0</v>
      </c>
      <c r="EV211" s="12">
        <f t="shared" si="516"/>
        <v>0</v>
      </c>
      <c r="EW211" s="12">
        <f t="shared" si="516"/>
        <v>0</v>
      </c>
      <c r="EX211" s="12">
        <f t="shared" si="516"/>
        <v>0</v>
      </c>
      <c r="EY211" s="12">
        <f t="shared" si="516"/>
        <v>0</v>
      </c>
      <c r="EZ211" s="12">
        <f t="shared" si="516"/>
        <v>0</v>
      </c>
      <c r="FA211" s="12">
        <f t="shared" si="516"/>
        <v>0</v>
      </c>
      <c r="FB211" s="12">
        <f t="shared" si="516"/>
        <v>0</v>
      </c>
      <c r="FC211" s="12">
        <f t="shared" si="516"/>
        <v>0</v>
      </c>
      <c r="FD211" s="12">
        <f t="shared" si="516"/>
        <v>0</v>
      </c>
      <c r="FE211" s="12">
        <f t="shared" si="516"/>
        <v>0</v>
      </c>
      <c r="FF211" s="12">
        <f t="shared" si="516"/>
        <v>0</v>
      </c>
      <c r="FG211" s="12">
        <f t="shared" si="516"/>
        <v>0</v>
      </c>
      <c r="FH211" s="12">
        <f t="shared" si="516"/>
        <v>0</v>
      </c>
    </row>
    <row r="212" spans="1:164" x14ac:dyDescent="0.2">
      <c r="A212" s="10"/>
      <c r="B212" s="10"/>
      <c r="C212" s="10" t="s">
        <v>775</v>
      </c>
      <c r="D212" s="10"/>
      <c r="E212" s="10"/>
      <c r="F212" s="10"/>
      <c r="G212" s="10"/>
      <c r="H212" s="12">
        <f>SUM(I212:FH212)</f>
        <v>969940.18080000021</v>
      </c>
      <c r="I212" s="12">
        <f t="shared" ref="I212:AN212" si="517">I113+I149+I185</f>
        <v>0</v>
      </c>
      <c r="J212" s="12">
        <f t="shared" si="517"/>
        <v>0</v>
      </c>
      <c r="K212" s="12">
        <f t="shared" si="517"/>
        <v>0</v>
      </c>
      <c r="L212" s="12">
        <f t="shared" si="517"/>
        <v>0</v>
      </c>
      <c r="M212" s="12">
        <f t="shared" si="517"/>
        <v>0</v>
      </c>
      <c r="N212" s="12">
        <f t="shared" si="517"/>
        <v>0</v>
      </c>
      <c r="O212" s="12">
        <f t="shared" si="517"/>
        <v>0</v>
      </c>
      <c r="P212" s="12">
        <f t="shared" si="517"/>
        <v>0</v>
      </c>
      <c r="Q212" s="12">
        <f t="shared" si="517"/>
        <v>0</v>
      </c>
      <c r="R212" s="12">
        <f t="shared" si="517"/>
        <v>0</v>
      </c>
      <c r="S212" s="12">
        <f t="shared" si="517"/>
        <v>0</v>
      </c>
      <c r="T212" s="12">
        <f t="shared" si="517"/>
        <v>0</v>
      </c>
      <c r="U212" s="12">
        <f t="shared" si="517"/>
        <v>1197.8666666666668</v>
      </c>
      <c r="V212" s="12">
        <f t="shared" si="517"/>
        <v>1247.1503238095238</v>
      </c>
      <c r="W212" s="12">
        <f t="shared" si="517"/>
        <v>1297.883500280112</v>
      </c>
      <c r="X212" s="12">
        <f t="shared" si="517"/>
        <v>1350.1540457346575</v>
      </c>
      <c r="Y212" s="12">
        <f t="shared" si="517"/>
        <v>1404.0580457346573</v>
      </c>
      <c r="Z212" s="12">
        <f t="shared" si="517"/>
        <v>1459.7008844443346</v>
      </c>
      <c r="AA212" s="12">
        <f t="shared" si="517"/>
        <v>551.23880444433485</v>
      </c>
      <c r="AB212" s="12">
        <f t="shared" si="517"/>
        <v>563.1348596167486</v>
      </c>
      <c r="AC212" s="12">
        <f t="shared" si="517"/>
        <v>575.45577390246297</v>
      </c>
      <c r="AD212" s="12">
        <f t="shared" si="517"/>
        <v>588.23301834690744</v>
      </c>
      <c r="AE212" s="12">
        <f t="shared" si="517"/>
        <v>601.50169526998434</v>
      </c>
      <c r="AF212" s="12">
        <f t="shared" si="517"/>
        <v>615.30111926998427</v>
      </c>
      <c r="AG212" s="12">
        <f t="shared" si="517"/>
        <v>629.67551926998431</v>
      </c>
      <c r="AH212" s="12">
        <f t="shared" si="517"/>
        <v>644.67489318302773</v>
      </c>
      <c r="AI212" s="12">
        <f t="shared" si="517"/>
        <v>660.35605681939126</v>
      </c>
      <c r="AJ212" s="12">
        <f t="shared" si="517"/>
        <v>676.78394253367708</v>
      </c>
      <c r="AK212" s="12">
        <f t="shared" si="517"/>
        <v>694.03322253367708</v>
      </c>
      <c r="AL212" s="12">
        <f t="shared" si="517"/>
        <v>712.19035937578235</v>
      </c>
      <c r="AM212" s="12">
        <f t="shared" si="517"/>
        <v>731.35622604244895</v>
      </c>
      <c r="AN212" s="12">
        <f t="shared" si="517"/>
        <v>751.64949663068433</v>
      </c>
      <c r="AO212" s="12">
        <f t="shared" ref="AO212:BT212" si="518">AO113+AO149+AO185</f>
        <v>773.21109663068444</v>
      </c>
      <c r="AP212" s="12">
        <f t="shared" si="518"/>
        <v>796.21013663068436</v>
      </c>
      <c r="AQ212" s="12">
        <f t="shared" si="518"/>
        <v>820.85196520211286</v>
      </c>
      <c r="AR212" s="12">
        <f t="shared" si="518"/>
        <v>847.38931904826666</v>
      </c>
      <c r="AS212" s="12">
        <f t="shared" si="518"/>
        <v>3982.0581190482653</v>
      </c>
      <c r="AT212" s="12">
        <f t="shared" si="518"/>
        <v>4141.206869178136</v>
      </c>
      <c r="AU212" s="12">
        <f t="shared" si="518"/>
        <v>4307.2502762369595</v>
      </c>
      <c r="AV212" s="12">
        <f t="shared" si="518"/>
        <v>4481.113064115747</v>
      </c>
      <c r="AW212" s="12">
        <f t="shared" si="518"/>
        <v>4664.0026641157474</v>
      </c>
      <c r="AX212" s="12">
        <f t="shared" si="518"/>
        <v>4857.5613148069915</v>
      </c>
      <c r="AY212" s="12">
        <f t="shared" si="518"/>
        <v>2559.5291868069921</v>
      </c>
      <c r="AZ212" s="12">
        <f t="shared" si="518"/>
        <v>2659.3713054276814</v>
      </c>
      <c r="BA212" s="12">
        <f t="shared" si="518"/>
        <v>2777.5643111419672</v>
      </c>
      <c r="BB212" s="12">
        <f t="shared" si="518"/>
        <v>2925.6893244753005</v>
      </c>
      <c r="BC212" s="12">
        <f t="shared" si="518"/>
        <v>3132.5861613983775</v>
      </c>
      <c r="BD212" s="12">
        <f t="shared" si="518"/>
        <v>3513.3519597983777</v>
      </c>
      <c r="BE212" s="12">
        <f t="shared" si="518"/>
        <v>8532.3826830011985</v>
      </c>
      <c r="BF212" s="12">
        <f t="shared" si="518"/>
        <v>2706.5190030011927</v>
      </c>
      <c r="BG212" s="12">
        <f t="shared" si="518"/>
        <v>2747.1783193648298</v>
      </c>
      <c r="BH212" s="12">
        <f t="shared" si="518"/>
        <v>2789.7737936505437</v>
      </c>
      <c r="BI212" s="12">
        <f t="shared" si="518"/>
        <v>2834.4990416505439</v>
      </c>
      <c r="BJ212" s="12">
        <f t="shared" si="518"/>
        <v>2881.5782500715964</v>
      </c>
      <c r="BK212" s="12">
        <f t="shared" si="518"/>
        <v>2931.2729700715963</v>
      </c>
      <c r="BL212" s="12">
        <f t="shared" si="518"/>
        <v>2983.8909088951259</v>
      </c>
      <c r="BM212" s="12">
        <f t="shared" si="518"/>
        <v>3039.7974688951253</v>
      </c>
      <c r="BN212" s="12">
        <f t="shared" si="518"/>
        <v>3099.4311328951258</v>
      </c>
      <c r="BO212" s="12">
        <f t="shared" si="518"/>
        <v>3163.324344323697</v>
      </c>
      <c r="BP212" s="12">
        <f t="shared" si="518"/>
        <v>114317.49561816995</v>
      </c>
      <c r="BQ212" s="12">
        <f t="shared" si="518"/>
        <v>5058.1370315031836</v>
      </c>
      <c r="BR212" s="12">
        <f t="shared" si="518"/>
        <v>5254.0969168018846</v>
      </c>
      <c r="BS212" s="12">
        <f t="shared" si="518"/>
        <v>5461.5604669195309</v>
      </c>
      <c r="BT212" s="12">
        <f t="shared" si="518"/>
        <v>5682.5391141922591</v>
      </c>
      <c r="BU212" s="12">
        <f t="shared" ref="BU212:CZ212" si="519">BU113+BU149+BU185</f>
        <v>5919.7411041922587</v>
      </c>
      <c r="BV212" s="12">
        <f t="shared" si="519"/>
        <v>6176.9611993074668</v>
      </c>
      <c r="BW212" s="12">
        <f t="shared" si="519"/>
        <v>4212.8249369074665</v>
      </c>
      <c r="BX212" s="12">
        <f t="shared" si="519"/>
        <v>4419.3979553902254</v>
      </c>
      <c r="BY212" s="12">
        <f t="shared" si="519"/>
        <v>4671.6845085330824</v>
      </c>
      <c r="BZ212" s="12">
        <f t="shared" si="519"/>
        <v>4999.5746347553049</v>
      </c>
      <c r="CA212" s="12">
        <f t="shared" si="519"/>
        <v>5477.69206737069</v>
      </c>
      <c r="CB212" s="12">
        <f t="shared" si="519"/>
        <v>6404.2965780906889</v>
      </c>
      <c r="CC212" s="12">
        <f t="shared" si="519"/>
        <v>19354.819848336447</v>
      </c>
      <c r="CD212" s="12">
        <f t="shared" si="519"/>
        <v>4183.1263443364223</v>
      </c>
      <c r="CE212" s="12">
        <f t="shared" si="519"/>
        <v>4219.6031065182406</v>
      </c>
      <c r="CF212" s="12">
        <f t="shared" si="519"/>
        <v>4257.8168573753837</v>
      </c>
      <c r="CG212" s="12">
        <f t="shared" si="519"/>
        <v>4297.9412957753839</v>
      </c>
      <c r="CH212" s="12">
        <f t="shared" si="519"/>
        <v>4340.1775467227517</v>
      </c>
      <c r="CI212" s="12">
        <f t="shared" si="519"/>
        <v>4384.7602560560854</v>
      </c>
      <c r="CJ212" s="12">
        <f t="shared" si="519"/>
        <v>4431.9654777031446</v>
      </c>
      <c r="CK212" s="12">
        <f t="shared" si="519"/>
        <v>4482.1210257031435</v>
      </c>
      <c r="CL212" s="12">
        <f t="shared" si="519"/>
        <v>4535.6202769031443</v>
      </c>
      <c r="CM212" s="12">
        <f t="shared" si="519"/>
        <v>4592.940903188859</v>
      </c>
      <c r="CN212" s="12">
        <f t="shared" si="519"/>
        <v>292685.26792841998</v>
      </c>
      <c r="CO212" s="12">
        <f t="shared" si="519"/>
        <v>2038.0299924196279</v>
      </c>
      <c r="CP212" s="12">
        <f t="shared" si="519"/>
        <v>2110.9835167832643</v>
      </c>
      <c r="CQ212" s="12">
        <f t="shared" si="519"/>
        <v>2191.2323935832642</v>
      </c>
      <c r="CR212" s="12">
        <f t="shared" si="519"/>
        <v>2280.3978122499307</v>
      </c>
      <c r="CS212" s="12">
        <f t="shared" si="519"/>
        <v>2380.7089082499306</v>
      </c>
      <c r="CT212" s="12">
        <f t="shared" si="519"/>
        <v>2495.3501608213592</v>
      </c>
      <c r="CU212" s="12">
        <f t="shared" si="519"/>
        <v>2629.0982888213593</v>
      </c>
      <c r="CV212" s="12">
        <f t="shared" si="519"/>
        <v>2789.596042421359</v>
      </c>
      <c r="CW212" s="12">
        <f t="shared" si="519"/>
        <v>2990.2182344213588</v>
      </c>
      <c r="CX212" s="12">
        <f t="shared" si="519"/>
        <v>3257.7144904213587</v>
      </c>
      <c r="CY212" s="12">
        <f t="shared" si="519"/>
        <v>3658.9588744213588</v>
      </c>
      <c r="CZ212" s="12">
        <f t="shared" si="519"/>
        <v>4461.447642421359</v>
      </c>
      <c r="DA212" s="12">
        <f t="shared" ref="DA212:EF212" si="520">DA113+DA149+DA185</f>
        <v>16049.775359999996</v>
      </c>
      <c r="DB212" s="12">
        <f t="shared" si="520"/>
        <v>2407.4663039999996</v>
      </c>
      <c r="DC212" s="12">
        <f t="shared" si="520"/>
        <v>2407.4663039999996</v>
      </c>
      <c r="DD212" s="12">
        <f t="shared" si="520"/>
        <v>2407.4663039999996</v>
      </c>
      <c r="DE212" s="12">
        <f t="shared" si="520"/>
        <v>2407.4663039999996</v>
      </c>
      <c r="DF212" s="12">
        <f t="shared" si="520"/>
        <v>2407.4663039999996</v>
      </c>
      <c r="DG212" s="12">
        <f t="shared" si="520"/>
        <v>2407.4663039999996</v>
      </c>
      <c r="DH212" s="12">
        <f t="shared" si="520"/>
        <v>2407.4663039999996</v>
      </c>
      <c r="DI212" s="12">
        <f t="shared" si="520"/>
        <v>2407.4663039999996</v>
      </c>
      <c r="DJ212" s="12">
        <f t="shared" si="520"/>
        <v>2407.4663039999996</v>
      </c>
      <c r="DK212" s="12">
        <f t="shared" si="520"/>
        <v>2407.4663039999996</v>
      </c>
      <c r="DL212" s="12">
        <f t="shared" si="520"/>
        <v>260808.84959999978</v>
      </c>
      <c r="DM212" s="12">
        <f t="shared" si="520"/>
        <v>0</v>
      </c>
      <c r="DN212" s="12">
        <f t="shared" si="520"/>
        <v>0</v>
      </c>
      <c r="DO212" s="12">
        <f t="shared" si="520"/>
        <v>0</v>
      </c>
      <c r="DP212" s="12">
        <f t="shared" si="520"/>
        <v>0</v>
      </c>
      <c r="DQ212" s="12">
        <f t="shared" si="520"/>
        <v>0</v>
      </c>
      <c r="DR212" s="12">
        <f t="shared" si="520"/>
        <v>0</v>
      </c>
      <c r="DS212" s="12">
        <f t="shared" si="520"/>
        <v>0</v>
      </c>
      <c r="DT212" s="12">
        <f t="shared" si="520"/>
        <v>0</v>
      </c>
      <c r="DU212" s="12">
        <f t="shared" si="520"/>
        <v>0</v>
      </c>
      <c r="DV212" s="12">
        <f t="shared" si="520"/>
        <v>0</v>
      </c>
      <c r="DW212" s="12">
        <f t="shared" si="520"/>
        <v>0</v>
      </c>
      <c r="DX212" s="12">
        <f t="shared" si="520"/>
        <v>0</v>
      </c>
      <c r="DY212" s="12">
        <f t="shared" si="520"/>
        <v>0</v>
      </c>
      <c r="DZ212" s="12">
        <f t="shared" si="520"/>
        <v>0</v>
      </c>
      <c r="EA212" s="12">
        <f t="shared" si="520"/>
        <v>0</v>
      </c>
      <c r="EB212" s="12">
        <f t="shared" si="520"/>
        <v>0</v>
      </c>
      <c r="EC212" s="12">
        <f t="shared" si="520"/>
        <v>0</v>
      </c>
      <c r="ED212" s="12">
        <f t="shared" si="520"/>
        <v>0</v>
      </c>
      <c r="EE212" s="12">
        <f t="shared" si="520"/>
        <v>0</v>
      </c>
      <c r="EF212" s="12">
        <f t="shared" si="520"/>
        <v>0</v>
      </c>
      <c r="EG212" s="12">
        <f t="shared" ref="EG212:FH212" si="521">EG113+EG149+EG185</f>
        <v>0</v>
      </c>
      <c r="EH212" s="12">
        <f t="shared" si="521"/>
        <v>0</v>
      </c>
      <c r="EI212" s="12">
        <f t="shared" si="521"/>
        <v>0</v>
      </c>
      <c r="EJ212" s="12">
        <f t="shared" si="521"/>
        <v>0</v>
      </c>
      <c r="EK212" s="12">
        <f t="shared" si="521"/>
        <v>0</v>
      </c>
      <c r="EL212" s="12">
        <f t="shared" si="521"/>
        <v>0</v>
      </c>
      <c r="EM212" s="12">
        <f t="shared" si="521"/>
        <v>0</v>
      </c>
      <c r="EN212" s="12">
        <f t="shared" si="521"/>
        <v>0</v>
      </c>
      <c r="EO212" s="12">
        <f t="shared" si="521"/>
        <v>0</v>
      </c>
      <c r="EP212" s="12">
        <f t="shared" si="521"/>
        <v>0</v>
      </c>
      <c r="EQ212" s="12">
        <f t="shared" si="521"/>
        <v>0</v>
      </c>
      <c r="ER212" s="12">
        <f t="shared" si="521"/>
        <v>0</v>
      </c>
      <c r="ES212" s="12">
        <f t="shared" si="521"/>
        <v>0</v>
      </c>
      <c r="ET212" s="12">
        <f t="shared" si="521"/>
        <v>0</v>
      </c>
      <c r="EU212" s="12">
        <f t="shared" si="521"/>
        <v>0</v>
      </c>
      <c r="EV212" s="12">
        <f t="shared" si="521"/>
        <v>0</v>
      </c>
      <c r="EW212" s="12">
        <f t="shared" si="521"/>
        <v>0</v>
      </c>
      <c r="EX212" s="12">
        <f t="shared" si="521"/>
        <v>0</v>
      </c>
      <c r="EY212" s="12">
        <f t="shared" si="521"/>
        <v>0</v>
      </c>
      <c r="EZ212" s="12">
        <f t="shared" si="521"/>
        <v>0</v>
      </c>
      <c r="FA212" s="12">
        <f t="shared" si="521"/>
        <v>0</v>
      </c>
      <c r="FB212" s="12">
        <f t="shared" si="521"/>
        <v>0</v>
      </c>
      <c r="FC212" s="12">
        <f t="shared" si="521"/>
        <v>0</v>
      </c>
      <c r="FD212" s="12">
        <f t="shared" si="521"/>
        <v>0</v>
      </c>
      <c r="FE212" s="12">
        <f t="shared" si="521"/>
        <v>0</v>
      </c>
      <c r="FF212" s="12">
        <f t="shared" si="521"/>
        <v>0</v>
      </c>
      <c r="FG212" s="12">
        <f t="shared" si="521"/>
        <v>0</v>
      </c>
      <c r="FH212" s="12">
        <f t="shared" si="521"/>
        <v>0</v>
      </c>
    </row>
    <row r="213" spans="1:164" x14ac:dyDescent="0.2">
      <c r="A213" s="10"/>
      <c r="B213" s="10"/>
      <c r="C213" s="10" t="s">
        <v>924</v>
      </c>
      <c r="D213" s="10"/>
      <c r="E213" s="10"/>
      <c r="F213" s="10"/>
      <c r="G213" s="10"/>
      <c r="H213" s="12">
        <f>SUM(I213:FH213)</f>
        <v>-575980.94275000005</v>
      </c>
      <c r="I213" s="12">
        <f t="shared" ref="I213:AN213" si="522">I123+I159+I195</f>
        <v>0</v>
      </c>
      <c r="J213" s="12">
        <f t="shared" si="522"/>
        <v>0</v>
      </c>
      <c r="K213" s="12">
        <f t="shared" si="522"/>
        <v>0</v>
      </c>
      <c r="L213" s="12">
        <f t="shared" si="522"/>
        <v>0</v>
      </c>
      <c r="M213" s="12">
        <f t="shared" si="522"/>
        <v>0</v>
      </c>
      <c r="N213" s="12">
        <f t="shared" si="522"/>
        <v>0</v>
      </c>
      <c r="O213" s="12">
        <f t="shared" si="522"/>
        <v>-93.941666666666663</v>
      </c>
      <c r="P213" s="12">
        <f t="shared" si="522"/>
        <v>-93.941666666666663</v>
      </c>
      <c r="Q213" s="12">
        <f t="shared" si="522"/>
        <v>-93.941666666666663</v>
      </c>
      <c r="R213" s="12">
        <f t="shared" si="522"/>
        <v>-393.4083333333333</v>
      </c>
      <c r="S213" s="12">
        <f t="shared" si="522"/>
        <v>-393.4083333333333</v>
      </c>
      <c r="T213" s="12">
        <f t="shared" si="522"/>
        <v>-393.4083333333333</v>
      </c>
      <c r="U213" s="12">
        <f t="shared" si="522"/>
        <v>-874.3711976926752</v>
      </c>
      <c r="V213" s="12">
        <f t="shared" si="522"/>
        <v>-874.3711976926752</v>
      </c>
      <c r="W213" s="12">
        <f t="shared" si="522"/>
        <v>-874.3711976926752</v>
      </c>
      <c r="X213" s="12">
        <f t="shared" si="522"/>
        <v>-874.3711976926752</v>
      </c>
      <c r="Y213" s="12">
        <f t="shared" si="522"/>
        <v>-874.3711976926752</v>
      </c>
      <c r="Z213" s="12">
        <f t="shared" si="522"/>
        <v>-874.3711976926752</v>
      </c>
      <c r="AA213" s="12">
        <f t="shared" si="522"/>
        <v>-1303.0896949737544</v>
      </c>
      <c r="AB213" s="12">
        <f t="shared" si="522"/>
        <v>-1728.3459259959814</v>
      </c>
      <c r="AC213" s="12">
        <f t="shared" si="522"/>
        <v>-2146.6005305539438</v>
      </c>
      <c r="AD213" s="12">
        <f t="shared" si="522"/>
        <v>-2553.2710236747012</v>
      </c>
      <c r="AE213" s="12">
        <f t="shared" si="522"/>
        <v>-2943.9018383343514</v>
      </c>
      <c r="AF213" s="12">
        <f t="shared" si="522"/>
        <v>-3314.2131415827293</v>
      </c>
      <c r="AG213" s="12">
        <f t="shared" si="522"/>
        <v>-3179.1848609294834</v>
      </c>
      <c r="AH213" s="12">
        <f t="shared" si="522"/>
        <v>-3496.9525934027452</v>
      </c>
      <c r="AI213" s="12">
        <f t="shared" si="522"/>
        <v>-3783.0719448690247</v>
      </c>
      <c r="AJ213" s="12">
        <f t="shared" si="522"/>
        <v>-3734.9414651726661</v>
      </c>
      <c r="AK213" s="12">
        <f t="shared" si="522"/>
        <v>-3948.7407957870796</v>
      </c>
      <c r="AL213" s="12">
        <f t="shared" si="522"/>
        <v>-4122.6608398389972</v>
      </c>
      <c r="AM213" s="12">
        <f t="shared" si="522"/>
        <v>-4477.8210929306806</v>
      </c>
      <c r="AN213" s="12">
        <f t="shared" si="522"/>
        <v>-4566.7238535781753</v>
      </c>
      <c r="AO213" s="12">
        <f t="shared" ref="AO213:BT213" si="523">AO123+AO159+AO195</f>
        <v>-4611.42008453173</v>
      </c>
      <c r="AP213" s="12">
        <f t="shared" si="523"/>
        <v>-5387.9000845317305</v>
      </c>
      <c r="AQ213" s="12">
        <f t="shared" si="523"/>
        <v>-5343.2038535781758</v>
      </c>
      <c r="AR213" s="12">
        <f t="shared" si="523"/>
        <v>-5254.3010929306811</v>
      </c>
      <c r="AS213" s="12">
        <f t="shared" si="523"/>
        <v>-6160.2059790976491</v>
      </c>
      <c r="AT213" s="12">
        <f t="shared" si="523"/>
        <v>-5986.285935045732</v>
      </c>
      <c r="AU213" s="12">
        <f t="shared" si="523"/>
        <v>-5772.4866044313203</v>
      </c>
      <c r="AV213" s="12">
        <f t="shared" si="523"/>
        <v>-5521.1504174610109</v>
      </c>
      <c r="AW213" s="12">
        <f t="shared" si="523"/>
        <v>-5235.0310659947318</v>
      </c>
      <c r="AX213" s="12">
        <f t="shared" si="523"/>
        <v>-4917.2633335214687</v>
      </c>
      <c r="AY213" s="12">
        <f t="shared" si="523"/>
        <v>-5614.9970504555349</v>
      </c>
      <c r="AZ213" s="12">
        <f t="shared" si="523"/>
        <v>-6175.3808198390288</v>
      </c>
      <c r="BA213" s="12">
        <f t="shared" si="523"/>
        <v>-6700.1216591865896</v>
      </c>
      <c r="BB213" s="12">
        <f t="shared" si="523"/>
        <v>-7183.470398053244</v>
      </c>
      <c r="BC213" s="12">
        <f t="shared" si="523"/>
        <v>-7620.1313665087418</v>
      </c>
      <c r="BD213" s="12">
        <f t="shared" si="523"/>
        <v>-8005.3204156055017</v>
      </c>
      <c r="BE213" s="12">
        <f t="shared" si="523"/>
        <v>-7201.7156915380583</v>
      </c>
      <c r="BF213" s="12">
        <f t="shared" si="523"/>
        <v>-7897.1666720994945</v>
      </c>
      <c r="BG213" s="12">
        <f t="shared" si="523"/>
        <v>-8523.3535476079123</v>
      </c>
      <c r="BH213" s="12">
        <f t="shared" si="523"/>
        <v>-8296.9356836172101</v>
      </c>
      <c r="BI213" s="12">
        <f t="shared" si="523"/>
        <v>-8764.8464842573703</v>
      </c>
      <c r="BJ213" s="12">
        <f t="shared" si="523"/>
        <v>-9145.4794208799467</v>
      </c>
      <c r="BK213" s="12">
        <f t="shared" si="523"/>
        <v>-9666.5102827120754</v>
      </c>
      <c r="BL213" s="12">
        <f t="shared" si="523"/>
        <v>-9861.0785341380488</v>
      </c>
      <c r="BM213" s="12">
        <f t="shared" si="523"/>
        <v>-9958.8985280125544</v>
      </c>
      <c r="BN213" s="12">
        <f t="shared" si="523"/>
        <v>-10655.503361345887</v>
      </c>
      <c r="BO213" s="12">
        <f t="shared" si="523"/>
        <v>-10557.683367471382</v>
      </c>
      <c r="BP213" s="12">
        <f t="shared" si="523"/>
        <v>-10363.115116045408</v>
      </c>
      <c r="BQ213" s="12">
        <f t="shared" si="523"/>
        <v>-11054.927333928619</v>
      </c>
      <c r="BR213" s="12">
        <f t="shared" si="523"/>
        <v>-10674.294397306043</v>
      </c>
      <c r="BS213" s="12">
        <f t="shared" si="523"/>
        <v>-10206.383596665886</v>
      </c>
      <c r="BT213" s="12">
        <f t="shared" si="523"/>
        <v>-9656.3214606565853</v>
      </c>
      <c r="BU213" s="12">
        <f t="shared" ref="BU213:CZ213" si="524">BU123+BU159+BU195</f>
        <v>-9030.1345851481674</v>
      </c>
      <c r="BV213" s="12">
        <f t="shared" si="524"/>
        <v>-8334.6836045867294</v>
      </c>
      <c r="BW213" s="12">
        <f t="shared" si="524"/>
        <v>-8623.6978737042537</v>
      </c>
      <c r="BX213" s="12">
        <f t="shared" si="524"/>
        <v>-8923.470184564103</v>
      </c>
      <c r="BY213" s="12">
        <f t="shared" si="524"/>
        <v>-9160.4930374073028</v>
      </c>
      <c r="BZ213" s="12">
        <f t="shared" si="524"/>
        <v>-9332.169560257882</v>
      </c>
      <c r="CA213" s="12">
        <f t="shared" si="524"/>
        <v>-9436.6188292058741</v>
      </c>
      <c r="CB213" s="12">
        <f t="shared" si="524"/>
        <v>-9472.6964762032603</v>
      </c>
      <c r="CC213" s="12">
        <f t="shared" si="524"/>
        <v>-8128.138531257966</v>
      </c>
      <c r="CD213" s="12">
        <f t="shared" si="524"/>
        <v>-8957.7356087404896</v>
      </c>
      <c r="CE213" s="12">
        <f t="shared" si="524"/>
        <v>-9704.7081724434247</v>
      </c>
      <c r="CF213" s="12">
        <f t="shared" si="524"/>
        <v>-9664.2674013114465</v>
      </c>
      <c r="CG213" s="12">
        <f t="shared" si="524"/>
        <v>-10222.43389123459</v>
      </c>
      <c r="CH213" s="12">
        <f t="shared" si="524"/>
        <v>-10676.48742001207</v>
      </c>
      <c r="CI213" s="12">
        <f t="shared" si="524"/>
        <v>-11021.453282165798</v>
      </c>
      <c r="CJ213" s="12">
        <f t="shared" si="524"/>
        <v>-11253.551959521266</v>
      </c>
      <c r="CK213" s="12">
        <f t="shared" si="524"/>
        <v>-11370.240530399598</v>
      </c>
      <c r="CL213" s="12">
        <f t="shared" si="524"/>
        <v>-11370.240530399598</v>
      </c>
      <c r="CM213" s="12">
        <f t="shared" si="524"/>
        <v>-11253.551959521266</v>
      </c>
      <c r="CN213" s="12">
        <f t="shared" si="524"/>
        <v>-11021.453282165798</v>
      </c>
      <c r="CO213" s="12">
        <f t="shared" si="524"/>
        <v>-10676.48742001207</v>
      </c>
      <c r="CP213" s="12">
        <f t="shared" si="524"/>
        <v>-10222.43389123459</v>
      </c>
      <c r="CQ213" s="12">
        <f t="shared" si="524"/>
        <v>-9664.2674013114502</v>
      </c>
      <c r="CR213" s="12">
        <f t="shared" si="524"/>
        <v>-9008.1033391100937</v>
      </c>
      <c r="CS213" s="12">
        <f t="shared" si="524"/>
        <v>-8261.1307754071586</v>
      </c>
      <c r="CT213" s="12">
        <f t="shared" si="524"/>
        <v>-7431.5336979246322</v>
      </c>
      <c r="CU213" s="12">
        <f t="shared" si="524"/>
        <v>-6528.4013458477657</v>
      </c>
      <c r="CV213" s="12">
        <f t="shared" si="524"/>
        <v>-5561.6286262185022</v>
      </c>
      <c r="CW213" s="12">
        <f t="shared" si="524"/>
        <v>-4541.8077032633</v>
      </c>
      <c r="CX213" s="12">
        <f t="shared" si="524"/>
        <v>-3480.1119484253054</v>
      </c>
      <c r="CY213" s="12">
        <f t="shared" si="524"/>
        <v>-2388.1735225686466</v>
      </c>
      <c r="CZ213" s="12">
        <f t="shared" si="524"/>
        <v>-1277.9559315898077</v>
      </c>
      <c r="DA213" s="12">
        <f t="shared" ref="DA213:EF213" si="525">DA123+DA159+DA195</f>
        <v>0</v>
      </c>
      <c r="DB213" s="12">
        <f t="shared" si="525"/>
        <v>0</v>
      </c>
      <c r="DC213" s="12">
        <f t="shared" si="525"/>
        <v>0</v>
      </c>
      <c r="DD213" s="12">
        <f t="shared" si="525"/>
        <v>0</v>
      </c>
      <c r="DE213" s="12">
        <f t="shared" si="525"/>
        <v>0</v>
      </c>
      <c r="DF213" s="12">
        <f t="shared" si="525"/>
        <v>0</v>
      </c>
      <c r="DG213" s="12">
        <f t="shared" si="525"/>
        <v>0</v>
      </c>
      <c r="DH213" s="12">
        <f t="shared" si="525"/>
        <v>0</v>
      </c>
      <c r="DI213" s="12">
        <f t="shared" si="525"/>
        <v>0</v>
      </c>
      <c r="DJ213" s="12">
        <f t="shared" si="525"/>
        <v>0</v>
      </c>
      <c r="DK213" s="12">
        <f t="shared" si="525"/>
        <v>0</v>
      </c>
      <c r="DL213" s="12">
        <f t="shared" si="525"/>
        <v>0</v>
      </c>
      <c r="DM213" s="12">
        <f t="shared" si="525"/>
        <v>0</v>
      </c>
      <c r="DN213" s="12">
        <f t="shared" si="525"/>
        <v>0</v>
      </c>
      <c r="DO213" s="12">
        <f t="shared" si="525"/>
        <v>0</v>
      </c>
      <c r="DP213" s="12">
        <f t="shared" si="525"/>
        <v>0</v>
      </c>
      <c r="DQ213" s="12">
        <f t="shared" si="525"/>
        <v>0</v>
      </c>
      <c r="DR213" s="12">
        <f t="shared" si="525"/>
        <v>0</v>
      </c>
      <c r="DS213" s="12">
        <f t="shared" si="525"/>
        <v>0</v>
      </c>
      <c r="DT213" s="12">
        <f t="shared" si="525"/>
        <v>0</v>
      </c>
      <c r="DU213" s="12">
        <f t="shared" si="525"/>
        <v>0</v>
      </c>
      <c r="DV213" s="12">
        <f t="shared" si="525"/>
        <v>0</v>
      </c>
      <c r="DW213" s="12">
        <f t="shared" si="525"/>
        <v>0</v>
      </c>
      <c r="DX213" s="12">
        <f t="shared" si="525"/>
        <v>0</v>
      </c>
      <c r="DY213" s="12">
        <f t="shared" si="525"/>
        <v>0</v>
      </c>
      <c r="DZ213" s="12">
        <f t="shared" si="525"/>
        <v>0</v>
      </c>
      <c r="EA213" s="12">
        <f t="shared" si="525"/>
        <v>0</v>
      </c>
      <c r="EB213" s="12">
        <f t="shared" si="525"/>
        <v>0</v>
      </c>
      <c r="EC213" s="12">
        <f t="shared" si="525"/>
        <v>0</v>
      </c>
      <c r="ED213" s="12">
        <f t="shared" si="525"/>
        <v>0</v>
      </c>
      <c r="EE213" s="12">
        <f t="shared" si="525"/>
        <v>0</v>
      </c>
      <c r="EF213" s="12">
        <f t="shared" si="525"/>
        <v>0</v>
      </c>
      <c r="EG213" s="12">
        <f t="shared" ref="EG213:FH213" si="526">EG123+EG159+EG195</f>
        <v>0</v>
      </c>
      <c r="EH213" s="12">
        <f t="shared" si="526"/>
        <v>0</v>
      </c>
      <c r="EI213" s="12">
        <f t="shared" si="526"/>
        <v>0</v>
      </c>
      <c r="EJ213" s="12">
        <f t="shared" si="526"/>
        <v>0</v>
      </c>
      <c r="EK213" s="12">
        <f t="shared" si="526"/>
        <v>0</v>
      </c>
      <c r="EL213" s="12">
        <f t="shared" si="526"/>
        <v>0</v>
      </c>
      <c r="EM213" s="12">
        <f t="shared" si="526"/>
        <v>0</v>
      </c>
      <c r="EN213" s="12">
        <f t="shared" si="526"/>
        <v>0</v>
      </c>
      <c r="EO213" s="12">
        <f t="shared" si="526"/>
        <v>0</v>
      </c>
      <c r="EP213" s="12">
        <f t="shared" si="526"/>
        <v>0</v>
      </c>
      <c r="EQ213" s="12">
        <f t="shared" si="526"/>
        <v>0</v>
      </c>
      <c r="ER213" s="12">
        <f t="shared" si="526"/>
        <v>0</v>
      </c>
      <c r="ES213" s="12">
        <f t="shared" si="526"/>
        <v>0</v>
      </c>
      <c r="ET213" s="12">
        <f t="shared" si="526"/>
        <v>0</v>
      </c>
      <c r="EU213" s="12">
        <f t="shared" si="526"/>
        <v>0</v>
      </c>
      <c r="EV213" s="12">
        <f t="shared" si="526"/>
        <v>0</v>
      </c>
      <c r="EW213" s="12">
        <f t="shared" si="526"/>
        <v>0</v>
      </c>
      <c r="EX213" s="12">
        <f t="shared" si="526"/>
        <v>0</v>
      </c>
      <c r="EY213" s="12">
        <f t="shared" si="526"/>
        <v>0</v>
      </c>
      <c r="EZ213" s="12">
        <f t="shared" si="526"/>
        <v>0</v>
      </c>
      <c r="FA213" s="12">
        <f t="shared" si="526"/>
        <v>0</v>
      </c>
      <c r="FB213" s="12">
        <f t="shared" si="526"/>
        <v>0</v>
      </c>
      <c r="FC213" s="12">
        <f t="shared" si="526"/>
        <v>0</v>
      </c>
      <c r="FD213" s="12">
        <f t="shared" si="526"/>
        <v>0</v>
      </c>
      <c r="FE213" s="12">
        <f t="shared" si="526"/>
        <v>0</v>
      </c>
      <c r="FF213" s="12">
        <f t="shared" si="526"/>
        <v>0</v>
      </c>
      <c r="FG213" s="12">
        <f t="shared" si="526"/>
        <v>0</v>
      </c>
      <c r="FH213" s="12">
        <f t="shared" si="526"/>
        <v>0</v>
      </c>
    </row>
    <row r="214" spans="1:164" x14ac:dyDescent="0.2">
      <c r="A214" s="10"/>
      <c r="B214" s="31" t="s">
        <v>915</v>
      </c>
      <c r="C214" s="31"/>
      <c r="D214" s="31"/>
      <c r="E214" s="31"/>
      <c r="F214" s="31"/>
      <c r="G214" s="31"/>
      <c r="H214" s="32">
        <f>SUM(I214:FH214)</f>
        <v>393959.23805000022</v>
      </c>
      <c r="I214" s="32">
        <f t="shared" ref="I214:AN214" si="527">I124+I160+I196</f>
        <v>0</v>
      </c>
      <c r="J214" s="32">
        <f t="shared" si="527"/>
        <v>0</v>
      </c>
      <c r="K214" s="32">
        <f t="shared" si="527"/>
        <v>0</v>
      </c>
      <c r="L214" s="32">
        <f t="shared" si="527"/>
        <v>0</v>
      </c>
      <c r="M214" s="32">
        <f t="shared" si="527"/>
        <v>0</v>
      </c>
      <c r="N214" s="32">
        <f t="shared" si="527"/>
        <v>0</v>
      </c>
      <c r="O214" s="32">
        <f t="shared" si="527"/>
        <v>-93.941666666666663</v>
      </c>
      <c r="P214" s="32">
        <f t="shared" si="527"/>
        <v>-93.941666666666663</v>
      </c>
      <c r="Q214" s="32">
        <f t="shared" si="527"/>
        <v>-93.941666666666663</v>
      </c>
      <c r="R214" s="32">
        <f t="shared" si="527"/>
        <v>-393.4083333333333</v>
      </c>
      <c r="S214" s="32">
        <f t="shared" si="527"/>
        <v>-393.4083333333333</v>
      </c>
      <c r="T214" s="32">
        <f t="shared" si="527"/>
        <v>-393.4083333333333</v>
      </c>
      <c r="U214" s="32">
        <f t="shared" si="527"/>
        <v>323.49546897399159</v>
      </c>
      <c r="V214" s="32">
        <f t="shared" si="527"/>
        <v>372.7791261168486</v>
      </c>
      <c r="W214" s="32">
        <f t="shared" si="527"/>
        <v>423.51230258743681</v>
      </c>
      <c r="X214" s="32">
        <f t="shared" si="527"/>
        <v>475.78284804198233</v>
      </c>
      <c r="Y214" s="32">
        <f t="shared" si="527"/>
        <v>529.6868480419821</v>
      </c>
      <c r="Z214" s="32">
        <f t="shared" si="527"/>
        <v>585.32968675165944</v>
      </c>
      <c r="AA214" s="32">
        <f t="shared" si="527"/>
        <v>-751.85089052941953</v>
      </c>
      <c r="AB214" s="32">
        <f t="shared" si="527"/>
        <v>-1165.2110663792328</v>
      </c>
      <c r="AC214" s="32">
        <f t="shared" si="527"/>
        <v>-1571.1447566514807</v>
      </c>
      <c r="AD214" s="32">
        <f t="shared" si="527"/>
        <v>-1965.0380053277936</v>
      </c>
      <c r="AE214" s="32">
        <f t="shared" si="527"/>
        <v>-2342.4001430643671</v>
      </c>
      <c r="AF214" s="32">
        <f t="shared" si="527"/>
        <v>-2698.9120223127452</v>
      </c>
      <c r="AG214" s="32">
        <f t="shared" si="527"/>
        <v>-2549.5093416594991</v>
      </c>
      <c r="AH214" s="32">
        <f t="shared" si="527"/>
        <v>-2852.2777002197172</v>
      </c>
      <c r="AI214" s="32">
        <f t="shared" si="527"/>
        <v>-3122.7158880496336</v>
      </c>
      <c r="AJ214" s="32">
        <f t="shared" si="527"/>
        <v>-3058.1575226389891</v>
      </c>
      <c r="AK214" s="32">
        <f t="shared" si="527"/>
        <v>-3254.7075732534026</v>
      </c>
      <c r="AL214" s="32">
        <f t="shared" si="527"/>
        <v>-3410.4704804632147</v>
      </c>
      <c r="AM214" s="32">
        <f t="shared" si="527"/>
        <v>-3746.4648668882323</v>
      </c>
      <c r="AN214" s="32">
        <f t="shared" si="527"/>
        <v>-3815.0743569474912</v>
      </c>
      <c r="AO214" s="32">
        <f t="shared" ref="AO214:BT214" si="528">AO124+AO160+AO196</f>
        <v>-3838.2089879010459</v>
      </c>
      <c r="AP214" s="32">
        <f t="shared" si="528"/>
        <v>-4591.6899479010463</v>
      </c>
      <c r="AQ214" s="32">
        <f t="shared" si="528"/>
        <v>-4522.3518883760626</v>
      </c>
      <c r="AR214" s="32">
        <f t="shared" si="528"/>
        <v>-4406.9117738824143</v>
      </c>
      <c r="AS214" s="32">
        <f t="shared" si="528"/>
        <v>-2178.1478600493842</v>
      </c>
      <c r="AT214" s="32">
        <f t="shared" si="528"/>
        <v>-1845.079065867596</v>
      </c>
      <c r="AU214" s="32">
        <f t="shared" si="528"/>
        <v>-1465.2363281943608</v>
      </c>
      <c r="AV214" s="32">
        <f t="shared" si="528"/>
        <v>-1040.0373533452635</v>
      </c>
      <c r="AW214" s="32">
        <f t="shared" si="528"/>
        <v>-571.02840187898391</v>
      </c>
      <c r="AX214" s="32">
        <f t="shared" si="528"/>
        <v>-59.702018714477163</v>
      </c>
      <c r="AY214" s="32">
        <f t="shared" si="528"/>
        <v>-3055.4678636485423</v>
      </c>
      <c r="AZ214" s="32">
        <f t="shared" si="528"/>
        <v>-3516.0095144113484</v>
      </c>
      <c r="BA214" s="32">
        <f t="shared" si="528"/>
        <v>-3922.5573480446224</v>
      </c>
      <c r="BB214" s="32">
        <f t="shared" si="528"/>
        <v>-4257.781073577944</v>
      </c>
      <c r="BC214" s="32">
        <f t="shared" si="528"/>
        <v>-4487.5452051103639</v>
      </c>
      <c r="BD214" s="32">
        <f t="shared" si="528"/>
        <v>-4491.968455807124</v>
      </c>
      <c r="BE214" s="32">
        <f t="shared" si="528"/>
        <v>1330.6669914631411</v>
      </c>
      <c r="BF214" s="32">
        <f t="shared" si="528"/>
        <v>-5190.6476690983018</v>
      </c>
      <c r="BG214" s="32">
        <f t="shared" si="528"/>
        <v>-5776.1752282430825</v>
      </c>
      <c r="BH214" s="32">
        <f t="shared" si="528"/>
        <v>-5507.1618899666664</v>
      </c>
      <c r="BI214" s="32">
        <f t="shared" si="528"/>
        <v>-5930.347442606826</v>
      </c>
      <c r="BJ214" s="32">
        <f t="shared" si="528"/>
        <v>-6263.9011708083508</v>
      </c>
      <c r="BK214" s="32">
        <f t="shared" si="528"/>
        <v>-6735.2373126404782</v>
      </c>
      <c r="BL214" s="32">
        <f t="shared" si="528"/>
        <v>-6877.187625242922</v>
      </c>
      <c r="BM214" s="32">
        <f t="shared" si="528"/>
        <v>-6919.1010591174281</v>
      </c>
      <c r="BN214" s="32">
        <f t="shared" si="528"/>
        <v>-7556.072228450761</v>
      </c>
      <c r="BO214" s="32">
        <f t="shared" si="528"/>
        <v>-7394.3590231476846</v>
      </c>
      <c r="BP214" s="32">
        <f t="shared" si="528"/>
        <v>103954.38050212455</v>
      </c>
      <c r="BQ214" s="32">
        <f t="shared" si="528"/>
        <v>-5996.7903024254356</v>
      </c>
      <c r="BR214" s="32">
        <f t="shared" si="528"/>
        <v>-5420.1974805041582</v>
      </c>
      <c r="BS214" s="32">
        <f t="shared" si="528"/>
        <v>-4744.8231297463544</v>
      </c>
      <c r="BT214" s="32">
        <f t="shared" si="528"/>
        <v>-3973.782346464327</v>
      </c>
      <c r="BU214" s="32">
        <f t="shared" ref="BU214:CZ214" si="529">BU124+BU160+BU196</f>
        <v>-3110.3934809559096</v>
      </c>
      <c r="BV214" s="32">
        <f t="shared" si="529"/>
        <v>-2157.7224052792635</v>
      </c>
      <c r="BW214" s="32">
        <f t="shared" si="529"/>
        <v>-4410.8729367967871</v>
      </c>
      <c r="BX214" s="32">
        <f t="shared" si="529"/>
        <v>-4504.0722291738766</v>
      </c>
      <c r="BY214" s="32">
        <f t="shared" si="529"/>
        <v>-4488.8085288742204</v>
      </c>
      <c r="BZ214" s="32">
        <f t="shared" si="529"/>
        <v>-4332.594925502578</v>
      </c>
      <c r="CA214" s="32">
        <f t="shared" si="529"/>
        <v>-3958.9267618351846</v>
      </c>
      <c r="CB214" s="32">
        <f t="shared" si="529"/>
        <v>-3068.3998981125706</v>
      </c>
      <c r="CC214" s="32">
        <f t="shared" si="529"/>
        <v>11226.681317078479</v>
      </c>
      <c r="CD214" s="32">
        <f t="shared" si="529"/>
        <v>-4774.6092644040673</v>
      </c>
      <c r="CE214" s="32">
        <f t="shared" si="529"/>
        <v>-5485.1050659251841</v>
      </c>
      <c r="CF214" s="32">
        <f t="shared" si="529"/>
        <v>-5406.4505439360628</v>
      </c>
      <c r="CG214" s="32">
        <f t="shared" si="529"/>
        <v>-5924.4925954592063</v>
      </c>
      <c r="CH214" s="32">
        <f t="shared" si="529"/>
        <v>-6336.3098732893186</v>
      </c>
      <c r="CI214" s="32">
        <f t="shared" si="529"/>
        <v>-6636.6930261097123</v>
      </c>
      <c r="CJ214" s="32">
        <f t="shared" si="529"/>
        <v>-6821.5864818181226</v>
      </c>
      <c r="CK214" s="32">
        <f t="shared" si="529"/>
        <v>-6888.119504696454</v>
      </c>
      <c r="CL214" s="32">
        <f t="shared" si="529"/>
        <v>-6834.620253496455</v>
      </c>
      <c r="CM214" s="32">
        <f t="shared" si="529"/>
        <v>-6660.6110563324082</v>
      </c>
      <c r="CN214" s="32">
        <f t="shared" si="529"/>
        <v>281663.81464625418</v>
      </c>
      <c r="CO214" s="32">
        <f t="shared" si="529"/>
        <v>-8638.4574275924424</v>
      </c>
      <c r="CP214" s="32">
        <f t="shared" si="529"/>
        <v>-8111.4503744513258</v>
      </c>
      <c r="CQ214" s="32">
        <f t="shared" si="529"/>
        <v>-7473.0350077281855</v>
      </c>
      <c r="CR214" s="32">
        <f t="shared" si="529"/>
        <v>-6727.7055268601634</v>
      </c>
      <c r="CS214" s="32">
        <f t="shared" si="529"/>
        <v>-5880.421867157228</v>
      </c>
      <c r="CT214" s="32">
        <f t="shared" si="529"/>
        <v>-4936.183537103273</v>
      </c>
      <c r="CU214" s="32">
        <f t="shared" si="529"/>
        <v>-3899.3030570264063</v>
      </c>
      <c r="CV214" s="32">
        <f t="shared" si="529"/>
        <v>-2772.0325837971432</v>
      </c>
      <c r="CW214" s="32">
        <f t="shared" si="529"/>
        <v>-1551.5894688419412</v>
      </c>
      <c r="CX214" s="32">
        <f t="shared" si="529"/>
        <v>-222.39745800394667</v>
      </c>
      <c r="CY214" s="32">
        <f t="shared" si="529"/>
        <v>1270.7853518527122</v>
      </c>
      <c r="CZ214" s="32">
        <f t="shared" si="529"/>
        <v>3183.4917108315512</v>
      </c>
      <c r="DA214" s="32">
        <f t="shared" ref="DA214:EF214" si="530">DA124+DA160+DA196</f>
        <v>16049.775359999996</v>
      </c>
      <c r="DB214" s="32">
        <f t="shared" si="530"/>
        <v>2407.4663039999996</v>
      </c>
      <c r="DC214" s="32">
        <f t="shared" si="530"/>
        <v>2407.4663039999996</v>
      </c>
      <c r="DD214" s="32">
        <f t="shared" si="530"/>
        <v>2407.4663039999996</v>
      </c>
      <c r="DE214" s="32">
        <f t="shared" si="530"/>
        <v>2407.4663039999996</v>
      </c>
      <c r="DF214" s="32">
        <f t="shared" si="530"/>
        <v>2407.4663039999996</v>
      </c>
      <c r="DG214" s="32">
        <f t="shared" si="530"/>
        <v>2407.4663039999996</v>
      </c>
      <c r="DH214" s="32">
        <f t="shared" si="530"/>
        <v>2407.4663039999996</v>
      </c>
      <c r="DI214" s="32">
        <f t="shared" si="530"/>
        <v>2407.4663039999996</v>
      </c>
      <c r="DJ214" s="32">
        <f t="shared" si="530"/>
        <v>2407.4663039999996</v>
      </c>
      <c r="DK214" s="32">
        <f t="shared" si="530"/>
        <v>2407.4663039999996</v>
      </c>
      <c r="DL214" s="32">
        <f t="shared" si="530"/>
        <v>260808.84959999978</v>
      </c>
      <c r="DM214" s="32">
        <f t="shared" si="530"/>
        <v>0</v>
      </c>
      <c r="DN214" s="32">
        <f t="shared" si="530"/>
        <v>0</v>
      </c>
      <c r="DO214" s="32">
        <f t="shared" si="530"/>
        <v>0</v>
      </c>
      <c r="DP214" s="32">
        <f t="shared" si="530"/>
        <v>0</v>
      </c>
      <c r="DQ214" s="32">
        <f t="shared" si="530"/>
        <v>0</v>
      </c>
      <c r="DR214" s="32">
        <f t="shared" si="530"/>
        <v>0</v>
      </c>
      <c r="DS214" s="32">
        <f t="shared" si="530"/>
        <v>0</v>
      </c>
      <c r="DT214" s="32">
        <f t="shared" si="530"/>
        <v>0</v>
      </c>
      <c r="DU214" s="32">
        <f t="shared" si="530"/>
        <v>0</v>
      </c>
      <c r="DV214" s="32">
        <f t="shared" si="530"/>
        <v>0</v>
      </c>
      <c r="DW214" s="32">
        <f t="shared" si="530"/>
        <v>0</v>
      </c>
      <c r="DX214" s="32">
        <f t="shared" si="530"/>
        <v>0</v>
      </c>
      <c r="DY214" s="32">
        <f t="shared" si="530"/>
        <v>0</v>
      </c>
      <c r="DZ214" s="32">
        <f t="shared" si="530"/>
        <v>0</v>
      </c>
      <c r="EA214" s="32">
        <f t="shared" si="530"/>
        <v>0</v>
      </c>
      <c r="EB214" s="32">
        <f t="shared" si="530"/>
        <v>0</v>
      </c>
      <c r="EC214" s="32">
        <f t="shared" si="530"/>
        <v>0</v>
      </c>
      <c r="ED214" s="32">
        <f t="shared" si="530"/>
        <v>0</v>
      </c>
      <c r="EE214" s="32">
        <f t="shared" si="530"/>
        <v>0</v>
      </c>
      <c r="EF214" s="32">
        <f t="shared" si="530"/>
        <v>0</v>
      </c>
      <c r="EG214" s="32">
        <f t="shared" ref="EG214:FH214" si="531">EG124+EG160+EG196</f>
        <v>0</v>
      </c>
      <c r="EH214" s="32">
        <f t="shared" si="531"/>
        <v>0</v>
      </c>
      <c r="EI214" s="32">
        <f t="shared" si="531"/>
        <v>0</v>
      </c>
      <c r="EJ214" s="32">
        <f t="shared" si="531"/>
        <v>0</v>
      </c>
      <c r="EK214" s="32">
        <f t="shared" si="531"/>
        <v>0</v>
      </c>
      <c r="EL214" s="32">
        <f t="shared" si="531"/>
        <v>0</v>
      </c>
      <c r="EM214" s="32">
        <f t="shared" si="531"/>
        <v>0</v>
      </c>
      <c r="EN214" s="32">
        <f t="shared" si="531"/>
        <v>0</v>
      </c>
      <c r="EO214" s="32">
        <f t="shared" si="531"/>
        <v>0</v>
      </c>
      <c r="EP214" s="32">
        <f t="shared" si="531"/>
        <v>0</v>
      </c>
      <c r="EQ214" s="32">
        <f t="shared" si="531"/>
        <v>0</v>
      </c>
      <c r="ER214" s="32">
        <f t="shared" si="531"/>
        <v>0</v>
      </c>
      <c r="ES214" s="32">
        <f t="shared" si="531"/>
        <v>0</v>
      </c>
      <c r="ET214" s="32">
        <f t="shared" si="531"/>
        <v>0</v>
      </c>
      <c r="EU214" s="32">
        <f t="shared" si="531"/>
        <v>0</v>
      </c>
      <c r="EV214" s="32">
        <f t="shared" si="531"/>
        <v>0</v>
      </c>
      <c r="EW214" s="32">
        <f t="shared" si="531"/>
        <v>0</v>
      </c>
      <c r="EX214" s="32">
        <f t="shared" si="531"/>
        <v>0</v>
      </c>
      <c r="EY214" s="32">
        <f t="shared" si="531"/>
        <v>0</v>
      </c>
      <c r="EZ214" s="32">
        <f t="shared" si="531"/>
        <v>0</v>
      </c>
      <c r="FA214" s="32">
        <f t="shared" si="531"/>
        <v>0</v>
      </c>
      <c r="FB214" s="32">
        <f t="shared" si="531"/>
        <v>0</v>
      </c>
      <c r="FC214" s="32">
        <f t="shared" si="531"/>
        <v>0</v>
      </c>
      <c r="FD214" s="32">
        <f t="shared" si="531"/>
        <v>0</v>
      </c>
      <c r="FE214" s="32">
        <f t="shared" si="531"/>
        <v>0</v>
      </c>
      <c r="FF214" s="32">
        <f t="shared" si="531"/>
        <v>0</v>
      </c>
      <c r="FG214" s="32">
        <f t="shared" si="531"/>
        <v>0</v>
      </c>
      <c r="FH214" s="32">
        <f t="shared" si="531"/>
        <v>0</v>
      </c>
    </row>
    <row r="215" spans="1:164" x14ac:dyDescent="0.2">
      <c r="A215" s="10"/>
      <c r="B215" s="10"/>
      <c r="C215" s="10" t="s">
        <v>916</v>
      </c>
      <c r="D215" s="10"/>
      <c r="E215" s="10"/>
      <c r="F215" s="10"/>
      <c r="G215" s="10"/>
      <c r="H215" s="12"/>
      <c r="I215" s="12">
        <f>I214</f>
        <v>0</v>
      </c>
      <c r="J215" s="12">
        <f t="shared" ref="J215:AO215" si="532">I215+J214</f>
        <v>0</v>
      </c>
      <c r="K215" s="12">
        <f t="shared" si="532"/>
        <v>0</v>
      </c>
      <c r="L215" s="12">
        <f t="shared" si="532"/>
        <v>0</v>
      </c>
      <c r="M215" s="12">
        <f t="shared" si="532"/>
        <v>0</v>
      </c>
      <c r="N215" s="12">
        <f t="shared" si="532"/>
        <v>0</v>
      </c>
      <c r="O215" s="12">
        <f t="shared" si="532"/>
        <v>-93.941666666666663</v>
      </c>
      <c r="P215" s="12">
        <f t="shared" si="532"/>
        <v>-187.88333333333333</v>
      </c>
      <c r="Q215" s="12">
        <f t="shared" si="532"/>
        <v>-281.82499999999999</v>
      </c>
      <c r="R215" s="12">
        <f t="shared" si="532"/>
        <v>-675.23333333333335</v>
      </c>
      <c r="S215" s="12">
        <f t="shared" si="532"/>
        <v>-1068.6416666666667</v>
      </c>
      <c r="T215" s="12">
        <f t="shared" si="532"/>
        <v>-1462.05</v>
      </c>
      <c r="U215" s="12">
        <f t="shared" si="532"/>
        <v>-1138.5545310260084</v>
      </c>
      <c r="V215" s="12">
        <f t="shared" si="532"/>
        <v>-765.77540490915976</v>
      </c>
      <c r="W215" s="12">
        <f t="shared" si="532"/>
        <v>-342.26310232172295</v>
      </c>
      <c r="X215" s="12">
        <f t="shared" si="532"/>
        <v>133.51974572025938</v>
      </c>
      <c r="Y215" s="12">
        <f t="shared" si="532"/>
        <v>663.20659376224148</v>
      </c>
      <c r="Z215" s="12">
        <f t="shared" si="532"/>
        <v>1248.5362805139009</v>
      </c>
      <c r="AA215" s="12">
        <f t="shared" si="532"/>
        <v>496.68538998448139</v>
      </c>
      <c r="AB215" s="12">
        <f t="shared" si="532"/>
        <v>-668.52567639475137</v>
      </c>
      <c r="AC215" s="12">
        <f t="shared" si="532"/>
        <v>-2239.6704330462321</v>
      </c>
      <c r="AD215" s="12">
        <f t="shared" si="532"/>
        <v>-4204.7084383740257</v>
      </c>
      <c r="AE215" s="12">
        <f t="shared" si="532"/>
        <v>-6547.1085814383932</v>
      </c>
      <c r="AF215" s="12">
        <f t="shared" si="532"/>
        <v>-9246.020603751138</v>
      </c>
      <c r="AG215" s="12">
        <f t="shared" si="532"/>
        <v>-11795.529945410637</v>
      </c>
      <c r="AH215" s="12">
        <f t="shared" si="532"/>
        <v>-14647.807645630353</v>
      </c>
      <c r="AI215" s="12">
        <f t="shared" si="532"/>
        <v>-17770.523533679989</v>
      </c>
      <c r="AJ215" s="12">
        <f t="shared" si="532"/>
        <v>-20828.681056318979</v>
      </c>
      <c r="AK215" s="12">
        <f t="shared" si="532"/>
        <v>-24083.388629572382</v>
      </c>
      <c r="AL215" s="12">
        <f t="shared" si="532"/>
        <v>-27493.859110035599</v>
      </c>
      <c r="AM215" s="12">
        <f t="shared" si="532"/>
        <v>-31240.323976923832</v>
      </c>
      <c r="AN215" s="12">
        <f t="shared" si="532"/>
        <v>-35055.398333871322</v>
      </c>
      <c r="AO215" s="12">
        <f t="shared" si="532"/>
        <v>-38893.607321772368</v>
      </c>
      <c r="AP215" s="12">
        <f t="shared" ref="AP215:BU215" si="533">AO215+AP214</f>
        <v>-43485.297269673414</v>
      </c>
      <c r="AQ215" s="12">
        <f t="shared" si="533"/>
        <v>-48007.649158049477</v>
      </c>
      <c r="AR215" s="12">
        <f t="shared" si="533"/>
        <v>-52414.56093193189</v>
      </c>
      <c r="AS215" s="12">
        <f t="shared" si="533"/>
        <v>-54592.708791981277</v>
      </c>
      <c r="AT215" s="12">
        <f t="shared" si="533"/>
        <v>-56437.787857848874</v>
      </c>
      <c r="AU215" s="12">
        <f t="shared" si="533"/>
        <v>-57903.024186043236</v>
      </c>
      <c r="AV215" s="12">
        <f t="shared" si="533"/>
        <v>-58943.061539388502</v>
      </c>
      <c r="AW215" s="12">
        <f t="shared" si="533"/>
        <v>-59514.089941267484</v>
      </c>
      <c r="AX215" s="12">
        <f t="shared" si="533"/>
        <v>-59573.791959981958</v>
      </c>
      <c r="AY215" s="12">
        <f t="shared" si="533"/>
        <v>-62629.259823630498</v>
      </c>
      <c r="AZ215" s="12">
        <f t="shared" si="533"/>
        <v>-66145.26933804185</v>
      </c>
      <c r="BA215" s="12">
        <f t="shared" si="533"/>
        <v>-70067.826686086468</v>
      </c>
      <c r="BB215" s="12">
        <f t="shared" si="533"/>
        <v>-74325.607759664417</v>
      </c>
      <c r="BC215" s="12">
        <f t="shared" si="533"/>
        <v>-78813.152964774781</v>
      </c>
      <c r="BD215" s="12">
        <f t="shared" si="533"/>
        <v>-83305.121420581912</v>
      </c>
      <c r="BE215" s="12">
        <f t="shared" si="533"/>
        <v>-81974.454429118778</v>
      </c>
      <c r="BF215" s="12">
        <f t="shared" si="533"/>
        <v>-87165.102098217074</v>
      </c>
      <c r="BG215" s="12">
        <f t="shared" si="533"/>
        <v>-92941.277326460156</v>
      </c>
      <c r="BH215" s="12">
        <f t="shared" si="533"/>
        <v>-98448.439216426821</v>
      </c>
      <c r="BI215" s="12">
        <f t="shared" si="533"/>
        <v>-104378.78665903365</v>
      </c>
      <c r="BJ215" s="12">
        <f t="shared" si="533"/>
        <v>-110642.68782984201</v>
      </c>
      <c r="BK215" s="12">
        <f t="shared" si="533"/>
        <v>-117377.92514248248</v>
      </c>
      <c r="BL215" s="12">
        <f t="shared" si="533"/>
        <v>-124255.1127677254</v>
      </c>
      <c r="BM215" s="12">
        <f t="shared" si="533"/>
        <v>-131174.21382684284</v>
      </c>
      <c r="BN215" s="12">
        <f t="shared" si="533"/>
        <v>-138730.2860552936</v>
      </c>
      <c r="BO215" s="12">
        <f t="shared" si="533"/>
        <v>-146124.6450784413</v>
      </c>
      <c r="BP215" s="12">
        <f t="shared" si="533"/>
        <v>-42170.264576316753</v>
      </c>
      <c r="BQ215" s="12">
        <f t="shared" si="533"/>
        <v>-48167.054878742187</v>
      </c>
      <c r="BR215" s="12">
        <f t="shared" si="533"/>
        <v>-53587.252359246348</v>
      </c>
      <c r="BS215" s="12">
        <f t="shared" si="533"/>
        <v>-58332.075488992705</v>
      </c>
      <c r="BT215" s="12">
        <f t="shared" si="533"/>
        <v>-62305.857835457035</v>
      </c>
      <c r="BU215" s="12">
        <f t="shared" si="533"/>
        <v>-65416.251316412941</v>
      </c>
      <c r="BV215" s="12">
        <f t="shared" ref="BV215:DA215" si="534">BU215+BV214</f>
        <v>-67573.973721692208</v>
      </c>
      <c r="BW215" s="12">
        <f t="shared" si="534"/>
        <v>-71984.846658488997</v>
      </c>
      <c r="BX215" s="12">
        <f t="shared" si="534"/>
        <v>-76488.918887662876</v>
      </c>
      <c r="BY215" s="12">
        <f t="shared" si="534"/>
        <v>-80977.727416537091</v>
      </c>
      <c r="BZ215" s="12">
        <f t="shared" si="534"/>
        <v>-85310.322342039668</v>
      </c>
      <c r="CA215" s="12">
        <f t="shared" si="534"/>
        <v>-89269.249103874856</v>
      </c>
      <c r="CB215" s="12">
        <f t="shared" si="534"/>
        <v>-92337.649001987433</v>
      </c>
      <c r="CC215" s="12">
        <f t="shared" si="534"/>
        <v>-81110.967684908959</v>
      </c>
      <c r="CD215" s="12">
        <f t="shared" si="534"/>
        <v>-85885.576949313021</v>
      </c>
      <c r="CE215" s="12">
        <f t="shared" si="534"/>
        <v>-91370.682015238199</v>
      </c>
      <c r="CF215" s="12">
        <f t="shared" si="534"/>
        <v>-96777.132559174264</v>
      </c>
      <c r="CG215" s="12">
        <f t="shared" si="534"/>
        <v>-102701.62515463347</v>
      </c>
      <c r="CH215" s="12">
        <f t="shared" si="534"/>
        <v>-109037.93502792278</v>
      </c>
      <c r="CI215" s="12">
        <f t="shared" si="534"/>
        <v>-115674.6280540325</v>
      </c>
      <c r="CJ215" s="12">
        <f t="shared" si="534"/>
        <v>-122496.21453585062</v>
      </c>
      <c r="CK215" s="12">
        <f t="shared" si="534"/>
        <v>-129384.33404054708</v>
      </c>
      <c r="CL215" s="12">
        <f t="shared" si="534"/>
        <v>-136218.95429404353</v>
      </c>
      <c r="CM215" s="12">
        <f t="shared" si="534"/>
        <v>-142879.56535037595</v>
      </c>
      <c r="CN215" s="12">
        <f t="shared" si="534"/>
        <v>138784.24929587822</v>
      </c>
      <c r="CO215" s="12">
        <f t="shared" si="534"/>
        <v>130145.79186828579</v>
      </c>
      <c r="CP215" s="12">
        <f t="shared" si="534"/>
        <v>122034.34149383446</v>
      </c>
      <c r="CQ215" s="12">
        <f t="shared" si="534"/>
        <v>114561.30648610627</v>
      </c>
      <c r="CR215" s="12">
        <f t="shared" si="534"/>
        <v>107833.60095924611</v>
      </c>
      <c r="CS215" s="12">
        <f t="shared" si="534"/>
        <v>101953.17909208887</v>
      </c>
      <c r="CT215" s="12">
        <f t="shared" si="534"/>
        <v>97016.995554985595</v>
      </c>
      <c r="CU215" s="12">
        <f t="shared" si="534"/>
        <v>93117.692497959186</v>
      </c>
      <c r="CV215" s="12">
        <f t="shared" si="534"/>
        <v>90345.659914162039</v>
      </c>
      <c r="CW215" s="12">
        <f t="shared" si="534"/>
        <v>88794.070445320103</v>
      </c>
      <c r="CX215" s="12">
        <f t="shared" si="534"/>
        <v>88571.672987316153</v>
      </c>
      <c r="CY215" s="12">
        <f t="shared" si="534"/>
        <v>89842.458339168865</v>
      </c>
      <c r="CZ215" s="12">
        <f t="shared" si="534"/>
        <v>93025.950050000421</v>
      </c>
      <c r="DA215" s="12">
        <f t="shared" si="534"/>
        <v>109075.72541000042</v>
      </c>
      <c r="DB215" s="12">
        <f t="shared" ref="DB215:EG215" si="535">DA215+DB214</f>
        <v>111483.19171400042</v>
      </c>
      <c r="DC215" s="12">
        <f t="shared" si="535"/>
        <v>113890.65801800042</v>
      </c>
      <c r="DD215" s="12">
        <f t="shared" si="535"/>
        <v>116298.12432200043</v>
      </c>
      <c r="DE215" s="12">
        <f t="shared" si="535"/>
        <v>118705.59062600043</v>
      </c>
      <c r="DF215" s="12">
        <f t="shared" si="535"/>
        <v>121113.05693000043</v>
      </c>
      <c r="DG215" s="12">
        <f t="shared" si="535"/>
        <v>123520.52323400043</v>
      </c>
      <c r="DH215" s="12">
        <f t="shared" si="535"/>
        <v>125927.98953800043</v>
      </c>
      <c r="DI215" s="12">
        <f t="shared" si="535"/>
        <v>128335.45584200043</v>
      </c>
      <c r="DJ215" s="12">
        <f t="shared" si="535"/>
        <v>130742.92214600043</v>
      </c>
      <c r="DK215" s="12">
        <f t="shared" si="535"/>
        <v>133150.38845000044</v>
      </c>
      <c r="DL215" s="12">
        <f t="shared" si="535"/>
        <v>393959.23805000022</v>
      </c>
      <c r="DM215" s="12">
        <f t="shared" si="535"/>
        <v>393959.23805000022</v>
      </c>
      <c r="DN215" s="12">
        <f t="shared" si="535"/>
        <v>393959.23805000022</v>
      </c>
      <c r="DO215" s="12">
        <f t="shared" si="535"/>
        <v>393959.23805000022</v>
      </c>
      <c r="DP215" s="12">
        <f t="shared" si="535"/>
        <v>393959.23805000022</v>
      </c>
      <c r="DQ215" s="12">
        <f t="shared" si="535"/>
        <v>393959.23805000022</v>
      </c>
      <c r="DR215" s="12">
        <f t="shared" si="535"/>
        <v>393959.23805000022</v>
      </c>
      <c r="DS215" s="12">
        <f t="shared" si="535"/>
        <v>393959.23805000022</v>
      </c>
      <c r="DT215" s="12">
        <f t="shared" si="535"/>
        <v>393959.23805000022</v>
      </c>
      <c r="DU215" s="12">
        <f t="shared" si="535"/>
        <v>393959.23805000022</v>
      </c>
      <c r="DV215" s="12">
        <f t="shared" si="535"/>
        <v>393959.23805000022</v>
      </c>
      <c r="DW215" s="12">
        <f t="shared" si="535"/>
        <v>393959.23805000022</v>
      </c>
      <c r="DX215" s="12">
        <f t="shared" si="535"/>
        <v>393959.23805000022</v>
      </c>
      <c r="DY215" s="12">
        <f t="shared" si="535"/>
        <v>393959.23805000022</v>
      </c>
      <c r="DZ215" s="12">
        <f t="shared" si="535"/>
        <v>393959.23805000022</v>
      </c>
      <c r="EA215" s="12">
        <f t="shared" si="535"/>
        <v>393959.23805000022</v>
      </c>
      <c r="EB215" s="12">
        <f t="shared" si="535"/>
        <v>393959.23805000022</v>
      </c>
      <c r="EC215" s="12">
        <f t="shared" si="535"/>
        <v>393959.23805000022</v>
      </c>
      <c r="ED215" s="12">
        <f t="shared" si="535"/>
        <v>393959.23805000022</v>
      </c>
      <c r="EE215" s="12">
        <f t="shared" si="535"/>
        <v>393959.23805000022</v>
      </c>
      <c r="EF215" s="12">
        <f t="shared" si="535"/>
        <v>393959.23805000022</v>
      </c>
      <c r="EG215" s="12">
        <f t="shared" si="535"/>
        <v>393959.23805000022</v>
      </c>
      <c r="EH215" s="12">
        <f t="shared" ref="EH215:FH215" si="536">EG215+EH214</f>
        <v>393959.23805000022</v>
      </c>
      <c r="EI215" s="12">
        <f t="shared" si="536"/>
        <v>393959.23805000022</v>
      </c>
      <c r="EJ215" s="12">
        <f t="shared" si="536"/>
        <v>393959.23805000022</v>
      </c>
      <c r="EK215" s="12">
        <f t="shared" si="536"/>
        <v>393959.23805000022</v>
      </c>
      <c r="EL215" s="12">
        <f t="shared" si="536"/>
        <v>393959.23805000022</v>
      </c>
      <c r="EM215" s="12">
        <f t="shared" si="536"/>
        <v>393959.23805000022</v>
      </c>
      <c r="EN215" s="12">
        <f t="shared" si="536"/>
        <v>393959.23805000022</v>
      </c>
      <c r="EO215" s="12">
        <f t="shared" si="536"/>
        <v>393959.23805000022</v>
      </c>
      <c r="EP215" s="12">
        <f t="shared" si="536"/>
        <v>393959.23805000022</v>
      </c>
      <c r="EQ215" s="12">
        <f t="shared" si="536"/>
        <v>393959.23805000022</v>
      </c>
      <c r="ER215" s="12">
        <f t="shared" si="536"/>
        <v>393959.23805000022</v>
      </c>
      <c r="ES215" s="12">
        <f t="shared" si="536"/>
        <v>393959.23805000022</v>
      </c>
      <c r="ET215" s="12">
        <f t="shared" si="536"/>
        <v>393959.23805000022</v>
      </c>
      <c r="EU215" s="12">
        <f t="shared" si="536"/>
        <v>393959.23805000022</v>
      </c>
      <c r="EV215" s="12">
        <f t="shared" si="536"/>
        <v>393959.23805000022</v>
      </c>
      <c r="EW215" s="12">
        <f t="shared" si="536"/>
        <v>393959.23805000022</v>
      </c>
      <c r="EX215" s="12">
        <f t="shared" si="536"/>
        <v>393959.23805000022</v>
      </c>
      <c r="EY215" s="12">
        <f t="shared" si="536"/>
        <v>393959.23805000022</v>
      </c>
      <c r="EZ215" s="12">
        <f t="shared" si="536"/>
        <v>393959.23805000022</v>
      </c>
      <c r="FA215" s="12">
        <f t="shared" si="536"/>
        <v>393959.23805000022</v>
      </c>
      <c r="FB215" s="12">
        <f t="shared" si="536"/>
        <v>393959.23805000022</v>
      </c>
      <c r="FC215" s="12">
        <f t="shared" si="536"/>
        <v>393959.23805000022</v>
      </c>
      <c r="FD215" s="12">
        <f t="shared" si="536"/>
        <v>393959.23805000022</v>
      </c>
      <c r="FE215" s="12">
        <f t="shared" si="536"/>
        <v>393959.23805000022</v>
      </c>
      <c r="FF215" s="12">
        <f t="shared" si="536"/>
        <v>393959.23805000022</v>
      </c>
      <c r="FG215" s="12">
        <f t="shared" si="536"/>
        <v>393959.23805000022</v>
      </c>
      <c r="FH215" s="12">
        <f t="shared" si="536"/>
        <v>393959.23805000022</v>
      </c>
    </row>
    <row r="216" spans="1:164" x14ac:dyDescent="0.2">
      <c r="A216" s="10"/>
      <c r="B216" s="10"/>
      <c r="C216" s="10" t="s">
        <v>925</v>
      </c>
      <c r="D216" s="10"/>
      <c r="E216" s="10"/>
      <c r="F216" s="10"/>
      <c r="G216" s="10"/>
      <c r="H216" s="12">
        <f>SUM(I216:FH216)</f>
        <v>-41456.489895829844</v>
      </c>
      <c r="I216" s="12">
        <f t="shared" ref="I216:AN216" si="537">I130+I166+I202</f>
        <v>0</v>
      </c>
      <c r="J216" s="12">
        <f t="shared" si="537"/>
        <v>0</v>
      </c>
      <c r="K216" s="12">
        <f t="shared" si="537"/>
        <v>0</v>
      </c>
      <c r="L216" s="12">
        <f t="shared" si="537"/>
        <v>0</v>
      </c>
      <c r="M216" s="12">
        <f t="shared" si="537"/>
        <v>0</v>
      </c>
      <c r="N216" s="12">
        <f t="shared" si="537"/>
        <v>0</v>
      </c>
      <c r="O216" s="12">
        <f t="shared" si="537"/>
        <v>0</v>
      </c>
      <c r="P216" s="12">
        <f t="shared" si="537"/>
        <v>0</v>
      </c>
      <c r="Q216" s="12">
        <f t="shared" si="537"/>
        <v>0</v>
      </c>
      <c r="R216" s="12">
        <f t="shared" si="537"/>
        <v>0</v>
      </c>
      <c r="S216" s="12">
        <f t="shared" si="537"/>
        <v>0</v>
      </c>
      <c r="T216" s="12">
        <f t="shared" si="537"/>
        <v>0</v>
      </c>
      <c r="U216" s="12">
        <f t="shared" si="537"/>
        <v>0</v>
      </c>
      <c r="V216" s="12">
        <f t="shared" si="537"/>
        <v>0</v>
      </c>
      <c r="W216" s="12">
        <f t="shared" si="537"/>
        <v>0</v>
      </c>
      <c r="X216" s="12">
        <f t="shared" si="537"/>
        <v>0</v>
      </c>
      <c r="Y216" s="12">
        <f t="shared" si="537"/>
        <v>0</v>
      </c>
      <c r="Z216" s="12">
        <f t="shared" si="537"/>
        <v>0</v>
      </c>
      <c r="AA216" s="12">
        <f t="shared" si="537"/>
        <v>0</v>
      </c>
      <c r="AB216" s="12">
        <f t="shared" si="537"/>
        <v>0</v>
      </c>
      <c r="AC216" s="12">
        <f t="shared" si="537"/>
        <v>0</v>
      </c>
      <c r="AD216" s="12">
        <f t="shared" si="537"/>
        <v>0</v>
      </c>
      <c r="AE216" s="12">
        <f t="shared" si="537"/>
        <v>0</v>
      </c>
      <c r="AF216" s="12">
        <f t="shared" si="537"/>
        <v>0</v>
      </c>
      <c r="AG216" s="12">
        <f t="shared" si="537"/>
        <v>0</v>
      </c>
      <c r="AH216" s="12">
        <f t="shared" si="537"/>
        <v>0</v>
      </c>
      <c r="AI216" s="12">
        <f t="shared" si="537"/>
        <v>0</v>
      </c>
      <c r="AJ216" s="12">
        <f t="shared" si="537"/>
        <v>0</v>
      </c>
      <c r="AK216" s="12">
        <f t="shared" si="537"/>
        <v>0</v>
      </c>
      <c r="AL216" s="12">
        <f t="shared" si="537"/>
        <v>0</v>
      </c>
      <c r="AM216" s="12">
        <f t="shared" si="537"/>
        <v>0</v>
      </c>
      <c r="AN216" s="12">
        <f t="shared" si="537"/>
        <v>0</v>
      </c>
      <c r="AO216" s="12">
        <f t="shared" ref="AO216:BT216" si="538">AO130+AO166+AO202</f>
        <v>-25.530798519474871</v>
      </c>
      <c r="AP216" s="12">
        <f t="shared" si="538"/>
        <v>-53.483581375777334</v>
      </c>
      <c r="AQ216" s="12">
        <f t="shared" si="538"/>
        <v>-81.436364232079839</v>
      </c>
      <c r="AR216" s="12">
        <f t="shared" si="538"/>
        <v>-109.0828905499128</v>
      </c>
      <c r="AS216" s="12">
        <f t="shared" si="538"/>
        <v>-136.12025920153047</v>
      </c>
      <c r="AT216" s="12">
        <f t="shared" si="538"/>
        <v>-162.2522431180526</v>
      </c>
      <c r="AU216" s="12">
        <f t="shared" si="538"/>
        <v>-187.19253481522068</v>
      </c>
      <c r="AV216" s="12">
        <f t="shared" si="538"/>
        <v>-210.66788323810886</v>
      </c>
      <c r="AW216" s="12">
        <f t="shared" si="538"/>
        <v>-232.42108755686348</v>
      </c>
      <c r="AX216" s="12">
        <f t="shared" si="538"/>
        <v>-252.21381511281768</v>
      </c>
      <c r="AY216" s="12">
        <f t="shared" si="538"/>
        <v>-269.82921264097382</v>
      </c>
      <c r="AZ216" s="12">
        <f t="shared" si="538"/>
        <v>-285.0742821597546</v>
      </c>
      <c r="BA216" s="12">
        <f t="shared" si="538"/>
        <v>-297.78199549727623</v>
      </c>
      <c r="BB216" s="12">
        <f t="shared" si="538"/>
        <v>-307.8131242869531</v>
      </c>
      <c r="BC216" s="12">
        <f t="shared" si="538"/>
        <v>-315.05776538261654</v>
      </c>
      <c r="BD216" s="12">
        <f t="shared" si="538"/>
        <v>-319.43654498038404</v>
      </c>
      <c r="BE216" s="12">
        <f t="shared" si="538"/>
        <v>-320.90148825466395</v>
      </c>
      <c r="BF216" s="12">
        <f t="shared" si="538"/>
        <v>-320.90148825466395</v>
      </c>
      <c r="BG216" s="12">
        <f t="shared" si="538"/>
        <v>-320.90148825466395</v>
      </c>
      <c r="BH216" s="12">
        <f t="shared" si="538"/>
        <v>-320.90148825466395</v>
      </c>
      <c r="BI216" s="12">
        <f t="shared" si="538"/>
        <v>-320.90148825466395</v>
      </c>
      <c r="BJ216" s="12">
        <f t="shared" si="538"/>
        <v>-320.90148825466395</v>
      </c>
      <c r="BK216" s="12">
        <f t="shared" si="538"/>
        <v>-320.90148825466395</v>
      </c>
      <c r="BL216" s="12">
        <f t="shared" si="538"/>
        <v>-320.90148825466395</v>
      </c>
      <c r="BM216" s="12">
        <f t="shared" si="538"/>
        <v>-381.51363770704626</v>
      </c>
      <c r="BN216" s="12">
        <f t="shared" si="538"/>
        <v>-447.87577090878699</v>
      </c>
      <c r="BO216" s="12">
        <f t="shared" si="538"/>
        <v>-514.23790411052767</v>
      </c>
      <c r="BP216" s="12">
        <f t="shared" si="538"/>
        <v>-579.87295989374093</v>
      </c>
      <c r="BQ216" s="12">
        <f t="shared" si="538"/>
        <v>-323.16033859758369</v>
      </c>
      <c r="BR216" s="12">
        <f t="shared" si="538"/>
        <v>-385.199750072602</v>
      </c>
      <c r="BS216" s="12">
        <f t="shared" si="538"/>
        <v>-444.4099892894306</v>
      </c>
      <c r="BT216" s="12">
        <f t="shared" si="538"/>
        <v>-500.14233647667055</v>
      </c>
      <c r="BU216" s="12">
        <f t="shared" ref="BU216:CZ216" si="539">BU130+BU166+BU202</f>
        <v>-551.78617637579498</v>
      </c>
      <c r="BV216" s="12">
        <f t="shared" si="539"/>
        <v>-598.77568826970094</v>
      </c>
      <c r="BW216" s="12">
        <f t="shared" si="539"/>
        <v>-640.59604523289124</v>
      </c>
      <c r="BX216" s="12">
        <f t="shared" si="539"/>
        <v>-676.78905468300468</v>
      </c>
      <c r="BY216" s="12">
        <f t="shared" si="539"/>
        <v>-706.9581784346318</v>
      </c>
      <c r="BZ216" s="12">
        <f t="shared" si="539"/>
        <v>-730.77287725465499</v>
      </c>
      <c r="CA216" s="12">
        <f t="shared" si="539"/>
        <v>-747.97223231925545</v>
      </c>
      <c r="CB216" s="12">
        <f t="shared" si="539"/>
        <v>-758.36780389514934</v>
      </c>
      <c r="CC216" s="12">
        <f t="shared" si="539"/>
        <v>-761.84569592473792</v>
      </c>
      <c r="CD216" s="12">
        <f t="shared" si="539"/>
        <v>-761.84569592473792</v>
      </c>
      <c r="CE216" s="12">
        <f t="shared" si="539"/>
        <v>-761.84569592473792</v>
      </c>
      <c r="CF216" s="12">
        <f t="shared" si="539"/>
        <v>-761.84569592473792</v>
      </c>
      <c r="CG216" s="12">
        <f t="shared" si="539"/>
        <v>-761.84569592473792</v>
      </c>
      <c r="CH216" s="12">
        <f t="shared" si="539"/>
        <v>-761.84569592473792</v>
      </c>
      <c r="CI216" s="12">
        <f t="shared" si="539"/>
        <v>-761.84569592473792</v>
      </c>
      <c r="CJ216" s="12">
        <f t="shared" si="539"/>
        <v>-761.84569592473792</v>
      </c>
      <c r="CK216" s="12">
        <f t="shared" si="539"/>
        <v>-824.85517671366063</v>
      </c>
      <c r="CL216" s="12">
        <f t="shared" si="539"/>
        <v>-893.84206457138305</v>
      </c>
      <c r="CM216" s="12">
        <f t="shared" si="539"/>
        <v>-962.82895242910558</v>
      </c>
      <c r="CN216" s="12">
        <f t="shared" si="539"/>
        <v>-1031.0600055070245</v>
      </c>
      <c r="CO216" s="12">
        <f t="shared" si="539"/>
        <v>-335.94197418461431</v>
      </c>
      <c r="CP216" s="12">
        <f t="shared" si="539"/>
        <v>-400.4351680543063</v>
      </c>
      <c r="CQ216" s="12">
        <f t="shared" si="539"/>
        <v>-461.98729026325782</v>
      </c>
      <c r="CR216" s="12">
        <f t="shared" si="539"/>
        <v>-519.92396287993802</v>
      </c>
      <c r="CS216" s="12">
        <f t="shared" si="539"/>
        <v>-573.61041959513034</v>
      </c>
      <c r="CT216" s="12">
        <f t="shared" si="539"/>
        <v>-622.45846035444947</v>
      </c>
      <c r="CU216" s="12">
        <f t="shared" si="539"/>
        <v>-665.932895801227</v>
      </c>
      <c r="CV216" s="12">
        <f t="shared" si="539"/>
        <v>-703.55741092309745</v>
      </c>
      <c r="CW216" s="12">
        <f t="shared" si="539"/>
        <v>-734.91978365894943</v>
      </c>
      <c r="CX216" s="12">
        <f t="shared" si="539"/>
        <v>-759.67640129009078</v>
      </c>
      <c r="CY216" s="12">
        <f t="shared" si="539"/>
        <v>-777.5560251330993</v>
      </c>
      <c r="CZ216" s="12">
        <f t="shared" si="539"/>
        <v>-788.36276228759891</v>
      </c>
      <c r="DA216" s="12">
        <f t="shared" ref="DA216:EF216" si="540">DA130+DA166+DA202</f>
        <v>-791.9782118798704</v>
      </c>
      <c r="DB216" s="12">
        <f t="shared" si="540"/>
        <v>-791.9782118798704</v>
      </c>
      <c r="DC216" s="12">
        <f t="shared" si="540"/>
        <v>-791.9782118798704</v>
      </c>
      <c r="DD216" s="12">
        <f t="shared" si="540"/>
        <v>-791.9782118798704</v>
      </c>
      <c r="DE216" s="12">
        <f t="shared" si="540"/>
        <v>-791.9782118798704</v>
      </c>
      <c r="DF216" s="12">
        <f t="shared" si="540"/>
        <v>-791.9782118798704</v>
      </c>
      <c r="DG216" s="12">
        <f t="shared" si="540"/>
        <v>-791.9782118798704</v>
      </c>
      <c r="DH216" s="12">
        <f t="shared" si="540"/>
        <v>-791.9782118798704</v>
      </c>
      <c r="DI216" s="12">
        <f t="shared" si="540"/>
        <v>-791.9782118798704</v>
      </c>
      <c r="DJ216" s="12">
        <f t="shared" si="540"/>
        <v>-791.9782118798704</v>
      </c>
      <c r="DK216" s="12">
        <f t="shared" si="540"/>
        <v>-791.9782118798704</v>
      </c>
      <c r="DL216" s="12">
        <f t="shared" si="540"/>
        <v>-791.9782118798704</v>
      </c>
      <c r="DM216" s="12">
        <f t="shared" si="540"/>
        <v>0</v>
      </c>
      <c r="DN216" s="12">
        <f t="shared" si="540"/>
        <v>0</v>
      </c>
      <c r="DO216" s="12">
        <f t="shared" si="540"/>
        <v>0</v>
      </c>
      <c r="DP216" s="12">
        <f t="shared" si="540"/>
        <v>0</v>
      </c>
      <c r="DQ216" s="12">
        <f t="shared" si="540"/>
        <v>0</v>
      </c>
      <c r="DR216" s="12">
        <f t="shared" si="540"/>
        <v>0</v>
      </c>
      <c r="DS216" s="12">
        <f t="shared" si="540"/>
        <v>0</v>
      </c>
      <c r="DT216" s="12">
        <f t="shared" si="540"/>
        <v>0</v>
      </c>
      <c r="DU216" s="12">
        <f t="shared" si="540"/>
        <v>0</v>
      </c>
      <c r="DV216" s="12">
        <f t="shared" si="540"/>
        <v>0</v>
      </c>
      <c r="DW216" s="12">
        <f t="shared" si="540"/>
        <v>0</v>
      </c>
      <c r="DX216" s="12">
        <f t="shared" si="540"/>
        <v>0</v>
      </c>
      <c r="DY216" s="12">
        <f t="shared" si="540"/>
        <v>0</v>
      </c>
      <c r="DZ216" s="12">
        <f t="shared" si="540"/>
        <v>0</v>
      </c>
      <c r="EA216" s="12">
        <f t="shared" si="540"/>
        <v>0</v>
      </c>
      <c r="EB216" s="12">
        <f t="shared" si="540"/>
        <v>0</v>
      </c>
      <c r="EC216" s="12">
        <f t="shared" si="540"/>
        <v>0</v>
      </c>
      <c r="ED216" s="12">
        <f t="shared" si="540"/>
        <v>0</v>
      </c>
      <c r="EE216" s="12">
        <f t="shared" si="540"/>
        <v>0</v>
      </c>
      <c r="EF216" s="12">
        <f t="shared" si="540"/>
        <v>0</v>
      </c>
      <c r="EG216" s="12">
        <f t="shared" ref="EG216:FH216" si="541">EG130+EG166+EG202</f>
        <v>0</v>
      </c>
      <c r="EH216" s="12">
        <f t="shared" si="541"/>
        <v>0</v>
      </c>
      <c r="EI216" s="12">
        <f t="shared" si="541"/>
        <v>0</v>
      </c>
      <c r="EJ216" s="12">
        <f t="shared" si="541"/>
        <v>0</v>
      </c>
      <c r="EK216" s="12">
        <f t="shared" si="541"/>
        <v>0</v>
      </c>
      <c r="EL216" s="12">
        <f t="shared" si="541"/>
        <v>0</v>
      </c>
      <c r="EM216" s="12">
        <f t="shared" si="541"/>
        <v>0</v>
      </c>
      <c r="EN216" s="12">
        <f t="shared" si="541"/>
        <v>0</v>
      </c>
      <c r="EO216" s="12">
        <f t="shared" si="541"/>
        <v>0</v>
      </c>
      <c r="EP216" s="12">
        <f t="shared" si="541"/>
        <v>0</v>
      </c>
      <c r="EQ216" s="12">
        <f t="shared" si="541"/>
        <v>0</v>
      </c>
      <c r="ER216" s="12">
        <f t="shared" si="541"/>
        <v>0</v>
      </c>
      <c r="ES216" s="12">
        <f t="shared" si="541"/>
        <v>0</v>
      </c>
      <c r="ET216" s="12">
        <f t="shared" si="541"/>
        <v>0</v>
      </c>
      <c r="EU216" s="12">
        <f t="shared" si="541"/>
        <v>0</v>
      </c>
      <c r="EV216" s="12">
        <f t="shared" si="541"/>
        <v>0</v>
      </c>
      <c r="EW216" s="12">
        <f t="shared" si="541"/>
        <v>0</v>
      </c>
      <c r="EX216" s="12">
        <f t="shared" si="541"/>
        <v>0</v>
      </c>
      <c r="EY216" s="12">
        <f t="shared" si="541"/>
        <v>0</v>
      </c>
      <c r="EZ216" s="12">
        <f t="shared" si="541"/>
        <v>0</v>
      </c>
      <c r="FA216" s="12">
        <f t="shared" si="541"/>
        <v>0</v>
      </c>
      <c r="FB216" s="12">
        <f t="shared" si="541"/>
        <v>0</v>
      </c>
      <c r="FC216" s="12">
        <f t="shared" si="541"/>
        <v>0</v>
      </c>
      <c r="FD216" s="12">
        <f t="shared" si="541"/>
        <v>0</v>
      </c>
      <c r="FE216" s="12">
        <f t="shared" si="541"/>
        <v>0</v>
      </c>
      <c r="FF216" s="12">
        <f t="shared" si="541"/>
        <v>0</v>
      </c>
      <c r="FG216" s="12">
        <f t="shared" si="541"/>
        <v>0</v>
      </c>
      <c r="FH216" s="12">
        <f t="shared" si="541"/>
        <v>0</v>
      </c>
    </row>
    <row r="217" spans="1:164" x14ac:dyDescent="0.2">
      <c r="A217" s="10"/>
      <c r="B217" s="31" t="s">
        <v>917</v>
      </c>
      <c r="C217" s="31"/>
      <c r="D217" s="31"/>
      <c r="E217" s="31"/>
      <c r="F217" s="31"/>
      <c r="G217" s="31"/>
      <c r="H217" s="32">
        <f>SUM(I217:FH217)</f>
        <v>352502.74815417046</v>
      </c>
      <c r="I217" s="32">
        <f t="shared" ref="I217:AN217" si="542">I133+I169+I205</f>
        <v>0</v>
      </c>
      <c r="J217" s="32">
        <f t="shared" si="542"/>
        <v>0</v>
      </c>
      <c r="K217" s="32">
        <f t="shared" si="542"/>
        <v>0</v>
      </c>
      <c r="L217" s="32">
        <f t="shared" si="542"/>
        <v>0</v>
      </c>
      <c r="M217" s="32">
        <f t="shared" si="542"/>
        <v>0</v>
      </c>
      <c r="N217" s="32">
        <f t="shared" si="542"/>
        <v>0</v>
      </c>
      <c r="O217" s="32">
        <f t="shared" si="542"/>
        <v>-93.941666666666663</v>
      </c>
      <c r="P217" s="32">
        <f t="shared" si="542"/>
        <v>-93.941666666666663</v>
      </c>
      <c r="Q217" s="32">
        <f t="shared" si="542"/>
        <v>-93.941666666666663</v>
      </c>
      <c r="R217" s="32">
        <f t="shared" si="542"/>
        <v>-393.4083333333333</v>
      </c>
      <c r="S217" s="32">
        <f t="shared" si="542"/>
        <v>-393.4083333333333</v>
      </c>
      <c r="T217" s="32">
        <f t="shared" si="542"/>
        <v>-393.4083333333333</v>
      </c>
      <c r="U217" s="32">
        <f t="shared" si="542"/>
        <v>323.49546897399159</v>
      </c>
      <c r="V217" s="32">
        <f t="shared" si="542"/>
        <v>372.7791261168486</v>
      </c>
      <c r="W217" s="32">
        <f t="shared" si="542"/>
        <v>423.51230258743681</v>
      </c>
      <c r="X217" s="32">
        <f t="shared" si="542"/>
        <v>475.78284804198233</v>
      </c>
      <c r="Y217" s="32">
        <f t="shared" si="542"/>
        <v>529.6868480419821</v>
      </c>
      <c r="Z217" s="32">
        <f t="shared" si="542"/>
        <v>585.32968675165944</v>
      </c>
      <c r="AA217" s="32">
        <f t="shared" si="542"/>
        <v>-751.85089052941953</v>
      </c>
      <c r="AB217" s="32">
        <f t="shared" si="542"/>
        <v>-1165.2110663792328</v>
      </c>
      <c r="AC217" s="32">
        <f t="shared" si="542"/>
        <v>-1571.1447566514807</v>
      </c>
      <c r="AD217" s="32">
        <f t="shared" si="542"/>
        <v>-1965.0380053277936</v>
      </c>
      <c r="AE217" s="32">
        <f t="shared" si="542"/>
        <v>-2342.4001430643671</v>
      </c>
      <c r="AF217" s="32">
        <f t="shared" si="542"/>
        <v>-2698.9120223127452</v>
      </c>
      <c r="AG217" s="32">
        <f t="shared" si="542"/>
        <v>-2549.5093416594991</v>
      </c>
      <c r="AH217" s="32">
        <f t="shared" si="542"/>
        <v>-2852.2777002197172</v>
      </c>
      <c r="AI217" s="32">
        <f t="shared" si="542"/>
        <v>-3122.7158880496336</v>
      </c>
      <c r="AJ217" s="32">
        <f t="shared" si="542"/>
        <v>-3058.1575226389891</v>
      </c>
      <c r="AK217" s="32">
        <f t="shared" si="542"/>
        <v>-3254.7075732534026</v>
      </c>
      <c r="AL217" s="32">
        <f t="shared" si="542"/>
        <v>-3410.4704804632147</v>
      </c>
      <c r="AM217" s="32">
        <f t="shared" si="542"/>
        <v>-3746.4648668882323</v>
      </c>
      <c r="AN217" s="32">
        <f t="shared" si="542"/>
        <v>-1124.4477729881332</v>
      </c>
      <c r="AO217" s="32">
        <f t="shared" ref="AO217:BT217" si="543">AO133+AO169+AO205</f>
        <v>-917.86637037987862</v>
      </c>
      <c r="AP217" s="32">
        <f t="shared" si="543"/>
        <v>-1699.3001132361778</v>
      </c>
      <c r="AQ217" s="32">
        <f t="shared" si="543"/>
        <v>-1690.1904421772829</v>
      </c>
      <c r="AR217" s="32">
        <f t="shared" si="543"/>
        <v>-1666.594446931877</v>
      </c>
      <c r="AS217" s="32">
        <f t="shared" si="543"/>
        <v>439.71588026086533</v>
      </c>
      <c r="AT217" s="32">
        <f t="shared" si="543"/>
        <v>621.06324753061631</v>
      </c>
      <c r="AU217" s="32">
        <f t="shared" si="543"/>
        <v>821.5790097230439</v>
      </c>
      <c r="AV217" s="32">
        <f t="shared" si="543"/>
        <v>1041.8102043925255</v>
      </c>
      <c r="AW217" s="32">
        <f t="shared" si="543"/>
        <v>1282.4562408722952</v>
      </c>
      <c r="AX217" s="32">
        <f t="shared" si="543"/>
        <v>1544.5265661279943</v>
      </c>
      <c r="AY217" s="32">
        <f t="shared" si="543"/>
        <v>-1718.6575781065289</v>
      </c>
      <c r="AZ217" s="32">
        <f t="shared" si="543"/>
        <v>-2461.8498787134513</v>
      </c>
      <c r="BA217" s="32">
        <f t="shared" si="543"/>
        <v>-3163.1839330663279</v>
      </c>
      <c r="BB217" s="32">
        <f t="shared" si="543"/>
        <v>-3802.0997106725895</v>
      </c>
      <c r="BC217" s="32">
        <f t="shared" si="543"/>
        <v>-4341.1344119570986</v>
      </c>
      <c r="BD217" s="32">
        <f t="shared" si="543"/>
        <v>-4657.018317003869</v>
      </c>
      <c r="BE217" s="32">
        <f t="shared" si="543"/>
        <v>1009.7655032084767</v>
      </c>
      <c r="BF217" s="32">
        <f t="shared" si="543"/>
        <v>-5511.5491573529653</v>
      </c>
      <c r="BG217" s="32">
        <f t="shared" si="543"/>
        <v>-6097.076716497746</v>
      </c>
      <c r="BH217" s="32">
        <f t="shared" si="543"/>
        <v>-5828.0633782213299</v>
      </c>
      <c r="BI217" s="32">
        <f t="shared" si="543"/>
        <v>-6251.2489308614895</v>
      </c>
      <c r="BJ217" s="32">
        <f t="shared" si="543"/>
        <v>-6584.8026590630143</v>
      </c>
      <c r="BK217" s="32">
        <f t="shared" si="543"/>
        <v>-7056.1388008951426</v>
      </c>
      <c r="BL217" s="32">
        <f t="shared" si="543"/>
        <v>-810.32726957810883</v>
      </c>
      <c r="BM217" s="32">
        <f t="shared" si="543"/>
        <v>-306.87654074395232</v>
      </c>
      <c r="BN217" s="32">
        <f t="shared" si="543"/>
        <v>-1010.2098432790254</v>
      </c>
      <c r="BO217" s="32">
        <f t="shared" si="543"/>
        <v>-991.48362994950435</v>
      </c>
      <c r="BP217" s="32">
        <f t="shared" si="543"/>
        <v>76320.210639983401</v>
      </c>
      <c r="BQ217" s="32">
        <f t="shared" si="543"/>
        <v>218.22675442927471</v>
      </c>
      <c r="BR217" s="32">
        <f t="shared" si="543"/>
        <v>434.62082282914366</v>
      </c>
      <c r="BS217" s="32">
        <f t="shared" si="543"/>
        <v>684.25864872286434</v>
      </c>
      <c r="BT217" s="32">
        <f t="shared" si="543"/>
        <v>968.68959425565777</v>
      </c>
      <c r="BU217" s="32">
        <f t="shared" ref="BU217:CZ217" si="544">BU133+BU169+BU205</f>
        <v>1289.9267083417435</v>
      </c>
      <c r="BV217" s="32">
        <f t="shared" si="544"/>
        <v>1650.8440469640855</v>
      </c>
      <c r="BW217" s="32">
        <f t="shared" si="544"/>
        <v>-1237.1788294641601</v>
      </c>
      <c r="BX217" s="32">
        <f t="shared" si="544"/>
        <v>-2001.4132803418913</v>
      </c>
      <c r="BY217" s="32">
        <f t="shared" si="544"/>
        <v>-2685.9955505131802</v>
      </c>
      <c r="BZ217" s="32">
        <f t="shared" si="544"/>
        <v>-3250.7710706781236</v>
      </c>
      <c r="CA217" s="32">
        <f t="shared" si="544"/>
        <v>-3611.3358758988011</v>
      </c>
      <c r="CB217" s="32">
        <f t="shared" si="544"/>
        <v>-3460.2414163604799</v>
      </c>
      <c r="CC217" s="32">
        <f t="shared" si="544"/>
        <v>10464.835621153741</v>
      </c>
      <c r="CD217" s="32">
        <f t="shared" si="544"/>
        <v>-5536.4549603288051</v>
      </c>
      <c r="CE217" s="32">
        <f t="shared" si="544"/>
        <v>-6246.9507618499219</v>
      </c>
      <c r="CF217" s="32">
        <f t="shared" si="544"/>
        <v>-6168.2962398608006</v>
      </c>
      <c r="CG217" s="32">
        <f t="shared" si="544"/>
        <v>-6686.3382913839441</v>
      </c>
      <c r="CH217" s="32">
        <f t="shared" si="544"/>
        <v>-7098.1555692140564</v>
      </c>
      <c r="CI217" s="32">
        <f t="shared" si="544"/>
        <v>-7398.5387220344501</v>
      </c>
      <c r="CJ217" s="32">
        <f t="shared" si="544"/>
        <v>-943.02161938015797</v>
      </c>
      <c r="CK217" s="32">
        <f t="shared" si="544"/>
        <v>-442.62023977281751</v>
      </c>
      <c r="CL217" s="32">
        <f t="shared" si="544"/>
        <v>-458.10787643053391</v>
      </c>
      <c r="CM217" s="32">
        <f t="shared" si="544"/>
        <v>-432.74109180627374</v>
      </c>
      <c r="CN217" s="32">
        <f t="shared" si="544"/>
        <v>207376.01523093577</v>
      </c>
      <c r="CO217" s="32">
        <f t="shared" si="544"/>
        <v>-2177.6240569764741</v>
      </c>
      <c r="CP217" s="32">
        <f t="shared" si="544"/>
        <v>-2025.0623360873074</v>
      </c>
      <c r="CQ217" s="32">
        <f t="shared" si="544"/>
        <v>-1829.2222224599136</v>
      </c>
      <c r="CR217" s="32">
        <f t="shared" si="544"/>
        <v>-1589.7489684437089</v>
      </c>
      <c r="CS217" s="32">
        <f t="shared" si="544"/>
        <v>-1306.060242670058</v>
      </c>
      <c r="CT217" s="32">
        <f t="shared" si="544"/>
        <v>-976.98068958686099</v>
      </c>
      <c r="CU217" s="32">
        <f t="shared" si="544"/>
        <v>-600.08302123152453</v>
      </c>
      <c r="CV217" s="32">
        <f t="shared" si="544"/>
        <v>-170.38848467905973</v>
      </c>
      <c r="CW217" s="32">
        <f t="shared" si="544"/>
        <v>322.52835658350227</v>
      </c>
      <c r="CX217" s="32">
        <f t="shared" si="544"/>
        <v>902.21468681218767</v>
      </c>
      <c r="CY217" s="32">
        <f t="shared" si="544"/>
        <v>1632.1241502237881</v>
      </c>
      <c r="CZ217" s="32">
        <f t="shared" si="544"/>
        <v>2776.1520794307621</v>
      </c>
      <c r="DA217" s="32">
        <f t="shared" ref="DA217:EF217" si="545">DA133+DA169+DA205</f>
        <v>15257.797148120126</v>
      </c>
      <c r="DB217" s="32">
        <f t="shared" si="545"/>
        <v>1615.4880921201293</v>
      </c>
      <c r="DC217" s="32">
        <f t="shared" si="545"/>
        <v>1615.4880921201293</v>
      </c>
      <c r="DD217" s="32">
        <f t="shared" si="545"/>
        <v>1615.4880921201293</v>
      </c>
      <c r="DE217" s="32">
        <f t="shared" si="545"/>
        <v>1615.4880921201293</v>
      </c>
      <c r="DF217" s="32">
        <f t="shared" si="545"/>
        <v>1615.4880921201293</v>
      </c>
      <c r="DG217" s="32">
        <f t="shared" si="545"/>
        <v>1615.4880921201293</v>
      </c>
      <c r="DH217" s="32">
        <f t="shared" si="545"/>
        <v>1615.4880921201293</v>
      </c>
      <c r="DI217" s="32">
        <f t="shared" si="545"/>
        <v>1615.4880921201293</v>
      </c>
      <c r="DJ217" s="32">
        <f t="shared" si="545"/>
        <v>1615.4880921201293</v>
      </c>
      <c r="DK217" s="32">
        <f t="shared" si="545"/>
        <v>1615.4880921201293</v>
      </c>
      <c r="DL217" s="32">
        <f t="shared" si="545"/>
        <v>176552.28138811994</v>
      </c>
      <c r="DM217" s="32">
        <f t="shared" si="545"/>
        <v>0</v>
      </c>
      <c r="DN217" s="32">
        <f t="shared" si="545"/>
        <v>0</v>
      </c>
      <c r="DO217" s="32">
        <f t="shared" si="545"/>
        <v>0</v>
      </c>
      <c r="DP217" s="32">
        <f t="shared" si="545"/>
        <v>0</v>
      </c>
      <c r="DQ217" s="32">
        <f t="shared" si="545"/>
        <v>0</v>
      </c>
      <c r="DR217" s="32">
        <f t="shared" si="545"/>
        <v>0</v>
      </c>
      <c r="DS217" s="32">
        <f t="shared" si="545"/>
        <v>0</v>
      </c>
      <c r="DT217" s="32">
        <f t="shared" si="545"/>
        <v>0</v>
      </c>
      <c r="DU217" s="32">
        <f t="shared" si="545"/>
        <v>0</v>
      </c>
      <c r="DV217" s="32">
        <f t="shared" si="545"/>
        <v>0</v>
      </c>
      <c r="DW217" s="32">
        <f t="shared" si="545"/>
        <v>0</v>
      </c>
      <c r="DX217" s="32">
        <f t="shared" si="545"/>
        <v>0</v>
      </c>
      <c r="DY217" s="32">
        <f t="shared" si="545"/>
        <v>0</v>
      </c>
      <c r="DZ217" s="32">
        <f t="shared" si="545"/>
        <v>0</v>
      </c>
      <c r="EA217" s="32">
        <f t="shared" si="545"/>
        <v>0</v>
      </c>
      <c r="EB217" s="32">
        <f t="shared" si="545"/>
        <v>0</v>
      </c>
      <c r="EC217" s="32">
        <f t="shared" si="545"/>
        <v>0</v>
      </c>
      <c r="ED217" s="32">
        <f t="shared" si="545"/>
        <v>0</v>
      </c>
      <c r="EE217" s="32">
        <f t="shared" si="545"/>
        <v>0</v>
      </c>
      <c r="EF217" s="32">
        <f t="shared" si="545"/>
        <v>0</v>
      </c>
      <c r="EG217" s="32">
        <f t="shared" ref="EG217:FH217" si="546">EG133+EG169+EG205</f>
        <v>0</v>
      </c>
      <c r="EH217" s="32">
        <f t="shared" si="546"/>
        <v>0</v>
      </c>
      <c r="EI217" s="32">
        <f t="shared" si="546"/>
        <v>0</v>
      </c>
      <c r="EJ217" s="32">
        <f t="shared" si="546"/>
        <v>0</v>
      </c>
      <c r="EK217" s="32">
        <f t="shared" si="546"/>
        <v>0</v>
      </c>
      <c r="EL217" s="32">
        <f t="shared" si="546"/>
        <v>0</v>
      </c>
      <c r="EM217" s="32">
        <f t="shared" si="546"/>
        <v>0</v>
      </c>
      <c r="EN217" s="32">
        <f t="shared" si="546"/>
        <v>0</v>
      </c>
      <c r="EO217" s="32">
        <f t="shared" si="546"/>
        <v>0</v>
      </c>
      <c r="EP217" s="32">
        <f t="shared" si="546"/>
        <v>0</v>
      </c>
      <c r="EQ217" s="32">
        <f t="shared" si="546"/>
        <v>0</v>
      </c>
      <c r="ER217" s="32">
        <f t="shared" si="546"/>
        <v>0</v>
      </c>
      <c r="ES217" s="32">
        <f t="shared" si="546"/>
        <v>0</v>
      </c>
      <c r="ET217" s="32">
        <f t="shared" si="546"/>
        <v>0</v>
      </c>
      <c r="EU217" s="32">
        <f t="shared" si="546"/>
        <v>0</v>
      </c>
      <c r="EV217" s="32">
        <f t="shared" si="546"/>
        <v>0</v>
      </c>
      <c r="EW217" s="32">
        <f t="shared" si="546"/>
        <v>0</v>
      </c>
      <c r="EX217" s="32">
        <f t="shared" si="546"/>
        <v>0</v>
      </c>
      <c r="EY217" s="32">
        <f t="shared" si="546"/>
        <v>0</v>
      </c>
      <c r="EZ217" s="32">
        <f t="shared" si="546"/>
        <v>0</v>
      </c>
      <c r="FA217" s="32">
        <f t="shared" si="546"/>
        <v>0</v>
      </c>
      <c r="FB217" s="32">
        <f t="shared" si="546"/>
        <v>0</v>
      </c>
      <c r="FC217" s="32">
        <f t="shared" si="546"/>
        <v>0</v>
      </c>
      <c r="FD217" s="32">
        <f t="shared" si="546"/>
        <v>0</v>
      </c>
      <c r="FE217" s="32">
        <f t="shared" si="546"/>
        <v>0</v>
      </c>
      <c r="FF217" s="32">
        <f t="shared" si="546"/>
        <v>0</v>
      </c>
      <c r="FG217" s="32">
        <f t="shared" si="546"/>
        <v>0</v>
      </c>
      <c r="FH217" s="32">
        <f t="shared" si="546"/>
        <v>0</v>
      </c>
    </row>
    <row r="218" spans="1:164" x14ac:dyDescent="0.2">
      <c r="A218" s="10"/>
      <c r="B218" s="10"/>
      <c r="C218" s="10" t="s">
        <v>918</v>
      </c>
      <c r="D218" s="10"/>
      <c r="E218" s="10"/>
      <c r="F218" s="10"/>
      <c r="G218" s="10"/>
      <c r="H218" s="12"/>
      <c r="I218" s="12">
        <f>I217</f>
        <v>0</v>
      </c>
      <c r="J218" s="12">
        <f t="shared" ref="J218:AO218" si="547">I218+J217</f>
        <v>0</v>
      </c>
      <c r="K218" s="12">
        <f t="shared" si="547"/>
        <v>0</v>
      </c>
      <c r="L218" s="12">
        <f t="shared" si="547"/>
        <v>0</v>
      </c>
      <c r="M218" s="12">
        <f t="shared" si="547"/>
        <v>0</v>
      </c>
      <c r="N218" s="12">
        <f t="shared" si="547"/>
        <v>0</v>
      </c>
      <c r="O218" s="12">
        <f t="shared" si="547"/>
        <v>-93.941666666666663</v>
      </c>
      <c r="P218" s="12">
        <f t="shared" si="547"/>
        <v>-187.88333333333333</v>
      </c>
      <c r="Q218" s="12">
        <f t="shared" si="547"/>
        <v>-281.82499999999999</v>
      </c>
      <c r="R218" s="12">
        <f t="shared" si="547"/>
        <v>-675.23333333333335</v>
      </c>
      <c r="S218" s="12">
        <f t="shared" si="547"/>
        <v>-1068.6416666666667</v>
      </c>
      <c r="T218" s="12">
        <f t="shared" si="547"/>
        <v>-1462.05</v>
      </c>
      <c r="U218" s="12">
        <f t="shared" si="547"/>
        <v>-1138.5545310260084</v>
      </c>
      <c r="V218" s="12">
        <f t="shared" si="547"/>
        <v>-765.77540490915976</v>
      </c>
      <c r="W218" s="12">
        <f t="shared" si="547"/>
        <v>-342.26310232172295</v>
      </c>
      <c r="X218" s="12">
        <f t="shared" si="547"/>
        <v>133.51974572025938</v>
      </c>
      <c r="Y218" s="12">
        <f t="shared" si="547"/>
        <v>663.20659376224148</v>
      </c>
      <c r="Z218" s="12">
        <f t="shared" si="547"/>
        <v>1248.5362805139009</v>
      </c>
      <c r="AA218" s="12">
        <f t="shared" si="547"/>
        <v>496.68538998448139</v>
      </c>
      <c r="AB218" s="12">
        <f t="shared" si="547"/>
        <v>-668.52567639475137</v>
      </c>
      <c r="AC218" s="12">
        <f t="shared" si="547"/>
        <v>-2239.6704330462321</v>
      </c>
      <c r="AD218" s="12">
        <f t="shared" si="547"/>
        <v>-4204.7084383740257</v>
      </c>
      <c r="AE218" s="12">
        <f t="shared" si="547"/>
        <v>-6547.1085814383932</v>
      </c>
      <c r="AF218" s="12">
        <f t="shared" si="547"/>
        <v>-9246.020603751138</v>
      </c>
      <c r="AG218" s="12">
        <f t="shared" si="547"/>
        <v>-11795.529945410637</v>
      </c>
      <c r="AH218" s="12">
        <f t="shared" si="547"/>
        <v>-14647.807645630353</v>
      </c>
      <c r="AI218" s="12">
        <f t="shared" si="547"/>
        <v>-17770.523533679989</v>
      </c>
      <c r="AJ218" s="12">
        <f t="shared" si="547"/>
        <v>-20828.681056318979</v>
      </c>
      <c r="AK218" s="12">
        <f t="shared" si="547"/>
        <v>-24083.388629572382</v>
      </c>
      <c r="AL218" s="12">
        <f t="shared" si="547"/>
        <v>-27493.859110035599</v>
      </c>
      <c r="AM218" s="12">
        <f t="shared" si="547"/>
        <v>-31240.323976923832</v>
      </c>
      <c r="AN218" s="12">
        <f t="shared" si="547"/>
        <v>-32364.771749911964</v>
      </c>
      <c r="AO218" s="12">
        <f t="shared" si="547"/>
        <v>-33282.638120291842</v>
      </c>
      <c r="AP218" s="12">
        <f t="shared" ref="AP218:BU218" si="548">AO218+AP217</f>
        <v>-34981.938233528017</v>
      </c>
      <c r="AQ218" s="12">
        <f t="shared" si="548"/>
        <v>-36672.128675705302</v>
      </c>
      <c r="AR218" s="12">
        <f t="shared" si="548"/>
        <v>-38338.72312263718</v>
      </c>
      <c r="AS218" s="12">
        <f t="shared" si="548"/>
        <v>-37899.007242376312</v>
      </c>
      <c r="AT218" s="12">
        <f t="shared" si="548"/>
        <v>-37277.943994845693</v>
      </c>
      <c r="AU218" s="12">
        <f t="shared" si="548"/>
        <v>-36456.364985122651</v>
      </c>
      <c r="AV218" s="12">
        <f t="shared" si="548"/>
        <v>-35414.554780730126</v>
      </c>
      <c r="AW218" s="12">
        <f t="shared" si="548"/>
        <v>-34132.098539857834</v>
      </c>
      <c r="AX218" s="12">
        <f t="shared" si="548"/>
        <v>-32587.571973729839</v>
      </c>
      <c r="AY218" s="12">
        <f t="shared" si="548"/>
        <v>-34306.229551836368</v>
      </c>
      <c r="AZ218" s="12">
        <f t="shared" si="548"/>
        <v>-36768.07943054982</v>
      </c>
      <c r="BA218" s="12">
        <f t="shared" si="548"/>
        <v>-39931.263363616148</v>
      </c>
      <c r="BB218" s="12">
        <f t="shared" si="548"/>
        <v>-43733.36307428874</v>
      </c>
      <c r="BC218" s="12">
        <f t="shared" si="548"/>
        <v>-48074.49748624584</v>
      </c>
      <c r="BD218" s="12">
        <f t="shared" si="548"/>
        <v>-52731.515803249713</v>
      </c>
      <c r="BE218" s="12">
        <f t="shared" si="548"/>
        <v>-51721.75030004124</v>
      </c>
      <c r="BF218" s="12">
        <f t="shared" si="548"/>
        <v>-57233.299457394205</v>
      </c>
      <c r="BG218" s="12">
        <f t="shared" si="548"/>
        <v>-63330.376173891949</v>
      </c>
      <c r="BH218" s="12">
        <f t="shared" si="548"/>
        <v>-69158.439552113283</v>
      </c>
      <c r="BI218" s="12">
        <f t="shared" si="548"/>
        <v>-75409.688482974772</v>
      </c>
      <c r="BJ218" s="12">
        <f t="shared" si="548"/>
        <v>-81994.49114203779</v>
      </c>
      <c r="BK218" s="12">
        <f t="shared" si="548"/>
        <v>-89050.629942932937</v>
      </c>
      <c r="BL218" s="12">
        <f t="shared" si="548"/>
        <v>-89860.957212511043</v>
      </c>
      <c r="BM218" s="12">
        <f t="shared" si="548"/>
        <v>-90167.833753254992</v>
      </c>
      <c r="BN218" s="12">
        <f t="shared" si="548"/>
        <v>-91178.043596534015</v>
      </c>
      <c r="BO218" s="12">
        <f t="shared" si="548"/>
        <v>-92169.527226483522</v>
      </c>
      <c r="BP218" s="12">
        <f t="shared" si="548"/>
        <v>-15849.316586500121</v>
      </c>
      <c r="BQ218" s="12">
        <f t="shared" si="548"/>
        <v>-15631.089832070846</v>
      </c>
      <c r="BR218" s="12">
        <f t="shared" si="548"/>
        <v>-15196.469009241702</v>
      </c>
      <c r="BS218" s="12">
        <f t="shared" si="548"/>
        <v>-14512.210360518839</v>
      </c>
      <c r="BT218" s="12">
        <f t="shared" si="548"/>
        <v>-13543.52076626318</v>
      </c>
      <c r="BU218" s="12">
        <f t="shared" si="548"/>
        <v>-12253.594057921437</v>
      </c>
      <c r="BV218" s="12">
        <f t="shared" ref="BV218:DA218" si="549">BU218+BV217</f>
        <v>-10602.750010957352</v>
      </c>
      <c r="BW218" s="12">
        <f t="shared" si="549"/>
        <v>-11839.928840421511</v>
      </c>
      <c r="BX218" s="12">
        <f t="shared" si="549"/>
        <v>-13841.342120763402</v>
      </c>
      <c r="BY218" s="12">
        <f t="shared" si="549"/>
        <v>-16527.337671276582</v>
      </c>
      <c r="BZ218" s="12">
        <f t="shared" si="549"/>
        <v>-19778.108741954704</v>
      </c>
      <c r="CA218" s="12">
        <f t="shared" si="549"/>
        <v>-23389.444617853504</v>
      </c>
      <c r="CB218" s="12">
        <f t="shared" si="549"/>
        <v>-26849.686034213984</v>
      </c>
      <c r="CC218" s="12">
        <f t="shared" si="549"/>
        <v>-16384.850413060245</v>
      </c>
      <c r="CD218" s="12">
        <f t="shared" si="549"/>
        <v>-21921.305373389048</v>
      </c>
      <c r="CE218" s="12">
        <f t="shared" si="549"/>
        <v>-28168.256135238971</v>
      </c>
      <c r="CF218" s="12">
        <f t="shared" si="549"/>
        <v>-34336.552375099775</v>
      </c>
      <c r="CG218" s="12">
        <f t="shared" si="549"/>
        <v>-41022.89066648372</v>
      </c>
      <c r="CH218" s="12">
        <f t="shared" si="549"/>
        <v>-48121.046235697773</v>
      </c>
      <c r="CI218" s="12">
        <f t="shared" si="549"/>
        <v>-55519.584957732222</v>
      </c>
      <c r="CJ218" s="12">
        <f t="shared" si="549"/>
        <v>-56462.606577112383</v>
      </c>
      <c r="CK218" s="12">
        <f t="shared" si="549"/>
        <v>-56905.226816885202</v>
      </c>
      <c r="CL218" s="12">
        <f t="shared" si="549"/>
        <v>-57363.334693315737</v>
      </c>
      <c r="CM218" s="12">
        <f t="shared" si="549"/>
        <v>-57796.075785122011</v>
      </c>
      <c r="CN218" s="12">
        <f t="shared" si="549"/>
        <v>149579.93944581377</v>
      </c>
      <c r="CO218" s="12">
        <f t="shared" si="549"/>
        <v>147402.31538883731</v>
      </c>
      <c r="CP218" s="12">
        <f t="shared" si="549"/>
        <v>145377.25305274999</v>
      </c>
      <c r="CQ218" s="12">
        <f t="shared" si="549"/>
        <v>143548.03083029008</v>
      </c>
      <c r="CR218" s="12">
        <f t="shared" si="549"/>
        <v>141958.28186184636</v>
      </c>
      <c r="CS218" s="12">
        <f t="shared" si="549"/>
        <v>140652.2216191763</v>
      </c>
      <c r="CT218" s="12">
        <f t="shared" si="549"/>
        <v>139675.24092958943</v>
      </c>
      <c r="CU218" s="12">
        <f t="shared" si="549"/>
        <v>139075.15790835791</v>
      </c>
      <c r="CV218" s="12">
        <f t="shared" si="549"/>
        <v>138904.76942367887</v>
      </c>
      <c r="CW218" s="12">
        <f t="shared" si="549"/>
        <v>139227.29778026236</v>
      </c>
      <c r="CX218" s="12">
        <f t="shared" si="549"/>
        <v>140129.51246707456</v>
      </c>
      <c r="CY218" s="12">
        <f t="shared" si="549"/>
        <v>141761.63661729835</v>
      </c>
      <c r="CZ218" s="12">
        <f t="shared" si="549"/>
        <v>144537.78869672911</v>
      </c>
      <c r="DA218" s="12">
        <f t="shared" si="549"/>
        <v>159795.58584484924</v>
      </c>
      <c r="DB218" s="12">
        <f t="shared" ref="DB218:EG218" si="550">DA218+DB217</f>
        <v>161411.07393696936</v>
      </c>
      <c r="DC218" s="12">
        <f t="shared" si="550"/>
        <v>163026.56202908949</v>
      </c>
      <c r="DD218" s="12">
        <f t="shared" si="550"/>
        <v>164642.05012120961</v>
      </c>
      <c r="DE218" s="12">
        <f t="shared" si="550"/>
        <v>166257.53821332974</v>
      </c>
      <c r="DF218" s="12">
        <f t="shared" si="550"/>
        <v>167873.02630544986</v>
      </c>
      <c r="DG218" s="12">
        <f t="shared" si="550"/>
        <v>169488.51439756999</v>
      </c>
      <c r="DH218" s="12">
        <f t="shared" si="550"/>
        <v>171104.00248969012</v>
      </c>
      <c r="DI218" s="12">
        <f t="shared" si="550"/>
        <v>172719.49058181024</v>
      </c>
      <c r="DJ218" s="12">
        <f t="shared" si="550"/>
        <v>174334.97867393037</v>
      </c>
      <c r="DK218" s="12">
        <f t="shared" si="550"/>
        <v>175950.46676605049</v>
      </c>
      <c r="DL218" s="12">
        <f t="shared" si="550"/>
        <v>352502.74815417046</v>
      </c>
      <c r="DM218" s="12">
        <f t="shared" si="550"/>
        <v>352502.74815417046</v>
      </c>
      <c r="DN218" s="12">
        <f t="shared" si="550"/>
        <v>352502.74815417046</v>
      </c>
      <c r="DO218" s="12">
        <f t="shared" si="550"/>
        <v>352502.74815417046</v>
      </c>
      <c r="DP218" s="12">
        <f t="shared" si="550"/>
        <v>352502.74815417046</v>
      </c>
      <c r="DQ218" s="12">
        <f t="shared" si="550"/>
        <v>352502.74815417046</v>
      </c>
      <c r="DR218" s="12">
        <f t="shared" si="550"/>
        <v>352502.74815417046</v>
      </c>
      <c r="DS218" s="12">
        <f t="shared" si="550"/>
        <v>352502.74815417046</v>
      </c>
      <c r="DT218" s="12">
        <f t="shared" si="550"/>
        <v>352502.74815417046</v>
      </c>
      <c r="DU218" s="12">
        <f t="shared" si="550"/>
        <v>352502.74815417046</v>
      </c>
      <c r="DV218" s="12">
        <f t="shared" si="550"/>
        <v>352502.74815417046</v>
      </c>
      <c r="DW218" s="12">
        <f t="shared" si="550"/>
        <v>352502.74815417046</v>
      </c>
      <c r="DX218" s="12">
        <f t="shared" si="550"/>
        <v>352502.74815417046</v>
      </c>
      <c r="DY218" s="12">
        <f t="shared" si="550"/>
        <v>352502.74815417046</v>
      </c>
      <c r="DZ218" s="12">
        <f t="shared" si="550"/>
        <v>352502.74815417046</v>
      </c>
      <c r="EA218" s="12">
        <f t="shared" si="550"/>
        <v>352502.74815417046</v>
      </c>
      <c r="EB218" s="12">
        <f t="shared" si="550"/>
        <v>352502.74815417046</v>
      </c>
      <c r="EC218" s="12">
        <f t="shared" si="550"/>
        <v>352502.74815417046</v>
      </c>
      <c r="ED218" s="12">
        <f t="shared" si="550"/>
        <v>352502.74815417046</v>
      </c>
      <c r="EE218" s="12">
        <f t="shared" si="550"/>
        <v>352502.74815417046</v>
      </c>
      <c r="EF218" s="12">
        <f t="shared" si="550"/>
        <v>352502.74815417046</v>
      </c>
      <c r="EG218" s="12">
        <f t="shared" si="550"/>
        <v>352502.74815417046</v>
      </c>
      <c r="EH218" s="12">
        <f t="shared" ref="EH218:FH218" si="551">EG218+EH217</f>
        <v>352502.74815417046</v>
      </c>
      <c r="EI218" s="12">
        <f t="shared" si="551"/>
        <v>352502.74815417046</v>
      </c>
      <c r="EJ218" s="12">
        <f t="shared" si="551"/>
        <v>352502.74815417046</v>
      </c>
      <c r="EK218" s="12">
        <f t="shared" si="551"/>
        <v>352502.74815417046</v>
      </c>
      <c r="EL218" s="12">
        <f t="shared" si="551"/>
        <v>352502.74815417046</v>
      </c>
      <c r="EM218" s="12">
        <f t="shared" si="551"/>
        <v>352502.74815417046</v>
      </c>
      <c r="EN218" s="12">
        <f t="shared" si="551"/>
        <v>352502.74815417046</v>
      </c>
      <c r="EO218" s="12">
        <f t="shared" si="551"/>
        <v>352502.74815417046</v>
      </c>
      <c r="EP218" s="12">
        <f t="shared" si="551"/>
        <v>352502.74815417046</v>
      </c>
      <c r="EQ218" s="12">
        <f t="shared" si="551"/>
        <v>352502.74815417046</v>
      </c>
      <c r="ER218" s="12">
        <f t="shared" si="551"/>
        <v>352502.74815417046</v>
      </c>
      <c r="ES218" s="12">
        <f t="shared" si="551"/>
        <v>352502.74815417046</v>
      </c>
      <c r="ET218" s="12">
        <f t="shared" si="551"/>
        <v>352502.74815417046</v>
      </c>
      <c r="EU218" s="12">
        <f t="shared" si="551"/>
        <v>352502.74815417046</v>
      </c>
      <c r="EV218" s="12">
        <f t="shared" si="551"/>
        <v>352502.74815417046</v>
      </c>
      <c r="EW218" s="12">
        <f t="shared" si="551"/>
        <v>352502.74815417046</v>
      </c>
      <c r="EX218" s="12">
        <f t="shared" si="551"/>
        <v>352502.74815417046</v>
      </c>
      <c r="EY218" s="12">
        <f t="shared" si="551"/>
        <v>352502.74815417046</v>
      </c>
      <c r="EZ218" s="12">
        <f t="shared" si="551"/>
        <v>352502.74815417046</v>
      </c>
      <c r="FA218" s="12">
        <f t="shared" si="551"/>
        <v>352502.74815417046</v>
      </c>
      <c r="FB218" s="12">
        <f t="shared" si="551"/>
        <v>352502.74815417046</v>
      </c>
      <c r="FC218" s="12">
        <f t="shared" si="551"/>
        <v>352502.74815417046</v>
      </c>
      <c r="FD218" s="12">
        <f t="shared" si="551"/>
        <v>352502.74815417046</v>
      </c>
      <c r="FE218" s="12">
        <f t="shared" si="551"/>
        <v>352502.74815417046</v>
      </c>
      <c r="FF218" s="12">
        <f t="shared" si="551"/>
        <v>352502.74815417046</v>
      </c>
      <c r="FG218" s="12">
        <f t="shared" si="551"/>
        <v>352502.74815417046</v>
      </c>
      <c r="FH218" s="12">
        <f t="shared" si="551"/>
        <v>352502.74815417046</v>
      </c>
    </row>
    <row r="219" spans="1:164" x14ac:dyDescent="0.2">
      <c r="A219" s="10"/>
      <c r="B219" s="70" t="s">
        <v>926</v>
      </c>
      <c r="C219" s="70"/>
      <c r="D219" s="70"/>
      <c r="E219" s="70"/>
      <c r="F219" s="70"/>
      <c r="G219" s="70"/>
      <c r="H219" s="56">
        <f>SUM(I219:FH219)</f>
        <v>352502.74815417046</v>
      </c>
      <c r="I219" s="56">
        <f t="shared" ref="I219:AN219" si="552">I135+I171+I207</f>
        <v>0</v>
      </c>
      <c r="J219" s="56">
        <f t="shared" si="552"/>
        <v>0</v>
      </c>
      <c r="K219" s="56">
        <f t="shared" si="552"/>
        <v>0</v>
      </c>
      <c r="L219" s="56">
        <f t="shared" si="552"/>
        <v>0</v>
      </c>
      <c r="M219" s="56">
        <f t="shared" si="552"/>
        <v>0</v>
      </c>
      <c r="N219" s="56">
        <f t="shared" si="552"/>
        <v>0</v>
      </c>
      <c r="O219" s="56">
        <f t="shared" si="552"/>
        <v>-93.941666666666663</v>
      </c>
      <c r="P219" s="56">
        <f t="shared" si="552"/>
        <v>-93.941666666666663</v>
      </c>
      <c r="Q219" s="56">
        <f t="shared" si="552"/>
        <v>-93.941666666666663</v>
      </c>
      <c r="R219" s="56">
        <f t="shared" si="552"/>
        <v>-393.4083333333333</v>
      </c>
      <c r="S219" s="56">
        <f t="shared" si="552"/>
        <v>-393.4083333333333</v>
      </c>
      <c r="T219" s="56">
        <f t="shared" si="552"/>
        <v>-393.4083333333333</v>
      </c>
      <c r="U219" s="56">
        <f t="shared" si="552"/>
        <v>323.49546897399159</v>
      </c>
      <c r="V219" s="56">
        <f t="shared" si="552"/>
        <v>372.7791261168486</v>
      </c>
      <c r="W219" s="56">
        <f t="shared" si="552"/>
        <v>423.51230258743681</v>
      </c>
      <c r="X219" s="56">
        <f t="shared" si="552"/>
        <v>475.78284804198233</v>
      </c>
      <c r="Y219" s="56">
        <f t="shared" si="552"/>
        <v>529.6868480419821</v>
      </c>
      <c r="Z219" s="56">
        <f t="shared" si="552"/>
        <v>585.32968675165944</v>
      </c>
      <c r="AA219" s="56">
        <f t="shared" si="552"/>
        <v>-751.85089052941953</v>
      </c>
      <c r="AB219" s="56">
        <f t="shared" si="552"/>
        <v>-1165.2110663792328</v>
      </c>
      <c r="AC219" s="56">
        <f t="shared" si="552"/>
        <v>-1571.1447566514807</v>
      </c>
      <c r="AD219" s="56">
        <f t="shared" si="552"/>
        <v>-1965.0380053277936</v>
      </c>
      <c r="AE219" s="56">
        <f t="shared" si="552"/>
        <v>-2342.4001430643671</v>
      </c>
      <c r="AF219" s="56">
        <f t="shared" si="552"/>
        <v>-2698.9120223127452</v>
      </c>
      <c r="AG219" s="56">
        <f t="shared" si="552"/>
        <v>-2549.5093416594991</v>
      </c>
      <c r="AH219" s="56">
        <f t="shared" si="552"/>
        <v>-2852.2777002197172</v>
      </c>
      <c r="AI219" s="56">
        <f t="shared" si="552"/>
        <v>-3122.7158880496336</v>
      </c>
      <c r="AJ219" s="56">
        <f t="shared" si="552"/>
        <v>-3058.1575226389891</v>
      </c>
      <c r="AK219" s="56">
        <f t="shared" si="552"/>
        <v>-3254.7075732534026</v>
      </c>
      <c r="AL219" s="56">
        <f t="shared" si="552"/>
        <v>-3410.4704804632147</v>
      </c>
      <c r="AM219" s="56">
        <f t="shared" si="552"/>
        <v>-3746.4648668882323</v>
      </c>
      <c r="AN219" s="56">
        <f t="shared" si="552"/>
        <v>-1124.4477729881332</v>
      </c>
      <c r="AO219" s="56">
        <f t="shared" ref="AO219:BT219" si="553">AO135+AO171+AO207</f>
        <v>-917.86637037987862</v>
      </c>
      <c r="AP219" s="56">
        <f t="shared" si="553"/>
        <v>-1699.3001132361778</v>
      </c>
      <c r="AQ219" s="56">
        <f t="shared" si="553"/>
        <v>-1690.1904421772829</v>
      </c>
      <c r="AR219" s="56">
        <f t="shared" si="553"/>
        <v>-1666.594446931877</v>
      </c>
      <c r="AS219" s="56">
        <f t="shared" si="553"/>
        <v>439.71588026086533</v>
      </c>
      <c r="AT219" s="56">
        <f t="shared" si="553"/>
        <v>621.06324753061631</v>
      </c>
      <c r="AU219" s="56">
        <f t="shared" si="553"/>
        <v>821.5790097230439</v>
      </c>
      <c r="AV219" s="56">
        <f t="shared" si="553"/>
        <v>1041.8102043925255</v>
      </c>
      <c r="AW219" s="56">
        <f t="shared" si="553"/>
        <v>1282.4562408722952</v>
      </c>
      <c r="AX219" s="56">
        <f t="shared" si="553"/>
        <v>1544.5265661279943</v>
      </c>
      <c r="AY219" s="56">
        <f t="shared" si="553"/>
        <v>-1718.6575781065289</v>
      </c>
      <c r="AZ219" s="56">
        <f t="shared" si="553"/>
        <v>-2461.8498787134513</v>
      </c>
      <c r="BA219" s="56">
        <f t="shared" si="553"/>
        <v>-3163.1839330663279</v>
      </c>
      <c r="BB219" s="56">
        <f t="shared" si="553"/>
        <v>-3802.0997106725895</v>
      </c>
      <c r="BC219" s="56">
        <f t="shared" si="553"/>
        <v>-4341.1344119570986</v>
      </c>
      <c r="BD219" s="56">
        <f t="shared" si="553"/>
        <v>-4657.018317003869</v>
      </c>
      <c r="BE219" s="56">
        <f t="shared" si="553"/>
        <v>1009.7655032084767</v>
      </c>
      <c r="BF219" s="56">
        <f t="shared" si="553"/>
        <v>-5511.5491573529653</v>
      </c>
      <c r="BG219" s="56">
        <f t="shared" si="553"/>
        <v>-6097.076716497746</v>
      </c>
      <c r="BH219" s="56">
        <f t="shared" si="553"/>
        <v>-5828.0633782213299</v>
      </c>
      <c r="BI219" s="56">
        <f t="shared" si="553"/>
        <v>-6251.2489308614895</v>
      </c>
      <c r="BJ219" s="56">
        <f t="shared" si="553"/>
        <v>-6584.8026590630143</v>
      </c>
      <c r="BK219" s="56">
        <f t="shared" si="553"/>
        <v>-7056.1388008951426</v>
      </c>
      <c r="BL219" s="56">
        <f t="shared" si="553"/>
        <v>-810.32726957810883</v>
      </c>
      <c r="BM219" s="56">
        <f t="shared" si="553"/>
        <v>-306.87654074395232</v>
      </c>
      <c r="BN219" s="56">
        <f t="shared" si="553"/>
        <v>-1010.2098432790254</v>
      </c>
      <c r="BO219" s="56">
        <f t="shared" si="553"/>
        <v>-991.48362994950435</v>
      </c>
      <c r="BP219" s="56">
        <f t="shared" si="553"/>
        <v>76320.210639983401</v>
      </c>
      <c r="BQ219" s="56">
        <f t="shared" si="553"/>
        <v>218.22675442927471</v>
      </c>
      <c r="BR219" s="56">
        <f t="shared" si="553"/>
        <v>434.62082282914366</v>
      </c>
      <c r="BS219" s="56">
        <f t="shared" si="553"/>
        <v>684.25864872286434</v>
      </c>
      <c r="BT219" s="56">
        <f t="shared" si="553"/>
        <v>968.68959425565777</v>
      </c>
      <c r="BU219" s="56">
        <f t="shared" ref="BU219:CZ219" si="554">BU135+BU171+BU207</f>
        <v>1289.9267083417435</v>
      </c>
      <c r="BV219" s="56">
        <f t="shared" si="554"/>
        <v>1650.8440469640855</v>
      </c>
      <c r="BW219" s="56">
        <f t="shared" si="554"/>
        <v>-1237.1788294641601</v>
      </c>
      <c r="BX219" s="56">
        <f t="shared" si="554"/>
        <v>-2001.4132803418913</v>
      </c>
      <c r="BY219" s="56">
        <f t="shared" si="554"/>
        <v>-2685.9955505131802</v>
      </c>
      <c r="BZ219" s="56">
        <f t="shared" si="554"/>
        <v>-3250.7710706781236</v>
      </c>
      <c r="CA219" s="56">
        <f t="shared" si="554"/>
        <v>-3611.3358758988011</v>
      </c>
      <c r="CB219" s="56">
        <f t="shared" si="554"/>
        <v>-3460.2414163604799</v>
      </c>
      <c r="CC219" s="56">
        <f t="shared" si="554"/>
        <v>10464.835621153741</v>
      </c>
      <c r="CD219" s="56">
        <f t="shared" si="554"/>
        <v>-5536.4549603288051</v>
      </c>
      <c r="CE219" s="56">
        <f t="shared" si="554"/>
        <v>-6246.9507618499219</v>
      </c>
      <c r="CF219" s="56">
        <f t="shared" si="554"/>
        <v>-6168.2962398608006</v>
      </c>
      <c r="CG219" s="56">
        <f t="shared" si="554"/>
        <v>-6686.3382913839441</v>
      </c>
      <c r="CH219" s="56">
        <f t="shared" si="554"/>
        <v>-7098.1555692140564</v>
      </c>
      <c r="CI219" s="56">
        <f t="shared" si="554"/>
        <v>-7398.5387220344501</v>
      </c>
      <c r="CJ219" s="56">
        <f t="shared" si="554"/>
        <v>-943.02161938015797</v>
      </c>
      <c r="CK219" s="56">
        <f t="shared" si="554"/>
        <v>-442.62023977281751</v>
      </c>
      <c r="CL219" s="56">
        <f t="shared" si="554"/>
        <v>-458.10787643053391</v>
      </c>
      <c r="CM219" s="56">
        <f t="shared" si="554"/>
        <v>-432.74109180627374</v>
      </c>
      <c r="CN219" s="56">
        <f t="shared" si="554"/>
        <v>207376.01523093577</v>
      </c>
      <c r="CO219" s="56">
        <f t="shared" si="554"/>
        <v>-2177.6240569764741</v>
      </c>
      <c r="CP219" s="56">
        <f t="shared" si="554"/>
        <v>-2025.0623360873074</v>
      </c>
      <c r="CQ219" s="56">
        <f t="shared" si="554"/>
        <v>-1829.2222224599136</v>
      </c>
      <c r="CR219" s="56">
        <f t="shared" si="554"/>
        <v>-1589.7489684437089</v>
      </c>
      <c r="CS219" s="56">
        <f t="shared" si="554"/>
        <v>-1306.060242670058</v>
      </c>
      <c r="CT219" s="56">
        <f t="shared" si="554"/>
        <v>-976.98068958686099</v>
      </c>
      <c r="CU219" s="56">
        <f t="shared" si="554"/>
        <v>-600.08302123152453</v>
      </c>
      <c r="CV219" s="56">
        <f t="shared" si="554"/>
        <v>-170.38848467905973</v>
      </c>
      <c r="CW219" s="56">
        <f t="shared" si="554"/>
        <v>322.52835658350227</v>
      </c>
      <c r="CX219" s="56">
        <f t="shared" si="554"/>
        <v>902.21468681218767</v>
      </c>
      <c r="CY219" s="56">
        <f t="shared" si="554"/>
        <v>1632.1241502237881</v>
      </c>
      <c r="CZ219" s="56">
        <f t="shared" si="554"/>
        <v>2776.1520794307621</v>
      </c>
      <c r="DA219" s="56">
        <f t="shared" ref="DA219:EF219" si="555">DA135+DA171+DA207</f>
        <v>15257.797148120126</v>
      </c>
      <c r="DB219" s="56">
        <f t="shared" si="555"/>
        <v>1615.4880921201293</v>
      </c>
      <c r="DC219" s="56">
        <f t="shared" si="555"/>
        <v>1615.4880921201293</v>
      </c>
      <c r="DD219" s="56">
        <f t="shared" si="555"/>
        <v>1615.4880921201293</v>
      </c>
      <c r="DE219" s="56">
        <f t="shared" si="555"/>
        <v>1615.4880921201293</v>
      </c>
      <c r="DF219" s="56">
        <f t="shared" si="555"/>
        <v>1615.4880921201293</v>
      </c>
      <c r="DG219" s="56">
        <f t="shared" si="555"/>
        <v>1615.4880921201293</v>
      </c>
      <c r="DH219" s="56">
        <f t="shared" si="555"/>
        <v>1615.4880921201293</v>
      </c>
      <c r="DI219" s="56">
        <f t="shared" si="555"/>
        <v>1615.4880921201293</v>
      </c>
      <c r="DJ219" s="56">
        <f t="shared" si="555"/>
        <v>1615.4880921201293</v>
      </c>
      <c r="DK219" s="56">
        <f t="shared" si="555"/>
        <v>1615.4880921201293</v>
      </c>
      <c r="DL219" s="56">
        <f t="shared" si="555"/>
        <v>176552.28138811994</v>
      </c>
      <c r="DM219" s="56">
        <f t="shared" si="555"/>
        <v>0</v>
      </c>
      <c r="DN219" s="56">
        <f t="shared" si="555"/>
        <v>0</v>
      </c>
      <c r="DO219" s="56">
        <f t="shared" si="555"/>
        <v>0</v>
      </c>
      <c r="DP219" s="56">
        <f t="shared" si="555"/>
        <v>0</v>
      </c>
      <c r="DQ219" s="56">
        <f t="shared" si="555"/>
        <v>0</v>
      </c>
      <c r="DR219" s="56">
        <f t="shared" si="555"/>
        <v>0</v>
      </c>
      <c r="DS219" s="56">
        <f t="shared" si="555"/>
        <v>0</v>
      </c>
      <c r="DT219" s="56">
        <f t="shared" si="555"/>
        <v>0</v>
      </c>
      <c r="DU219" s="56">
        <f t="shared" si="555"/>
        <v>0</v>
      </c>
      <c r="DV219" s="56">
        <f t="shared" si="555"/>
        <v>0</v>
      </c>
      <c r="DW219" s="56">
        <f t="shared" si="555"/>
        <v>0</v>
      </c>
      <c r="DX219" s="56">
        <f t="shared" si="555"/>
        <v>0</v>
      </c>
      <c r="DY219" s="56">
        <f t="shared" si="555"/>
        <v>0</v>
      </c>
      <c r="DZ219" s="56">
        <f t="shared" si="555"/>
        <v>0</v>
      </c>
      <c r="EA219" s="56">
        <f t="shared" si="555"/>
        <v>0</v>
      </c>
      <c r="EB219" s="56">
        <f t="shared" si="555"/>
        <v>0</v>
      </c>
      <c r="EC219" s="56">
        <f t="shared" si="555"/>
        <v>0</v>
      </c>
      <c r="ED219" s="56">
        <f t="shared" si="555"/>
        <v>0</v>
      </c>
      <c r="EE219" s="56">
        <f t="shared" si="555"/>
        <v>0</v>
      </c>
      <c r="EF219" s="56">
        <f t="shared" si="555"/>
        <v>0</v>
      </c>
      <c r="EG219" s="56">
        <f t="shared" ref="EG219:FH219" si="556">EG135+EG171+EG207</f>
        <v>0</v>
      </c>
      <c r="EH219" s="56">
        <f t="shared" si="556"/>
        <v>0</v>
      </c>
      <c r="EI219" s="56">
        <f t="shared" si="556"/>
        <v>0</v>
      </c>
      <c r="EJ219" s="56">
        <f t="shared" si="556"/>
        <v>0</v>
      </c>
      <c r="EK219" s="56">
        <f t="shared" si="556"/>
        <v>0</v>
      </c>
      <c r="EL219" s="56">
        <f t="shared" si="556"/>
        <v>0</v>
      </c>
      <c r="EM219" s="56">
        <f t="shared" si="556"/>
        <v>0</v>
      </c>
      <c r="EN219" s="56">
        <f t="shared" si="556"/>
        <v>0</v>
      </c>
      <c r="EO219" s="56">
        <f t="shared" si="556"/>
        <v>0</v>
      </c>
      <c r="EP219" s="56">
        <f t="shared" si="556"/>
        <v>0</v>
      </c>
      <c r="EQ219" s="56">
        <f t="shared" si="556"/>
        <v>0</v>
      </c>
      <c r="ER219" s="56">
        <f t="shared" si="556"/>
        <v>0</v>
      </c>
      <c r="ES219" s="56">
        <f t="shared" si="556"/>
        <v>0</v>
      </c>
      <c r="ET219" s="56">
        <f t="shared" si="556"/>
        <v>0</v>
      </c>
      <c r="EU219" s="56">
        <f t="shared" si="556"/>
        <v>0</v>
      </c>
      <c r="EV219" s="56">
        <f t="shared" si="556"/>
        <v>0</v>
      </c>
      <c r="EW219" s="56">
        <f t="shared" si="556"/>
        <v>0</v>
      </c>
      <c r="EX219" s="56">
        <f t="shared" si="556"/>
        <v>0</v>
      </c>
      <c r="EY219" s="56">
        <f t="shared" si="556"/>
        <v>0</v>
      </c>
      <c r="EZ219" s="56">
        <f t="shared" si="556"/>
        <v>0</v>
      </c>
      <c r="FA219" s="56">
        <f t="shared" si="556"/>
        <v>0</v>
      </c>
      <c r="FB219" s="56">
        <f t="shared" si="556"/>
        <v>0</v>
      </c>
      <c r="FC219" s="56">
        <f t="shared" si="556"/>
        <v>0</v>
      </c>
      <c r="FD219" s="56">
        <f t="shared" si="556"/>
        <v>0</v>
      </c>
      <c r="FE219" s="56">
        <f t="shared" si="556"/>
        <v>0</v>
      </c>
      <c r="FF219" s="56">
        <f t="shared" si="556"/>
        <v>0</v>
      </c>
      <c r="FG219" s="56">
        <f t="shared" si="556"/>
        <v>0</v>
      </c>
      <c r="FH219" s="56">
        <f t="shared" si="556"/>
        <v>0</v>
      </c>
    </row>
    <row r="220" spans="1:164" x14ac:dyDescent="0.2">
      <c r="A220" s="10"/>
      <c r="B220" s="10"/>
      <c r="C220" s="10" t="s">
        <v>927</v>
      </c>
      <c r="D220" s="10"/>
      <c r="E220" s="10"/>
      <c r="F220" s="10"/>
      <c r="G220" s="10"/>
      <c r="H220" s="12"/>
      <c r="I220" s="12">
        <f>I219</f>
        <v>0</v>
      </c>
      <c r="J220" s="12">
        <f t="shared" ref="J220:AO220" si="557">I220+J219</f>
        <v>0</v>
      </c>
      <c r="K220" s="12">
        <f t="shared" si="557"/>
        <v>0</v>
      </c>
      <c r="L220" s="12">
        <f t="shared" si="557"/>
        <v>0</v>
      </c>
      <c r="M220" s="12">
        <f t="shared" si="557"/>
        <v>0</v>
      </c>
      <c r="N220" s="12">
        <f t="shared" si="557"/>
        <v>0</v>
      </c>
      <c r="O220" s="12">
        <f t="shared" si="557"/>
        <v>-93.941666666666663</v>
      </c>
      <c r="P220" s="12">
        <f t="shared" si="557"/>
        <v>-187.88333333333333</v>
      </c>
      <c r="Q220" s="12">
        <f t="shared" si="557"/>
        <v>-281.82499999999999</v>
      </c>
      <c r="R220" s="12">
        <f t="shared" si="557"/>
        <v>-675.23333333333335</v>
      </c>
      <c r="S220" s="12">
        <f t="shared" si="557"/>
        <v>-1068.6416666666667</v>
      </c>
      <c r="T220" s="12">
        <f t="shared" si="557"/>
        <v>-1462.05</v>
      </c>
      <c r="U220" s="12">
        <f t="shared" si="557"/>
        <v>-1138.5545310260084</v>
      </c>
      <c r="V220" s="12">
        <f t="shared" si="557"/>
        <v>-765.77540490915976</v>
      </c>
      <c r="W220" s="12">
        <f t="shared" si="557"/>
        <v>-342.26310232172295</v>
      </c>
      <c r="X220" s="12">
        <f t="shared" si="557"/>
        <v>133.51974572025938</v>
      </c>
      <c r="Y220" s="12">
        <f t="shared" si="557"/>
        <v>663.20659376224148</v>
      </c>
      <c r="Z220" s="12">
        <f t="shared" si="557"/>
        <v>1248.5362805139009</v>
      </c>
      <c r="AA220" s="12">
        <f t="shared" si="557"/>
        <v>496.68538998448139</v>
      </c>
      <c r="AB220" s="12">
        <f t="shared" si="557"/>
        <v>-668.52567639475137</v>
      </c>
      <c r="AC220" s="12">
        <f t="shared" si="557"/>
        <v>-2239.6704330462321</v>
      </c>
      <c r="AD220" s="12">
        <f t="shared" si="557"/>
        <v>-4204.7084383740257</v>
      </c>
      <c r="AE220" s="12">
        <f t="shared" si="557"/>
        <v>-6547.1085814383932</v>
      </c>
      <c r="AF220" s="12">
        <f t="shared" si="557"/>
        <v>-9246.020603751138</v>
      </c>
      <c r="AG220" s="12">
        <f t="shared" si="557"/>
        <v>-11795.529945410637</v>
      </c>
      <c r="AH220" s="12">
        <f t="shared" si="557"/>
        <v>-14647.807645630353</v>
      </c>
      <c r="AI220" s="12">
        <f t="shared" si="557"/>
        <v>-17770.523533679989</v>
      </c>
      <c r="AJ220" s="12">
        <f t="shared" si="557"/>
        <v>-20828.681056318979</v>
      </c>
      <c r="AK220" s="12">
        <f t="shared" si="557"/>
        <v>-24083.388629572382</v>
      </c>
      <c r="AL220" s="12">
        <f t="shared" si="557"/>
        <v>-27493.859110035599</v>
      </c>
      <c r="AM220" s="12">
        <f t="shared" si="557"/>
        <v>-31240.323976923832</v>
      </c>
      <c r="AN220" s="12">
        <f t="shared" si="557"/>
        <v>-32364.771749911964</v>
      </c>
      <c r="AO220" s="12">
        <f t="shared" si="557"/>
        <v>-33282.638120291842</v>
      </c>
      <c r="AP220" s="12">
        <f t="shared" ref="AP220:BU220" si="558">AO220+AP219</f>
        <v>-34981.938233528017</v>
      </c>
      <c r="AQ220" s="12">
        <f t="shared" si="558"/>
        <v>-36672.128675705302</v>
      </c>
      <c r="AR220" s="12">
        <f t="shared" si="558"/>
        <v>-38338.72312263718</v>
      </c>
      <c r="AS220" s="12">
        <f t="shared" si="558"/>
        <v>-37899.007242376312</v>
      </c>
      <c r="AT220" s="12">
        <f t="shared" si="558"/>
        <v>-37277.943994845693</v>
      </c>
      <c r="AU220" s="12">
        <f t="shared" si="558"/>
        <v>-36456.364985122651</v>
      </c>
      <c r="AV220" s="12">
        <f t="shared" si="558"/>
        <v>-35414.554780730126</v>
      </c>
      <c r="AW220" s="12">
        <f t="shared" si="558"/>
        <v>-34132.098539857834</v>
      </c>
      <c r="AX220" s="12">
        <f t="shared" si="558"/>
        <v>-32587.571973729839</v>
      </c>
      <c r="AY220" s="12">
        <f t="shared" si="558"/>
        <v>-34306.229551836368</v>
      </c>
      <c r="AZ220" s="12">
        <f t="shared" si="558"/>
        <v>-36768.07943054982</v>
      </c>
      <c r="BA220" s="12">
        <f t="shared" si="558"/>
        <v>-39931.263363616148</v>
      </c>
      <c r="BB220" s="12">
        <f t="shared" si="558"/>
        <v>-43733.36307428874</v>
      </c>
      <c r="BC220" s="12">
        <f t="shared" si="558"/>
        <v>-48074.49748624584</v>
      </c>
      <c r="BD220" s="12">
        <f t="shared" si="558"/>
        <v>-52731.515803249713</v>
      </c>
      <c r="BE220" s="12">
        <f t="shared" si="558"/>
        <v>-51721.75030004124</v>
      </c>
      <c r="BF220" s="12">
        <f t="shared" si="558"/>
        <v>-57233.299457394205</v>
      </c>
      <c r="BG220" s="12">
        <f t="shared" si="558"/>
        <v>-63330.376173891949</v>
      </c>
      <c r="BH220" s="12">
        <f t="shared" si="558"/>
        <v>-69158.439552113283</v>
      </c>
      <c r="BI220" s="12">
        <f t="shared" si="558"/>
        <v>-75409.688482974772</v>
      </c>
      <c r="BJ220" s="12">
        <f t="shared" si="558"/>
        <v>-81994.49114203779</v>
      </c>
      <c r="BK220" s="12">
        <f t="shared" si="558"/>
        <v>-89050.629942932937</v>
      </c>
      <c r="BL220" s="12">
        <f t="shared" si="558"/>
        <v>-89860.957212511043</v>
      </c>
      <c r="BM220" s="12">
        <f t="shared" si="558"/>
        <v>-90167.833753254992</v>
      </c>
      <c r="BN220" s="12">
        <f t="shared" si="558"/>
        <v>-91178.043596534015</v>
      </c>
      <c r="BO220" s="12">
        <f t="shared" si="558"/>
        <v>-92169.527226483522</v>
      </c>
      <c r="BP220" s="12">
        <f t="shared" si="558"/>
        <v>-15849.316586500121</v>
      </c>
      <c r="BQ220" s="12">
        <f t="shared" si="558"/>
        <v>-15631.089832070846</v>
      </c>
      <c r="BR220" s="12">
        <f t="shared" si="558"/>
        <v>-15196.469009241702</v>
      </c>
      <c r="BS220" s="12">
        <f t="shared" si="558"/>
        <v>-14512.210360518839</v>
      </c>
      <c r="BT220" s="12">
        <f t="shared" si="558"/>
        <v>-13543.52076626318</v>
      </c>
      <c r="BU220" s="12">
        <f t="shared" si="558"/>
        <v>-12253.594057921437</v>
      </c>
      <c r="BV220" s="12">
        <f t="shared" ref="BV220:DA220" si="559">BU220+BV219</f>
        <v>-10602.750010957352</v>
      </c>
      <c r="BW220" s="12">
        <f t="shared" si="559"/>
        <v>-11839.928840421511</v>
      </c>
      <c r="BX220" s="12">
        <f t="shared" si="559"/>
        <v>-13841.342120763402</v>
      </c>
      <c r="BY220" s="12">
        <f t="shared" si="559"/>
        <v>-16527.337671276582</v>
      </c>
      <c r="BZ220" s="12">
        <f t="shared" si="559"/>
        <v>-19778.108741954704</v>
      </c>
      <c r="CA220" s="12">
        <f t="shared" si="559"/>
        <v>-23389.444617853504</v>
      </c>
      <c r="CB220" s="12">
        <f t="shared" si="559"/>
        <v>-26849.686034213984</v>
      </c>
      <c r="CC220" s="12">
        <f t="shared" si="559"/>
        <v>-16384.850413060245</v>
      </c>
      <c r="CD220" s="12">
        <f t="shared" si="559"/>
        <v>-21921.305373389048</v>
      </c>
      <c r="CE220" s="12">
        <f t="shared" si="559"/>
        <v>-28168.256135238971</v>
      </c>
      <c r="CF220" s="12">
        <f t="shared" si="559"/>
        <v>-34336.552375099775</v>
      </c>
      <c r="CG220" s="12">
        <f t="shared" si="559"/>
        <v>-41022.89066648372</v>
      </c>
      <c r="CH220" s="12">
        <f t="shared" si="559"/>
        <v>-48121.046235697773</v>
      </c>
      <c r="CI220" s="12">
        <f t="shared" si="559"/>
        <v>-55519.584957732222</v>
      </c>
      <c r="CJ220" s="12">
        <f t="shared" si="559"/>
        <v>-56462.606577112383</v>
      </c>
      <c r="CK220" s="12">
        <f t="shared" si="559"/>
        <v>-56905.226816885202</v>
      </c>
      <c r="CL220" s="12">
        <f t="shared" si="559"/>
        <v>-57363.334693315737</v>
      </c>
      <c r="CM220" s="12">
        <f t="shared" si="559"/>
        <v>-57796.075785122011</v>
      </c>
      <c r="CN220" s="12">
        <f t="shared" si="559"/>
        <v>149579.93944581377</v>
      </c>
      <c r="CO220" s="12">
        <f t="shared" si="559"/>
        <v>147402.31538883731</v>
      </c>
      <c r="CP220" s="12">
        <f t="shared" si="559"/>
        <v>145377.25305274999</v>
      </c>
      <c r="CQ220" s="12">
        <f t="shared" si="559"/>
        <v>143548.03083029008</v>
      </c>
      <c r="CR220" s="12">
        <f t="shared" si="559"/>
        <v>141958.28186184636</v>
      </c>
      <c r="CS220" s="12">
        <f t="shared" si="559"/>
        <v>140652.2216191763</v>
      </c>
      <c r="CT220" s="12">
        <f t="shared" si="559"/>
        <v>139675.24092958943</v>
      </c>
      <c r="CU220" s="12">
        <f t="shared" si="559"/>
        <v>139075.15790835791</v>
      </c>
      <c r="CV220" s="12">
        <f t="shared" si="559"/>
        <v>138904.76942367887</v>
      </c>
      <c r="CW220" s="12">
        <f t="shared" si="559"/>
        <v>139227.29778026236</v>
      </c>
      <c r="CX220" s="12">
        <f t="shared" si="559"/>
        <v>140129.51246707456</v>
      </c>
      <c r="CY220" s="12">
        <f t="shared" si="559"/>
        <v>141761.63661729835</v>
      </c>
      <c r="CZ220" s="12">
        <f t="shared" si="559"/>
        <v>144537.78869672911</v>
      </c>
      <c r="DA220" s="12">
        <f t="shared" si="559"/>
        <v>159795.58584484924</v>
      </c>
      <c r="DB220" s="12">
        <f t="shared" ref="DB220:EG220" si="560">DA220+DB219</f>
        <v>161411.07393696936</v>
      </c>
      <c r="DC220" s="12">
        <f t="shared" si="560"/>
        <v>163026.56202908949</v>
      </c>
      <c r="DD220" s="12">
        <f t="shared" si="560"/>
        <v>164642.05012120961</v>
      </c>
      <c r="DE220" s="12">
        <f t="shared" si="560"/>
        <v>166257.53821332974</v>
      </c>
      <c r="DF220" s="12">
        <f t="shared" si="560"/>
        <v>167873.02630544986</v>
      </c>
      <c r="DG220" s="12">
        <f t="shared" si="560"/>
        <v>169488.51439756999</v>
      </c>
      <c r="DH220" s="12">
        <f t="shared" si="560"/>
        <v>171104.00248969012</v>
      </c>
      <c r="DI220" s="12">
        <f t="shared" si="560"/>
        <v>172719.49058181024</v>
      </c>
      <c r="DJ220" s="12">
        <f t="shared" si="560"/>
        <v>174334.97867393037</v>
      </c>
      <c r="DK220" s="12">
        <f t="shared" si="560"/>
        <v>175950.46676605049</v>
      </c>
      <c r="DL220" s="12">
        <f t="shared" si="560"/>
        <v>352502.74815417046</v>
      </c>
      <c r="DM220" s="12">
        <f t="shared" si="560"/>
        <v>352502.74815417046</v>
      </c>
      <c r="DN220" s="12">
        <f t="shared" si="560"/>
        <v>352502.74815417046</v>
      </c>
      <c r="DO220" s="12">
        <f t="shared" si="560"/>
        <v>352502.74815417046</v>
      </c>
      <c r="DP220" s="12">
        <f t="shared" si="560"/>
        <v>352502.74815417046</v>
      </c>
      <c r="DQ220" s="12">
        <f t="shared" si="560"/>
        <v>352502.74815417046</v>
      </c>
      <c r="DR220" s="12">
        <f t="shared" si="560"/>
        <v>352502.74815417046</v>
      </c>
      <c r="DS220" s="12">
        <f t="shared" si="560"/>
        <v>352502.74815417046</v>
      </c>
      <c r="DT220" s="12">
        <f t="shared" si="560"/>
        <v>352502.74815417046</v>
      </c>
      <c r="DU220" s="12">
        <f t="shared" si="560"/>
        <v>352502.74815417046</v>
      </c>
      <c r="DV220" s="12">
        <f t="shared" si="560"/>
        <v>352502.74815417046</v>
      </c>
      <c r="DW220" s="12">
        <f t="shared" si="560"/>
        <v>352502.74815417046</v>
      </c>
      <c r="DX220" s="12">
        <f t="shared" si="560"/>
        <v>352502.74815417046</v>
      </c>
      <c r="DY220" s="12">
        <f t="shared" si="560"/>
        <v>352502.74815417046</v>
      </c>
      <c r="DZ220" s="12">
        <f t="shared" si="560"/>
        <v>352502.74815417046</v>
      </c>
      <c r="EA220" s="12">
        <f t="shared" si="560"/>
        <v>352502.74815417046</v>
      </c>
      <c r="EB220" s="12">
        <f t="shared" si="560"/>
        <v>352502.74815417046</v>
      </c>
      <c r="EC220" s="12">
        <f t="shared" si="560"/>
        <v>352502.74815417046</v>
      </c>
      <c r="ED220" s="12">
        <f t="shared" si="560"/>
        <v>352502.74815417046</v>
      </c>
      <c r="EE220" s="12">
        <f t="shared" si="560"/>
        <v>352502.74815417046</v>
      </c>
      <c r="EF220" s="12">
        <f t="shared" si="560"/>
        <v>352502.74815417046</v>
      </c>
      <c r="EG220" s="12">
        <f t="shared" si="560"/>
        <v>352502.74815417046</v>
      </c>
      <c r="EH220" s="12">
        <f t="shared" ref="EH220:FH220" si="561">EG220+EH219</f>
        <v>352502.74815417046</v>
      </c>
      <c r="EI220" s="12">
        <f t="shared" si="561"/>
        <v>352502.74815417046</v>
      </c>
      <c r="EJ220" s="12">
        <f t="shared" si="561"/>
        <v>352502.74815417046</v>
      </c>
      <c r="EK220" s="12">
        <f t="shared" si="561"/>
        <v>352502.74815417046</v>
      </c>
      <c r="EL220" s="12">
        <f t="shared" si="561"/>
        <v>352502.74815417046</v>
      </c>
      <c r="EM220" s="12">
        <f t="shared" si="561"/>
        <v>352502.74815417046</v>
      </c>
      <c r="EN220" s="12">
        <f t="shared" si="561"/>
        <v>352502.74815417046</v>
      </c>
      <c r="EO220" s="12">
        <f t="shared" si="561"/>
        <v>352502.74815417046</v>
      </c>
      <c r="EP220" s="12">
        <f t="shared" si="561"/>
        <v>352502.74815417046</v>
      </c>
      <c r="EQ220" s="12">
        <f t="shared" si="561"/>
        <v>352502.74815417046</v>
      </c>
      <c r="ER220" s="12">
        <f t="shared" si="561"/>
        <v>352502.74815417046</v>
      </c>
      <c r="ES220" s="12">
        <f t="shared" si="561"/>
        <v>352502.74815417046</v>
      </c>
      <c r="ET220" s="12">
        <f t="shared" si="561"/>
        <v>352502.74815417046</v>
      </c>
      <c r="EU220" s="12">
        <f t="shared" si="561"/>
        <v>352502.74815417046</v>
      </c>
      <c r="EV220" s="12">
        <f t="shared" si="561"/>
        <v>352502.74815417046</v>
      </c>
      <c r="EW220" s="12">
        <f t="shared" si="561"/>
        <v>352502.74815417046</v>
      </c>
      <c r="EX220" s="12">
        <f t="shared" si="561"/>
        <v>352502.74815417046</v>
      </c>
      <c r="EY220" s="12">
        <f t="shared" si="561"/>
        <v>352502.74815417046</v>
      </c>
      <c r="EZ220" s="12">
        <f t="shared" si="561"/>
        <v>352502.74815417046</v>
      </c>
      <c r="FA220" s="12">
        <f t="shared" si="561"/>
        <v>352502.74815417046</v>
      </c>
      <c r="FB220" s="12">
        <f t="shared" si="561"/>
        <v>352502.74815417046</v>
      </c>
      <c r="FC220" s="12">
        <f t="shared" si="561"/>
        <v>352502.74815417046</v>
      </c>
      <c r="FD220" s="12">
        <f t="shared" si="561"/>
        <v>352502.74815417046</v>
      </c>
      <c r="FE220" s="12">
        <f t="shared" si="561"/>
        <v>352502.74815417046</v>
      </c>
      <c r="FF220" s="12">
        <f t="shared" si="561"/>
        <v>352502.74815417046</v>
      </c>
      <c r="FG220" s="12">
        <f t="shared" si="561"/>
        <v>352502.74815417046</v>
      </c>
      <c r="FH220" s="12">
        <f t="shared" si="561"/>
        <v>352502.74815417046</v>
      </c>
    </row>
    <row r="221" spans="1:164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</row>
    <row r="222" spans="1:164" x14ac:dyDescent="0.2">
      <c r="A222" s="10"/>
      <c r="B222" s="24" t="s">
        <v>928</v>
      </c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</row>
    <row r="223" spans="1:164" x14ac:dyDescent="0.2">
      <c r="A223" s="10"/>
      <c r="B223" s="10"/>
      <c r="C223" s="10" t="s">
        <v>739</v>
      </c>
      <c r="D223" s="10"/>
      <c r="E223" s="10"/>
      <c r="F223" s="10"/>
      <c r="G223" s="10"/>
      <c r="H223" s="10"/>
      <c r="I223" s="240">
        <f>2026</f>
        <v>2026</v>
      </c>
      <c r="J223" s="240">
        <f t="shared" ref="J223:AB223" si="562">I223+1</f>
        <v>2027</v>
      </c>
      <c r="K223" s="240">
        <f t="shared" si="562"/>
        <v>2028</v>
      </c>
      <c r="L223" s="240">
        <f t="shared" si="562"/>
        <v>2029</v>
      </c>
      <c r="M223" s="240">
        <f t="shared" si="562"/>
        <v>2030</v>
      </c>
      <c r="N223" s="240">
        <f t="shared" si="562"/>
        <v>2031</v>
      </c>
      <c r="O223" s="240">
        <f t="shared" si="562"/>
        <v>2032</v>
      </c>
      <c r="P223" s="240">
        <f t="shared" si="562"/>
        <v>2033</v>
      </c>
      <c r="Q223" s="240">
        <f t="shared" si="562"/>
        <v>2034</v>
      </c>
      <c r="R223" s="240">
        <f t="shared" si="562"/>
        <v>2035</v>
      </c>
      <c r="S223" s="240">
        <f t="shared" si="562"/>
        <v>2036</v>
      </c>
      <c r="T223" s="240">
        <f t="shared" si="562"/>
        <v>2037</v>
      </c>
      <c r="U223" s="240">
        <f t="shared" si="562"/>
        <v>2038</v>
      </c>
      <c r="V223" s="240">
        <f t="shared" si="562"/>
        <v>2039</v>
      </c>
      <c r="W223" s="240">
        <f t="shared" si="562"/>
        <v>2040</v>
      </c>
      <c r="X223" s="240">
        <f t="shared" si="562"/>
        <v>2041</v>
      </c>
      <c r="Y223" s="240">
        <f t="shared" si="562"/>
        <v>2042</v>
      </c>
      <c r="Z223" s="240">
        <f t="shared" si="562"/>
        <v>2043</v>
      </c>
      <c r="AA223" s="240">
        <f t="shared" si="562"/>
        <v>2044</v>
      </c>
      <c r="AB223" s="240">
        <f t="shared" si="562"/>
        <v>2045</v>
      </c>
      <c r="AC223" s="101" t="s">
        <v>28</v>
      </c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</row>
    <row r="224" spans="1:164" x14ac:dyDescent="0.2">
      <c r="A224" s="10"/>
      <c r="B224" s="10"/>
      <c r="C224" s="10" t="s">
        <v>929</v>
      </c>
      <c r="D224" s="10"/>
      <c r="E224" s="10"/>
      <c r="F224" s="10"/>
      <c r="G224" s="10"/>
      <c r="H224" s="12">
        <f t="shared" ref="H224:H229" si="563">SUM(I224:AB224)</f>
        <v>57160.918385964265</v>
      </c>
      <c r="I224" s="12" cm="1">
        <f t="array" ref="I224">SUMPRODUCT(($I$7:$FH$7=I$223)*$I$135:$FH$135)</f>
        <v>0</v>
      </c>
      <c r="J224" s="12" cm="1">
        <f t="array" ref="J224">SUMPRODUCT(($I$7:$FH$7=J$223)*$I$135:$FH$135)</f>
        <v>-1462.05</v>
      </c>
      <c r="K224" s="12" cm="1">
        <f t="array" ref="K224">SUMPRODUCT(($I$7:$FH$7=K$223)*$I$135:$FH$135)</f>
        <v>-7783.9706037511387</v>
      </c>
      <c r="L224" s="12" cm="1">
        <f t="array" ref="L224">SUMPRODUCT(($I$7:$FH$7=L$223)*$I$135:$FH$135)</f>
        <v>-25425.112518886039</v>
      </c>
      <c r="M224" s="12" cm="1">
        <f t="array" ref="M224">SUMPRODUCT(($I$7:$FH$7=M$223)*$I$135:$FH$135)</f>
        <v>132.26936765727601</v>
      </c>
      <c r="N224" s="12" cm="1">
        <f t="array" ref="N224">SUMPRODUCT(($I$7:$FH$7=N$223)*$I$135:$FH$135)</f>
        <v>91699.782140944168</v>
      </c>
      <c r="O224" s="12" cm="1">
        <f t="array" ref="O224">SUMPRODUCT(($I$7:$FH$7=O$223)*$I$135:$FH$135)</f>
        <v>0</v>
      </c>
      <c r="P224" s="12" cm="1">
        <f t="array" ref="P224">SUMPRODUCT(($I$7:$FH$7=P$223)*$I$135:$FH$135)</f>
        <v>0</v>
      </c>
      <c r="Q224" s="12" cm="1">
        <f t="array" ref="Q224">SUMPRODUCT(($I$7:$FH$7=Q$223)*$I$135:$FH$135)</f>
        <v>0</v>
      </c>
      <c r="R224" s="12" cm="1">
        <f t="array" ref="R224">SUMPRODUCT(($I$7:$FH$7=R$223)*$I$135:$FH$135)</f>
        <v>0</v>
      </c>
      <c r="S224" s="12" cm="1">
        <f t="array" ref="S224">SUMPRODUCT(($I$7:$FH$7=S$223)*$I$135:$FH$135)</f>
        <v>0</v>
      </c>
      <c r="T224" s="12" cm="1">
        <f t="array" ref="T224">SUMPRODUCT(($I$7:$FH$7=T$223)*$I$135:$FH$135)</f>
        <v>0</v>
      </c>
      <c r="U224" s="12" cm="1">
        <f t="array" ref="U224">SUMPRODUCT(($I$7:$FH$7=U$223)*$I$135:$FH$135)</f>
        <v>0</v>
      </c>
      <c r="V224" s="12" cm="1">
        <f t="array" ref="V224">SUMPRODUCT(($I$7:$FH$7=V$223)*$I$135:$FH$135)</f>
        <v>0</v>
      </c>
      <c r="W224" s="12" cm="1">
        <f t="array" ref="W224">SUMPRODUCT(($I$7:$FH$7=W$223)*$I$135:$FH$135)</f>
        <v>0</v>
      </c>
      <c r="X224" s="12" cm="1">
        <f t="array" ref="X224">SUMPRODUCT(($I$7:$FH$7=X$223)*$I$135:$FH$135)</f>
        <v>0</v>
      </c>
      <c r="Y224" s="12" cm="1">
        <f t="array" ref="Y224">SUMPRODUCT(($I$7:$FH$7=Y$223)*$I$135:$FH$135)</f>
        <v>0</v>
      </c>
      <c r="Z224" s="12" cm="1">
        <f t="array" ref="Z224">SUMPRODUCT(($I$7:$FH$7=Z$223)*$I$135:$FH$135)</f>
        <v>0</v>
      </c>
      <c r="AA224" s="12" cm="1">
        <f t="array" ref="AA224">SUMPRODUCT(($I$7:$FH$7=AA$223)*$I$135:$FH$135)</f>
        <v>0</v>
      </c>
      <c r="AB224" s="12" cm="1">
        <f t="array" ref="AB224">SUMPRODUCT(($I$7:$FH$7=AB$223)*$I$135:$FH$135)</f>
        <v>0</v>
      </c>
      <c r="AC224" s="12">
        <f>0</f>
        <v>0</v>
      </c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</row>
    <row r="225" spans="1:164" x14ac:dyDescent="0.2">
      <c r="A225" s="10"/>
      <c r="B225" s="10"/>
      <c r="C225" s="10" t="s">
        <v>930</v>
      </c>
      <c r="D225" s="10"/>
      <c r="E225" s="10"/>
      <c r="F225" s="10"/>
      <c r="G225" s="10"/>
      <c r="H225" s="12">
        <f t="shared" si="563"/>
        <v>184140.53618729691</v>
      </c>
      <c r="I225" s="12" cm="1">
        <f t="array" ref="I225">SUMPRODUCT(($I$7:$FH$7=I$223)*$I$171:$FH$171)</f>
        <v>0</v>
      </c>
      <c r="J225" s="12" cm="1">
        <f t="array" ref="J225">SUMPRODUCT(($I$7:$FH$7=J$223)*$I$171:$FH$171)</f>
        <v>0</v>
      </c>
      <c r="K225" s="12" cm="1">
        <f t="array" ref="K225">SUMPRODUCT(($I$7:$FH$7=K$223)*$I$171:$FH$171)</f>
        <v>0</v>
      </c>
      <c r="L225" s="12" cm="1">
        <f t="array" ref="L225">SUMPRODUCT(($I$7:$FH$7=L$223)*$I$171:$FH$171)</f>
        <v>-3667.59</v>
      </c>
      <c r="M225" s="12" cm="1">
        <f t="array" ref="M225">SUMPRODUCT(($I$7:$FH$7=M$223)*$I$171:$FH$171)</f>
        <v>-14525.062048269801</v>
      </c>
      <c r="N225" s="12" cm="1">
        <f t="array" ref="N225">SUMPRODUCT(($I$7:$FH$7=N$223)*$I$171:$FH$171)</f>
        <v>-51336.691924194572</v>
      </c>
      <c r="O225" s="12" cm="1">
        <f t="array" ref="O225">SUMPRODUCT(($I$7:$FH$7=O$223)*$I$171:$FH$171)</f>
        <v>7661.6685108576939</v>
      </c>
      <c r="P225" s="12" cm="1">
        <f t="array" ref="P225">SUMPRODUCT(($I$7:$FH$7=P$223)*$I$171:$FH$171)</f>
        <v>246008.21164890358</v>
      </c>
      <c r="Q225" s="12" cm="1">
        <f t="array" ref="Q225">SUMPRODUCT(($I$7:$FH$7=Q$223)*$I$171:$FH$171)</f>
        <v>0</v>
      </c>
      <c r="R225" s="12" cm="1">
        <f t="array" ref="R225">SUMPRODUCT(($I$7:$FH$7=R$223)*$I$171:$FH$171)</f>
        <v>0</v>
      </c>
      <c r="S225" s="12" cm="1">
        <f t="array" ref="S225">SUMPRODUCT(($I$7:$FH$7=S$223)*$I$171:$FH$171)</f>
        <v>0</v>
      </c>
      <c r="T225" s="12" cm="1">
        <f t="array" ref="T225">SUMPRODUCT(($I$7:$FH$7=T$223)*$I$171:$FH$171)</f>
        <v>0</v>
      </c>
      <c r="U225" s="12" cm="1">
        <f t="array" ref="U225">SUMPRODUCT(($I$7:$FH$7=U$223)*$I$171:$FH$171)</f>
        <v>0</v>
      </c>
      <c r="V225" s="12" cm="1">
        <f t="array" ref="V225">SUMPRODUCT(($I$7:$FH$7=V$223)*$I$171:$FH$171)</f>
        <v>0</v>
      </c>
      <c r="W225" s="12" cm="1">
        <f t="array" ref="W225">SUMPRODUCT(($I$7:$FH$7=W$223)*$I$171:$FH$171)</f>
        <v>0</v>
      </c>
      <c r="X225" s="12" cm="1">
        <f t="array" ref="X225">SUMPRODUCT(($I$7:$FH$7=X$223)*$I$171:$FH$171)</f>
        <v>0</v>
      </c>
      <c r="Y225" s="12" cm="1">
        <f t="array" ref="Y225">SUMPRODUCT(($I$7:$FH$7=Y$223)*$I$171:$FH$171)</f>
        <v>0</v>
      </c>
      <c r="Z225" s="12" cm="1">
        <f t="array" ref="Z225">SUMPRODUCT(($I$7:$FH$7=Z$223)*$I$171:$FH$171)</f>
        <v>0</v>
      </c>
      <c r="AA225" s="12" cm="1">
        <f t="array" ref="AA225">SUMPRODUCT(($I$7:$FH$7=AA$223)*$I$171:$FH$171)</f>
        <v>0</v>
      </c>
      <c r="AB225" s="12" cm="1">
        <f t="array" ref="AB225">SUMPRODUCT(($I$7:$FH$7=AB$223)*$I$171:$FH$171)</f>
        <v>0</v>
      </c>
      <c r="AC225" s="12">
        <f>0</f>
        <v>0</v>
      </c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</row>
    <row r="226" spans="1:164" x14ac:dyDescent="0.2">
      <c r="A226" s="10"/>
      <c r="B226" s="10"/>
      <c r="C226" s="10" t="s">
        <v>931</v>
      </c>
      <c r="D226" s="10"/>
      <c r="E226" s="10"/>
      <c r="F226" s="10"/>
      <c r="G226" s="10"/>
      <c r="H226" s="12">
        <f t="shared" si="563"/>
        <v>111201.29358090926</v>
      </c>
      <c r="I226" s="12" cm="1">
        <f t="array" ref="I226">SUMPRODUCT(($I$7:$FH$7=I$223)*$I$207:$FH$207)</f>
        <v>0</v>
      </c>
      <c r="J226" s="12" cm="1">
        <f t="array" ref="J226">SUMPRODUCT(($I$7:$FH$7=J$223)*$I$207:$FH$207)</f>
        <v>0</v>
      </c>
      <c r="K226" s="12" cm="1">
        <f t="array" ref="K226">SUMPRODUCT(($I$7:$FH$7=K$223)*$I$207:$FH$207)</f>
        <v>0</v>
      </c>
      <c r="L226" s="12" cm="1">
        <f t="array" ref="L226">SUMPRODUCT(($I$7:$FH$7=L$223)*$I$207:$FH$207)</f>
        <v>0</v>
      </c>
      <c r="M226" s="12" cm="1">
        <f t="array" ref="M226">SUMPRODUCT(($I$7:$FH$7=M$223)*$I$207:$FH$207)</f>
        <v>0</v>
      </c>
      <c r="N226" s="12" cm="1">
        <f t="array" ref="N226">SUMPRODUCT(($I$7:$FH$7=N$223)*$I$207:$FH$207)</f>
        <v>-3480.8909999999996</v>
      </c>
      <c r="O226" s="12" cm="1">
        <f t="array" ref="O226">SUMPRODUCT(($I$7:$FH$7=O$223)*$I$207:$FH$207)</f>
        <v>-18662.037958571564</v>
      </c>
      <c r="P226" s="12" cm="1">
        <f t="array" ref="P226">SUMPRODUCT(($I$7:$FH$7=P$223)*$I$207:$FH$207)</f>
        <v>-69578.58616887586</v>
      </c>
      <c r="Q226" s="12" cm="1">
        <f t="array" ref="Q226">SUMPRODUCT(($I$7:$FH$7=Q$223)*$I$207:$FH$207)</f>
        <v>-5042.150749084667</v>
      </c>
      <c r="R226" s="12" cm="1">
        <f t="array" ref="R226">SUMPRODUCT(($I$7:$FH$7=R$223)*$I$207:$FH$207)</f>
        <v>207964.95945744135</v>
      </c>
      <c r="S226" s="12" cm="1">
        <f t="array" ref="S226">SUMPRODUCT(($I$7:$FH$7=S$223)*$I$207:$FH$207)</f>
        <v>0</v>
      </c>
      <c r="T226" s="12" cm="1">
        <f t="array" ref="T226">SUMPRODUCT(($I$7:$FH$7=T$223)*$I$207:$FH$207)</f>
        <v>0</v>
      </c>
      <c r="U226" s="12" cm="1">
        <f t="array" ref="U226">SUMPRODUCT(($I$7:$FH$7=U$223)*$I$207:$FH$207)</f>
        <v>0</v>
      </c>
      <c r="V226" s="12" cm="1">
        <f t="array" ref="V226">SUMPRODUCT(($I$7:$FH$7=V$223)*$I$207:$FH$207)</f>
        <v>0</v>
      </c>
      <c r="W226" s="12" cm="1">
        <f t="array" ref="W226">SUMPRODUCT(($I$7:$FH$7=W$223)*$I$207:$FH$207)</f>
        <v>0</v>
      </c>
      <c r="X226" s="12" cm="1">
        <f t="array" ref="X226">SUMPRODUCT(($I$7:$FH$7=X$223)*$I$207:$FH$207)</f>
        <v>0</v>
      </c>
      <c r="Y226" s="12" cm="1">
        <f t="array" ref="Y226">SUMPRODUCT(($I$7:$FH$7=Y$223)*$I$207:$FH$207)</f>
        <v>0</v>
      </c>
      <c r="Z226" s="12" cm="1">
        <f t="array" ref="Z226">SUMPRODUCT(($I$7:$FH$7=Z$223)*$I$207:$FH$207)</f>
        <v>0</v>
      </c>
      <c r="AA226" s="12" cm="1">
        <f t="array" ref="AA226">SUMPRODUCT(($I$7:$FH$7=AA$223)*$I$207:$FH$207)</f>
        <v>0</v>
      </c>
      <c r="AB226" s="12" cm="1">
        <f t="array" ref="AB226">SUMPRODUCT(($I$7:$FH$7=AB$223)*$I$207:$FH$207)</f>
        <v>0</v>
      </c>
      <c r="AC226" s="12">
        <f>0</f>
        <v>0</v>
      </c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</row>
    <row r="227" spans="1:164" x14ac:dyDescent="0.2">
      <c r="A227" s="10"/>
      <c r="B227" s="10"/>
      <c r="C227" s="70" t="s">
        <v>932</v>
      </c>
      <c r="D227" s="70"/>
      <c r="E227" s="70"/>
      <c r="F227" s="70"/>
      <c r="G227" s="70"/>
      <c r="H227" s="56">
        <f t="shared" si="563"/>
        <v>352502.74815417046</v>
      </c>
      <c r="I227" s="56">
        <f t="shared" ref="I227:AC227" si="564">SUM(I224:I226)</f>
        <v>0</v>
      </c>
      <c r="J227" s="56">
        <f t="shared" si="564"/>
        <v>-1462.05</v>
      </c>
      <c r="K227" s="56">
        <f t="shared" si="564"/>
        <v>-7783.9706037511387</v>
      </c>
      <c r="L227" s="56">
        <f t="shared" si="564"/>
        <v>-29092.702518886039</v>
      </c>
      <c r="M227" s="56">
        <f t="shared" si="564"/>
        <v>-14392.792680612525</v>
      </c>
      <c r="N227" s="56">
        <f t="shared" si="564"/>
        <v>36882.199216749592</v>
      </c>
      <c r="O227" s="56">
        <f t="shared" si="564"/>
        <v>-11000.369447713871</v>
      </c>
      <c r="P227" s="56">
        <f t="shared" si="564"/>
        <v>176429.62548002772</v>
      </c>
      <c r="Q227" s="56">
        <f t="shared" si="564"/>
        <v>-5042.150749084667</v>
      </c>
      <c r="R227" s="56">
        <f t="shared" si="564"/>
        <v>207964.95945744135</v>
      </c>
      <c r="S227" s="56">
        <f t="shared" si="564"/>
        <v>0</v>
      </c>
      <c r="T227" s="56">
        <f t="shared" si="564"/>
        <v>0</v>
      </c>
      <c r="U227" s="56">
        <f t="shared" si="564"/>
        <v>0</v>
      </c>
      <c r="V227" s="56">
        <f t="shared" si="564"/>
        <v>0</v>
      </c>
      <c r="W227" s="56">
        <f t="shared" si="564"/>
        <v>0</v>
      </c>
      <c r="X227" s="56">
        <f t="shared" si="564"/>
        <v>0</v>
      </c>
      <c r="Y227" s="56">
        <f t="shared" si="564"/>
        <v>0</v>
      </c>
      <c r="Z227" s="56">
        <f t="shared" si="564"/>
        <v>0</v>
      </c>
      <c r="AA227" s="56">
        <f t="shared" si="564"/>
        <v>0</v>
      </c>
      <c r="AB227" s="56">
        <f t="shared" si="564"/>
        <v>0</v>
      </c>
      <c r="AC227" s="56">
        <f t="shared" si="564"/>
        <v>0</v>
      </c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</row>
    <row r="228" spans="1:164" x14ac:dyDescent="0.2">
      <c r="A228" s="10"/>
      <c r="B228" s="10"/>
      <c r="C228" s="10" t="s">
        <v>933</v>
      </c>
      <c r="D228" s="10"/>
      <c r="E228" s="10"/>
      <c r="F228" s="10"/>
      <c r="G228" s="10"/>
      <c r="H228" s="12">
        <f t="shared" si="563"/>
        <v>393959.23805000028</v>
      </c>
      <c r="I228" s="12" cm="1">
        <f t="array" ref="I228">SUMPRODUCT(($I$7:$FH$7=I$223)*$I$214:$FH$214)</f>
        <v>0</v>
      </c>
      <c r="J228" s="12" cm="1">
        <f t="array" ref="J228">SUMPRODUCT(($I$7:$FH$7=J$223)*$I$214:$FH$214)</f>
        <v>-1462.05</v>
      </c>
      <c r="K228" s="12" cm="1">
        <f t="array" ref="K228">SUMPRODUCT(($I$7:$FH$7=K$223)*$I$214:$FH$214)</f>
        <v>-7783.9706037511387</v>
      </c>
      <c r="L228" s="12" cm="1">
        <f t="array" ref="L228">SUMPRODUCT(($I$7:$FH$7=L$223)*$I$214:$FH$214)</f>
        <v>-43168.540328180745</v>
      </c>
      <c r="M228" s="12" cm="1">
        <f t="array" ref="M228">SUMPRODUCT(($I$7:$FH$7=M$223)*$I$214:$FH$214)</f>
        <v>-30890.560488650008</v>
      </c>
      <c r="N228" s="12" cm="1">
        <f t="array" ref="N228">SUMPRODUCT(($I$7:$FH$7=N$223)*$I$214:$FH$214)</f>
        <v>41134.856844265189</v>
      </c>
      <c r="O228" s="12" cm="1">
        <f t="array" ref="O228">SUMPRODUCT(($I$7:$FH$7=O$223)*$I$214:$FH$214)</f>
        <v>-50167.384425670665</v>
      </c>
      <c r="P228" s="12" cm="1">
        <f t="array" ref="P228">SUMPRODUCT(($I$7:$FH$7=P$223)*$I$214:$FH$214)</f>
        <v>231121.89829786567</v>
      </c>
      <c r="Q228" s="12" cm="1">
        <f t="array" ref="Q228">SUMPRODUCT(($I$7:$FH$7=Q$223)*$I$214:$FH$214)</f>
        <v>-45758.299245877795</v>
      </c>
      <c r="R228" s="12" cm="1">
        <f t="array" ref="R228">SUMPRODUCT(($I$7:$FH$7=R$223)*$I$214:$FH$214)</f>
        <v>300933.28799999977</v>
      </c>
      <c r="S228" s="12" cm="1">
        <f t="array" ref="S228">SUMPRODUCT(($I$7:$FH$7=S$223)*$I$214:$FH$214)</f>
        <v>0</v>
      </c>
      <c r="T228" s="12" cm="1">
        <f t="array" ref="T228">SUMPRODUCT(($I$7:$FH$7=T$223)*$I$214:$FH$214)</f>
        <v>0</v>
      </c>
      <c r="U228" s="12" cm="1">
        <f t="array" ref="U228">SUMPRODUCT(($I$7:$FH$7=U$223)*$I$214:$FH$214)</f>
        <v>0</v>
      </c>
      <c r="V228" s="12" cm="1">
        <f t="array" ref="V228">SUMPRODUCT(($I$7:$FH$7=V$223)*$I$214:$FH$214)</f>
        <v>0</v>
      </c>
      <c r="W228" s="12" cm="1">
        <f t="array" ref="W228">SUMPRODUCT(($I$7:$FH$7=W$223)*$I$214:$FH$214)</f>
        <v>0</v>
      </c>
      <c r="X228" s="12" cm="1">
        <f t="array" ref="X228">SUMPRODUCT(($I$7:$FH$7=X$223)*$I$214:$FH$214)</f>
        <v>0</v>
      </c>
      <c r="Y228" s="12" cm="1">
        <f t="array" ref="Y228">SUMPRODUCT(($I$7:$FH$7=Y$223)*$I$214:$FH$214)</f>
        <v>0</v>
      </c>
      <c r="Z228" s="12" cm="1">
        <f t="array" ref="Z228">SUMPRODUCT(($I$7:$FH$7=Z$223)*$I$214:$FH$214)</f>
        <v>0</v>
      </c>
      <c r="AA228" s="12" cm="1">
        <f t="array" ref="AA228">SUMPRODUCT(($I$7:$FH$7=AA$223)*$I$214:$FH$214)</f>
        <v>0</v>
      </c>
      <c r="AB228" s="12" cm="1">
        <f t="array" ref="AB228">SUMPRODUCT(($I$7:$FH$7=AB$223)*$I$214:$FH$214)</f>
        <v>0</v>
      </c>
      <c r="AC228" s="12">
        <f>0</f>
        <v>0</v>
      </c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</row>
    <row r="229" spans="1:164" x14ac:dyDescent="0.2">
      <c r="A229" s="10"/>
      <c r="B229" s="10"/>
      <c r="C229" s="10" t="s">
        <v>934</v>
      </c>
      <c r="D229" s="10"/>
      <c r="E229" s="10"/>
      <c r="F229" s="10"/>
      <c r="G229" s="10"/>
      <c r="H229" s="12">
        <f t="shared" si="563"/>
        <v>352502.74815417046</v>
      </c>
      <c r="I229" s="12" cm="1">
        <f t="array" ref="I229">SUMPRODUCT(($I$7:$FH$7=I$223)*$I$217:$FH$217)</f>
        <v>0</v>
      </c>
      <c r="J229" s="12" cm="1">
        <f t="array" ref="J229">SUMPRODUCT(($I$7:$FH$7=J$223)*$I$217:$FH$217)</f>
        <v>-1462.05</v>
      </c>
      <c r="K229" s="12" cm="1">
        <f t="array" ref="K229">SUMPRODUCT(($I$7:$FH$7=K$223)*$I$217:$FH$217)</f>
        <v>-7783.9706037511387</v>
      </c>
      <c r="L229" s="12" cm="1">
        <f t="array" ref="L229">SUMPRODUCT(($I$7:$FH$7=L$223)*$I$217:$FH$217)</f>
        <v>-29092.702518886039</v>
      </c>
      <c r="M229" s="12" cm="1">
        <f t="array" ref="M229">SUMPRODUCT(($I$7:$FH$7=M$223)*$I$217:$FH$217)</f>
        <v>-14392.792680612525</v>
      </c>
      <c r="N229" s="12" cm="1">
        <f t="array" ref="N229">SUMPRODUCT(($I$7:$FH$7=N$223)*$I$217:$FH$217)</f>
        <v>36882.199216749606</v>
      </c>
      <c r="O229" s="12" cm="1">
        <f t="array" ref="O229">SUMPRODUCT(($I$7:$FH$7=O$223)*$I$217:$FH$217)</f>
        <v>-11000.369447713867</v>
      </c>
      <c r="P229" s="12" cm="1">
        <f t="array" ref="P229">SUMPRODUCT(($I$7:$FH$7=P$223)*$I$217:$FH$217)</f>
        <v>176429.62548002775</v>
      </c>
      <c r="Q229" s="12" cm="1">
        <f t="array" ref="Q229">SUMPRODUCT(($I$7:$FH$7=Q$223)*$I$217:$FH$217)</f>
        <v>-5042.150749084667</v>
      </c>
      <c r="R229" s="12" cm="1">
        <f t="array" ref="R229">SUMPRODUCT(($I$7:$FH$7=R$223)*$I$217:$FH$217)</f>
        <v>207964.95945744135</v>
      </c>
      <c r="S229" s="12" cm="1">
        <f t="array" ref="S229">SUMPRODUCT(($I$7:$FH$7=S$223)*$I$217:$FH$217)</f>
        <v>0</v>
      </c>
      <c r="T229" s="12" cm="1">
        <f t="array" ref="T229">SUMPRODUCT(($I$7:$FH$7=T$223)*$I$217:$FH$217)</f>
        <v>0</v>
      </c>
      <c r="U229" s="12" cm="1">
        <f t="array" ref="U229">SUMPRODUCT(($I$7:$FH$7=U$223)*$I$217:$FH$217)</f>
        <v>0</v>
      </c>
      <c r="V229" s="12" cm="1">
        <f t="array" ref="V229">SUMPRODUCT(($I$7:$FH$7=V$223)*$I$217:$FH$217)</f>
        <v>0</v>
      </c>
      <c r="W229" s="12" cm="1">
        <f t="array" ref="W229">SUMPRODUCT(($I$7:$FH$7=W$223)*$I$217:$FH$217)</f>
        <v>0</v>
      </c>
      <c r="X229" s="12" cm="1">
        <f t="array" ref="X229">SUMPRODUCT(($I$7:$FH$7=X$223)*$I$217:$FH$217)</f>
        <v>0</v>
      </c>
      <c r="Y229" s="12" cm="1">
        <f t="array" ref="Y229">SUMPRODUCT(($I$7:$FH$7=Y$223)*$I$217:$FH$217)</f>
        <v>0</v>
      </c>
      <c r="Z229" s="12" cm="1">
        <f t="array" ref="Z229">SUMPRODUCT(($I$7:$FH$7=Z$223)*$I$217:$FH$217)</f>
        <v>0</v>
      </c>
      <c r="AA229" s="12" cm="1">
        <f t="array" ref="AA229">SUMPRODUCT(($I$7:$FH$7=AA$223)*$I$217:$FH$217)</f>
        <v>0</v>
      </c>
      <c r="AB229" s="12" cm="1">
        <f t="array" ref="AB229">SUMPRODUCT(($I$7:$FH$7=AB$223)*$I$217:$FH$217)</f>
        <v>0</v>
      </c>
      <c r="AC229" s="12">
        <f>0</f>
        <v>0</v>
      </c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</row>
    <row r="230" spans="1:164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</row>
    <row r="231" spans="1:164" x14ac:dyDescent="0.2">
      <c r="A231" s="10"/>
      <c r="B231" s="24" t="s">
        <v>142</v>
      </c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</row>
    <row r="232" spans="1:164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</row>
    <row r="233" spans="1:164" x14ac:dyDescent="0.2">
      <c r="A233" s="10"/>
      <c r="B233" s="49" t="s">
        <v>935</v>
      </c>
      <c r="C233" s="49"/>
      <c r="D233" s="101" t="s">
        <v>820</v>
      </c>
      <c r="E233" s="101" t="s">
        <v>821</v>
      </c>
      <c r="F233" s="101" t="s">
        <v>822</v>
      </c>
      <c r="G233" s="101" t="s">
        <v>936</v>
      </c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</row>
    <row r="234" spans="1:164" x14ac:dyDescent="0.2">
      <c r="A234" s="10"/>
      <c r="B234" s="10"/>
      <c r="C234" s="10" t="s">
        <v>429</v>
      </c>
      <c r="D234" s="219">
        <f>$D$23</f>
        <v>179680</v>
      </c>
      <c r="E234" s="219">
        <f>$E$23</f>
        <v>465887.99999999994</v>
      </c>
      <c r="F234" s="219">
        <f>$F$23</f>
        <v>417962.89999999991</v>
      </c>
      <c r="G234" s="73">
        <f>$G$23</f>
        <v>1063530.8999999999</v>
      </c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</row>
    <row r="235" spans="1:164" x14ac:dyDescent="0.2">
      <c r="A235" s="10"/>
      <c r="B235" s="10"/>
      <c r="C235" s="10" t="s">
        <v>782</v>
      </c>
      <c r="D235" s="219">
        <f>$H$113</f>
        <v>163868.16000000012</v>
      </c>
      <c r="E235" s="219">
        <f>$H$149</f>
        <v>424889.85600000038</v>
      </c>
      <c r="F235" s="219">
        <f>$H$185</f>
        <v>381182.16479999979</v>
      </c>
      <c r="G235" s="73">
        <f>$H$212</f>
        <v>969940.18080000021</v>
      </c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</row>
    <row r="236" spans="1:164" x14ac:dyDescent="0.2">
      <c r="A236" s="10"/>
      <c r="B236" s="10"/>
      <c r="C236" s="10" t="s">
        <v>783</v>
      </c>
      <c r="D236" s="219">
        <f>-$H$123</f>
        <v>99611.029372312099</v>
      </c>
      <c r="E236" s="219">
        <f>-$H$159</f>
        <v>223902.34667110376</v>
      </c>
      <c r="F236" s="219">
        <f>-$H$195</f>
        <v>252467.56670658401</v>
      </c>
      <c r="G236" s="73">
        <f>-$H$213</f>
        <v>575980.94275000005</v>
      </c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</row>
    <row r="237" spans="1:164" x14ac:dyDescent="0.2">
      <c r="A237" s="10"/>
      <c r="B237" s="10"/>
      <c r="C237" s="13" t="s">
        <v>784</v>
      </c>
      <c r="D237" s="73">
        <f>$H$124</f>
        <v>64257.13062768802</v>
      </c>
      <c r="E237" s="73">
        <f>$H$160</f>
        <v>200987.50932889662</v>
      </c>
      <c r="F237" s="73">
        <f>$H$196</f>
        <v>128714.59809341576</v>
      </c>
      <c r="G237" s="73">
        <f>$H$214</f>
        <v>393959.23805000022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</row>
    <row r="238" spans="1:164" x14ac:dyDescent="0.2">
      <c r="A238" s="10"/>
      <c r="B238" s="10"/>
      <c r="C238" s="10" t="s">
        <v>785</v>
      </c>
      <c r="D238" s="220">
        <f>IFERROR(D237/D234,0)</f>
        <v>0.35761982762515593</v>
      </c>
      <c r="E238" s="220">
        <f>IFERROR(E237/E234,0)</f>
        <v>0.4314073539754118</v>
      </c>
      <c r="F238" s="220">
        <f>IFERROR(F237/F234,0)</f>
        <v>0.30795699353558842</v>
      </c>
      <c r="G238" s="72">
        <f>IFERROR(G237/G234,0)</f>
        <v>0.37042575636495401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</row>
    <row r="239" spans="1:164" x14ac:dyDescent="0.2">
      <c r="A239" s="10"/>
      <c r="B239" s="10"/>
      <c r="C239" s="13" t="s">
        <v>111</v>
      </c>
      <c r="D239" s="72">
        <f>IFERROR((1+IRR($I$124:$FH$124,0.01))^12-1,"n/a")</f>
        <v>0.34633160224321724</v>
      </c>
      <c r="E239" s="72">
        <f>IFERROR((1+IRR($I$160:$FH$160,0.01))^12-1,"n/a")</f>
        <v>0.48212671347377678</v>
      </c>
      <c r="F239" s="72">
        <f>IFERROR((1+IRR($I$196:$FH$196,0.01))^12-1,"n/a")</f>
        <v>0.27812783630943083</v>
      </c>
      <c r="G239" s="72">
        <f>IFERROR((1+IRR($I$214:$FH$214,0.01))^12-1,"n/a")</f>
        <v>0.38537006552306208</v>
      </c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</row>
    <row r="240" spans="1:164" x14ac:dyDescent="0.2">
      <c r="A240" s="10"/>
      <c r="B240" s="10"/>
      <c r="C240" s="10" t="s">
        <v>786</v>
      </c>
      <c r="D240" s="219">
        <f>NPV((1+$D$12)^(1/12)-1,$I$124:$FH$124)</f>
        <v>32782.439260771709</v>
      </c>
      <c r="E240" s="219">
        <f>NPV((1+$D$12)^(1/12)-1,$I$160:$FH$160)</f>
        <v>94529.810393697</v>
      </c>
      <c r="F240" s="219">
        <f>NPV((1+$D$12)^(1/12)-1,$I$196:$FH$196)</f>
        <v>42538.572832777943</v>
      </c>
      <c r="G240" s="73">
        <f>NPV((1+$D$12)^(1/12)-1,$I$214:$FH$214)</f>
        <v>169850.82248724662</v>
      </c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</row>
    <row r="241" spans="1:164" x14ac:dyDescent="0.2">
      <c r="A241" s="10"/>
      <c r="B241" s="10"/>
      <c r="C241" s="13" t="s">
        <v>159</v>
      </c>
      <c r="D241" s="73">
        <f>-MIN(0,MIN($I$125:$FH$125))</f>
        <v>67167.114764257989</v>
      </c>
      <c r="E241" s="73">
        <f>-MIN(0,MIN($I$161:$FH$161))</f>
        <v>140557.78545517518</v>
      </c>
      <c r="F241" s="73">
        <f>-MIN(0,MIN($I$197:$FH$197))</f>
        <v>176672.96696926831</v>
      </c>
      <c r="G241" s="73">
        <f>-MIN(0,MIN($I$215:$FH$215))</f>
        <v>146124.6450784413</v>
      </c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</row>
    <row r="242" spans="1:164" x14ac:dyDescent="0.2">
      <c r="A242" s="10"/>
      <c r="B242" s="10"/>
      <c r="C242" s="10" t="s">
        <v>787</v>
      </c>
      <c r="D242" s="221">
        <f>INDEX($I$6:$FH$6,MATCH(MIN($I$125:$FH$125),$I$125:$FH$125,0))</f>
        <v>47727</v>
      </c>
      <c r="E242" s="221">
        <f>INDEX($I$6:$FH$6,MATCH(MIN($I$161:$FH$161),$I$161:$FH$161,0))</f>
        <v>48458</v>
      </c>
      <c r="F242" s="221">
        <f>INDEX($I$6:$FH$6,MATCH(MIN($I$197:$FH$197),$I$197:$FH$197,0))</f>
        <v>49218</v>
      </c>
      <c r="G242" s="241">
        <f>INDEX($I$6:$FH$6,MATCH(MIN($I$215:$FH$215),$I$215:$FH$215,0))</f>
        <v>48153</v>
      </c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</row>
    <row r="243" spans="1:164" x14ac:dyDescent="0.2">
      <c r="A243" s="10"/>
      <c r="B243" s="10"/>
      <c r="C243" s="10" t="s">
        <v>1041</v>
      </c>
      <c r="D243" s="317">
        <f>IF(COUNTIF($I$125:$FH$125,"&lt;0")=COUNT($I$125:$FH$125),"n/a",COUNTIF($I$125:$FH$125,"&lt;0")/12)</f>
        <v>4.083333333333333</v>
      </c>
      <c r="E243" s="317">
        <f>IF(COUNTIF($I$161:$FH$161,"&lt;0")=COUNT($I$161:$FH$161),"n/a",COUNTIF($I$161:$FH$161,"&lt;0")/12)</f>
        <v>4</v>
      </c>
      <c r="F243" s="221"/>
      <c r="G243" s="241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</row>
    <row r="244" spans="1:164" x14ac:dyDescent="0.2">
      <c r="A244" s="10"/>
      <c r="B244" s="10"/>
      <c r="C244" s="10" t="s">
        <v>789</v>
      </c>
      <c r="D244" s="222">
        <f>IFERROR(D237/D241,0)</f>
        <v>0.95667546318189511</v>
      </c>
      <c r="E244" s="222">
        <f>IFERROR(E237/E241,0)</f>
        <v>1.4299279735948378</v>
      </c>
      <c r="F244" s="222">
        <f>IFERROR(F237/F241,0)</f>
        <v>0.72854721523868016</v>
      </c>
      <c r="G244" s="74">
        <f>IFERROR(G237/G241,0)</f>
        <v>2.6960492382275323</v>
      </c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</row>
    <row r="245" spans="1:164" x14ac:dyDescent="0.2">
      <c r="A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</row>
    <row r="246" spans="1:164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</row>
    <row r="247" spans="1:164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</row>
    <row r="248" spans="1:164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</row>
    <row r="249" spans="1:164" x14ac:dyDescent="0.2">
      <c r="A249" s="10"/>
      <c r="B249" s="49" t="s">
        <v>937</v>
      </c>
      <c r="C249" s="49"/>
      <c r="D249" s="101" t="s">
        <v>820</v>
      </c>
      <c r="E249" s="101" t="s">
        <v>821</v>
      </c>
      <c r="F249" s="101" t="s">
        <v>822</v>
      </c>
      <c r="G249" s="101" t="s">
        <v>936</v>
      </c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</row>
    <row r="250" spans="1:164" x14ac:dyDescent="0.2">
      <c r="A250" s="10"/>
      <c r="B250" s="10"/>
      <c r="C250" s="10" t="s">
        <v>429</v>
      </c>
      <c r="D250" s="219">
        <f>$D$23</f>
        <v>179680</v>
      </c>
      <c r="E250" s="219">
        <f>$E$23</f>
        <v>465887.99999999994</v>
      </c>
      <c r="F250" s="219">
        <f>$F$23</f>
        <v>417962.89999999991</v>
      </c>
      <c r="G250" s="73">
        <f>$G$23</f>
        <v>1063530.8999999999</v>
      </c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</row>
    <row r="251" spans="1:164" x14ac:dyDescent="0.2">
      <c r="A251" s="10"/>
      <c r="B251" s="10"/>
      <c r="C251" s="10" t="s">
        <v>782</v>
      </c>
      <c r="D251" s="219">
        <f>$H$113</f>
        <v>163868.16000000012</v>
      </c>
      <c r="E251" s="219">
        <f>$H$149</f>
        <v>424889.85600000038</v>
      </c>
      <c r="F251" s="219">
        <f>$H$185</f>
        <v>381182.16479999979</v>
      </c>
      <c r="G251" s="73">
        <f>$H$212</f>
        <v>969940.18080000021</v>
      </c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</row>
    <row r="252" spans="1:164" x14ac:dyDescent="0.2">
      <c r="A252" s="10"/>
      <c r="B252" s="10"/>
      <c r="C252" s="10" t="s">
        <v>938</v>
      </c>
      <c r="D252" s="219">
        <f>-$H$123-$H$130</f>
        <v>106707.24161403585</v>
      </c>
      <c r="E252" s="219">
        <f>-$H$159-$H$166</f>
        <v>240749.31981270344</v>
      </c>
      <c r="F252" s="219">
        <f>-$H$195-$H$202</f>
        <v>269980.87121909042</v>
      </c>
      <c r="G252" s="73">
        <f>-$H$213-$H$216</f>
        <v>617437.43264582986</v>
      </c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</row>
    <row r="253" spans="1:164" x14ac:dyDescent="0.2">
      <c r="A253" s="10"/>
      <c r="B253" s="10"/>
      <c r="C253" s="13" t="s">
        <v>784</v>
      </c>
      <c r="D253" s="73">
        <f>$H$133</f>
        <v>57160.918385964251</v>
      </c>
      <c r="E253" s="73">
        <f>$H$169</f>
        <v>184140.53618729694</v>
      </c>
      <c r="F253" s="73">
        <f>$H$205</f>
        <v>111201.29358090923</v>
      </c>
      <c r="G253" s="73">
        <f>$H$217</f>
        <v>352502.74815417046</v>
      </c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</row>
    <row r="254" spans="1:164" x14ac:dyDescent="0.2">
      <c r="A254" s="10"/>
      <c r="B254" s="10"/>
      <c r="C254" s="10" t="s">
        <v>785</v>
      </c>
      <c r="D254" s="220">
        <f>IFERROR(D253/D250,0)</f>
        <v>0.3181262154160967</v>
      </c>
      <c r="E254" s="220">
        <f>IFERROR(E253/E250,0)</f>
        <v>0.39524636004210661</v>
      </c>
      <c r="F254" s="220">
        <f>IFERROR(F253/F250,0)</f>
        <v>0.26605541683462636</v>
      </c>
      <c r="G254" s="72">
        <f>IFERROR(G253/G250,0)</f>
        <v>0.33144570426131531</v>
      </c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</row>
    <row r="255" spans="1:164" x14ac:dyDescent="0.2">
      <c r="A255" s="10"/>
      <c r="B255" s="10"/>
      <c r="C255" s="13" t="s">
        <v>111</v>
      </c>
      <c r="D255" s="72">
        <f>IFERROR((1+IRR($I$133:$FH$133,0.01))^12-1,"n/a")</f>
        <v>0.43944297836984969</v>
      </c>
      <c r="E255" s="72">
        <f>IFERROR((1+IRR($I$169:$FH$169,0.01))^12-1,"n/a")</f>
        <v>0.6387600863176075</v>
      </c>
      <c r="F255" s="72">
        <f>IFERROR((1+IRR($I$205:$FH$205,0.01))^12-1,"n/a")</f>
        <v>0.34386184273480103</v>
      </c>
      <c r="G255" s="72">
        <f>IFERROR((1+IRR($I$217:$FH$217,0.01))^12-1,"n/a")</f>
        <v>0.49854775029335863</v>
      </c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</row>
    <row r="256" spans="1:164" x14ac:dyDescent="0.2">
      <c r="A256" s="10"/>
      <c r="B256" s="10"/>
      <c r="C256" s="10" t="s">
        <v>786</v>
      </c>
      <c r="D256" s="219">
        <f>NPV((1+$D$12)^(1/12)-1,$I$133:$FH$133)</f>
        <v>31581.465040989668</v>
      </c>
      <c r="E256" s="219">
        <f>NPV((1+$D$12)^(1/12)-1,$I$169:$FH$169)</f>
        <v>92130.005270724199</v>
      </c>
      <c r="F256" s="219">
        <f>NPV((1+$D$12)^(1/12)-1,$I$205:$FH$205)</f>
        <v>40438.815068772448</v>
      </c>
      <c r="G256" s="73">
        <f>NPV((1+$D$12)^(1/12)-1,$I$217:$FH$217)</f>
        <v>164150.28538048628</v>
      </c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</row>
    <row r="257" spans="1:164" x14ac:dyDescent="0.2">
      <c r="A257" s="10"/>
      <c r="B257" s="10"/>
      <c r="C257" s="13" t="s">
        <v>159</v>
      </c>
      <c r="D257" s="73">
        <f>-MIN(0,MIN($I$134:$FH$134))</f>
        <v>37392.481726101199</v>
      </c>
      <c r="E257" s="73">
        <f>-MIN(0,MIN($I$170:$FH$170))</f>
        <v>71499.650002493072</v>
      </c>
      <c r="F257" s="73">
        <f>-MIN(0,MIN($I$206:$FH$206))</f>
        <v>102396.68514958232</v>
      </c>
      <c r="G257" s="73">
        <f>-MIN(0,MIN($I$218:$FH$218))</f>
        <v>92169.527226483522</v>
      </c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</row>
    <row r="258" spans="1:164" x14ac:dyDescent="0.2">
      <c r="A258" s="10"/>
      <c r="B258" s="10"/>
      <c r="C258" s="10" t="s">
        <v>787</v>
      </c>
      <c r="D258" s="221">
        <f>INDEX($I$6:$FH$6,MATCH(MIN($I$134:$FH$134),$I$134:$FH$134,0))</f>
        <v>47665</v>
      </c>
      <c r="E258" s="221">
        <f>INDEX($I$6:$FH$6,MATCH(MIN($I$170:$FH$170),$I$170:$FH$170,0))</f>
        <v>48335</v>
      </c>
      <c r="F258" s="221">
        <f>INDEX($I$6:$FH$6,MATCH(MIN($I$206:$FH$206),$I$206:$FH$206,0))</f>
        <v>49157</v>
      </c>
      <c r="G258" s="241">
        <f>INDEX($I$6:$FH$6,MATCH(MIN($I$218:$FH$218),$I$218:$FH$218,0))</f>
        <v>48153</v>
      </c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</row>
    <row r="259" spans="1:164" x14ac:dyDescent="0.2">
      <c r="A259" s="10"/>
      <c r="B259" s="10"/>
      <c r="C259" s="10" t="s">
        <v>1041</v>
      </c>
      <c r="D259" s="317">
        <f>IF(COUNTIF($I$135:$FH$135,"&lt;0")=COUNT($I$135:$FH$135),"n/a",COUNTIF($I$135:$FH$135,"&lt;0")/12)</f>
        <v>2.5833333333333335</v>
      </c>
      <c r="E259" s="317">
        <f>IF(COUNTIF($I$171:$FH$171,"&lt;0")=COUNT($I$171:$FH$171),"n/a",COUNTIF($I$171:$FH$171,"&lt;0")/12)</f>
        <v>2.4166666666666665</v>
      </c>
      <c r="F259" s="221"/>
      <c r="G259" s="241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</row>
    <row r="260" spans="1:164" x14ac:dyDescent="0.2">
      <c r="A260" s="10"/>
      <c r="B260" s="10"/>
      <c r="C260" s="10" t="s">
        <v>789</v>
      </c>
      <c r="D260" s="222">
        <f>IFERROR(D253/D257,0)</f>
        <v>1.5286741009774707</v>
      </c>
      <c r="E260" s="222">
        <f>IFERROR(E253/E257,0)</f>
        <v>2.5754047212941078</v>
      </c>
      <c r="F260" s="222">
        <f>IFERROR(F253/F257,0)</f>
        <v>1.0859852876923215</v>
      </c>
      <c r="G260" s="74">
        <f>IFERROR(G253/G257,0)</f>
        <v>3.8245042451827191</v>
      </c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</row>
    <row r="261" spans="1:164" x14ac:dyDescent="0.2">
      <c r="A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</row>
    <row r="262" spans="1:164" x14ac:dyDescent="0.2">
      <c r="A262" s="10"/>
      <c r="B262" s="10"/>
      <c r="C262" s="10" t="s">
        <v>790</v>
      </c>
      <c r="D262" s="219">
        <f>-$H$130</f>
        <v>7096.2122417237606</v>
      </c>
      <c r="E262" s="219">
        <f>-$H$166</f>
        <v>16846.973141599672</v>
      </c>
      <c r="F262" s="219">
        <f>-$H$202</f>
        <v>17513.304512506427</v>
      </c>
      <c r="G262" s="73">
        <f>-$H$216</f>
        <v>41456.489895829844</v>
      </c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</row>
    <row r="263" spans="1:164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</row>
    <row r="264" spans="1:164" x14ac:dyDescent="0.2">
      <c r="A264" s="10"/>
      <c r="B264" s="24" t="s">
        <v>791</v>
      </c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</row>
    <row r="265" spans="1:164" x14ac:dyDescent="0.2">
      <c r="A265" s="10"/>
      <c r="B265" s="10"/>
      <c r="C265" s="10" t="s">
        <v>939</v>
      </c>
      <c r="D265" s="16" t="str">
        <f>IF(AND(ABS(D38+D42+D40-1)&lt;0.0001,ABS(E38+E42+E40-1)&lt;0.0001,ABS(F38+F42+F40-1)&lt;0.0001,ABS(H102-1)&lt;0.0001,ABS(H138-1)&lt;0.0001,ABS(H174-1)&lt;0.0001),"OK","ERROR")</f>
        <v>OK</v>
      </c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</row>
    <row r="266" spans="1:164" x14ac:dyDescent="0.2">
      <c r="A266" s="10"/>
      <c r="B266" s="10"/>
      <c r="C266" s="10" t="s">
        <v>793</v>
      </c>
      <c r="D266" s="16" t="str">
        <f>IF(AND(ABS(D53-1)&lt;0.0001,ABS(E53-1)&lt;0.0001,ABS(F53-1)&lt;0.0001),"OK","ERROR")</f>
        <v>OK</v>
      </c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</row>
    <row r="267" spans="1:164" x14ac:dyDescent="0.2">
      <c r="A267" s="10"/>
      <c r="B267" s="10"/>
      <c r="C267" s="10" t="s">
        <v>794</v>
      </c>
      <c r="D267" s="16" t="str">
        <f>IF(ABS(H211-H210)&lt;1,"OK","ERROR")</f>
        <v>OK</v>
      </c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</row>
    <row r="268" spans="1:164" x14ac:dyDescent="0.2">
      <c r="A268" s="10"/>
      <c r="B268" s="10"/>
      <c r="C268" s="10" t="s">
        <v>940</v>
      </c>
      <c r="D268" s="16" t="str">
        <f>IF(ABS($FH$132)+ABS($FH$168)+ABS($FH$204)&lt;1,"OK","ERROR")</f>
        <v>OK</v>
      </c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</row>
    <row r="269" spans="1:164" x14ac:dyDescent="0.2">
      <c r="A269" s="10"/>
      <c r="B269" s="10"/>
      <c r="C269" s="10" t="s">
        <v>941</v>
      </c>
      <c r="D269" s="16" t="str">
        <f>IF(F46&lt;=$FH$6,"OK","ERROR")</f>
        <v>OK</v>
      </c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</row>
    <row r="270" spans="1:164" x14ac:dyDescent="0.2">
      <c r="A270" s="10"/>
      <c r="B270" s="10"/>
      <c r="C270" s="10" t="s">
        <v>942</v>
      </c>
      <c r="D270" s="16" t="str">
        <f>IF(ABS(H227-H219)&lt;1,"OK","ERROR")</f>
        <v>OK</v>
      </c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</row>
    <row r="271" spans="1:164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</row>
    <row r="272" spans="1:164" x14ac:dyDescent="0.2">
      <c r="A272" s="10"/>
      <c r="B272" s="23" t="s">
        <v>943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</row>
  </sheetData>
  <mergeCells count="1">
    <mergeCell ref="D14:F14"/>
  </mergeCells>
  <conditionalFormatting sqref="D265:D270">
    <cfRule type="containsText" dxfId="1" priority="1" operator="containsText" text="ERRO">
      <formula>NOT(ISERROR(SEARCH("ERRO",D265)))</formula>
    </cfRule>
  </conditionalFormatting>
  <dataValidations count="1">
    <dataValidation type="list" allowBlank="1" showInputMessage="1" showErrorMessage="1" sqref="D14:D16" xr:uid="{CA198B2C-9369-844C-98A7-1B078ECD9056}">
      <formula1>"Unlevered,Levered"</formula1>
    </dataValidation>
  </dataValidations>
  <pageMargins left="0.511811024" right="0.511811024" top="0.78740157499999996" bottom="0.78740157499999996" header="0.31496062000000002" footer="0.31496062000000002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DAA08-F76E-CA46-96D9-1FBDB52D7E87}">
  <dimension ref="A1:AB275"/>
  <sheetViews>
    <sheetView showGridLines="0" workbookViewId="0">
      <pane xSplit="5" ySplit="6" topLeftCell="Q7" activePane="bottomRight" state="frozen"/>
      <selection pane="topRight" activeCell="F1" sqref="F1"/>
      <selection pane="bottomLeft" activeCell="A7" sqref="A7"/>
      <selection pane="bottomRight" activeCell="K169" sqref="K169"/>
    </sheetView>
  </sheetViews>
  <sheetFormatPr baseColWidth="10" defaultRowHeight="15" outlineLevelRow="4" outlineLevelCol="4" x14ac:dyDescent="0.2"/>
  <cols>
    <col min="1" max="1" width="1.6640625" customWidth="1" outlineLevel="4"/>
    <col min="2" max="2" width="2.33203125" customWidth="1"/>
    <col min="3" max="3" width="55" customWidth="1"/>
    <col min="4" max="4" width="1.6640625" customWidth="1"/>
    <col min="5" max="5" width="14.1640625" customWidth="1"/>
    <col min="6" max="6" width="1.6640625" customWidth="1"/>
    <col min="7" max="27" width="10.33203125" customWidth="1"/>
    <col min="28" max="16384" width="10.83203125" outlineLevel="4"/>
  </cols>
  <sheetData>
    <row r="1" spans="1:28" x14ac:dyDescent="0.2">
      <c r="A1" s="10">
        <v>0.45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>
        <v>0.45</v>
      </c>
    </row>
    <row r="2" spans="1:28" ht="16" x14ac:dyDescent="0.2">
      <c r="A2" s="10">
        <v>0.45</v>
      </c>
      <c r="B2" s="5" t="str">
        <f>"GRAMADO PROJECT - SENIOR LIVING ("&amp;CHOOSE('SENIOR LIVING'!$E$4,"CONDO-HOTEL","OWN INCOME","LEASE TO OPERATOR","LAND SALE","SHELL SOLD TO OPERATOR")&amp;")"</f>
        <v>PROJETO GRAMADO - SENIOR LIVING (CASCA VENDIDA AO OPERADOR)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>
        <v>0.45</v>
      </c>
    </row>
    <row r="3" spans="1:28" x14ac:dyDescent="0.2">
      <c r="A3" s="10">
        <v>0.45</v>
      </c>
      <c r="B3" s="23" t="s">
        <v>362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>
        <v>0.45</v>
      </c>
    </row>
    <row r="4" spans="1:28" x14ac:dyDescent="0.2">
      <c r="A4" s="10">
        <v>0.45</v>
      </c>
      <c r="B4" s="10"/>
      <c r="C4" s="13" t="s">
        <v>496</v>
      </c>
      <c r="D4" s="13"/>
      <c r="E4" s="71">
        <f>MATCH(MAX(G164:K164),G164:K164,0)</f>
        <v>5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>
        <v>0.45</v>
      </c>
    </row>
    <row r="5" spans="1:28" x14ac:dyDescent="0.2">
      <c r="A5" s="10">
        <v>0.45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>
        <v>0.45</v>
      </c>
    </row>
    <row r="6" spans="1:28" x14ac:dyDescent="0.2">
      <c r="A6" s="10">
        <v>0.45</v>
      </c>
      <c r="B6" s="24" t="s">
        <v>1</v>
      </c>
      <c r="C6" s="24"/>
      <c r="D6" s="24"/>
      <c r="E6" s="26" t="s">
        <v>115</v>
      </c>
      <c r="F6" s="26"/>
      <c r="G6" s="27">
        <v>2026</v>
      </c>
      <c r="H6" s="27">
        <f t="shared" ref="H6:Z6" si="0">G6+1</f>
        <v>2027</v>
      </c>
      <c r="I6" s="27">
        <f t="shared" si="0"/>
        <v>2028</v>
      </c>
      <c r="J6" s="27">
        <f t="shared" si="0"/>
        <v>2029</v>
      </c>
      <c r="K6" s="27">
        <f t="shared" si="0"/>
        <v>2030</v>
      </c>
      <c r="L6" s="27">
        <f t="shared" si="0"/>
        <v>2031</v>
      </c>
      <c r="M6" s="27">
        <f t="shared" si="0"/>
        <v>2032</v>
      </c>
      <c r="N6" s="27">
        <f t="shared" si="0"/>
        <v>2033</v>
      </c>
      <c r="O6" s="27">
        <f t="shared" si="0"/>
        <v>2034</v>
      </c>
      <c r="P6" s="27">
        <f t="shared" si="0"/>
        <v>2035</v>
      </c>
      <c r="Q6" s="27">
        <f t="shared" si="0"/>
        <v>2036</v>
      </c>
      <c r="R6" s="27">
        <f t="shared" si="0"/>
        <v>2037</v>
      </c>
      <c r="S6" s="27">
        <f t="shared" si="0"/>
        <v>2038</v>
      </c>
      <c r="T6" s="27">
        <f t="shared" si="0"/>
        <v>2039</v>
      </c>
      <c r="U6" s="27">
        <f t="shared" si="0"/>
        <v>2040</v>
      </c>
      <c r="V6" s="27">
        <f t="shared" si="0"/>
        <v>2041</v>
      </c>
      <c r="W6" s="27">
        <f t="shared" si="0"/>
        <v>2042</v>
      </c>
      <c r="X6" s="27">
        <f t="shared" si="0"/>
        <v>2043</v>
      </c>
      <c r="Y6" s="27">
        <f t="shared" si="0"/>
        <v>2044</v>
      </c>
      <c r="Z6" s="27">
        <f t="shared" si="0"/>
        <v>2045</v>
      </c>
      <c r="AA6" s="27" t="s">
        <v>28</v>
      </c>
      <c r="AB6" s="10">
        <v>0.45</v>
      </c>
    </row>
    <row r="7" spans="1:28" x14ac:dyDescent="0.2">
      <c r="A7" s="10">
        <v>0.45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>
        <v>0.45</v>
      </c>
    </row>
    <row r="8" spans="1:28" x14ac:dyDescent="0.2">
      <c r="A8" s="10">
        <v>0.45</v>
      </c>
      <c r="B8" s="24" t="s">
        <v>363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10">
        <v>0.45</v>
      </c>
    </row>
    <row r="9" spans="1:28" x14ac:dyDescent="0.2">
      <c r="A9" s="10">
        <v>0.45</v>
      </c>
      <c r="B9" s="10"/>
      <c r="C9" s="10" t="s">
        <v>364</v>
      </c>
      <c r="D9" s="10"/>
      <c r="E9" s="40">
        <v>90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>
        <v>0.45</v>
      </c>
    </row>
    <row r="10" spans="1:28" x14ac:dyDescent="0.2">
      <c r="A10" s="10">
        <v>0.45</v>
      </c>
      <c r="B10" s="10"/>
      <c r="C10" s="10" t="s">
        <v>365</v>
      </c>
      <c r="D10" s="10"/>
      <c r="E10" s="113">
        <v>0.6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>
        <v>0.45</v>
      </c>
    </row>
    <row r="11" spans="1:28" x14ac:dyDescent="0.2">
      <c r="A11" s="10">
        <v>0.45</v>
      </c>
      <c r="B11" s="10"/>
      <c r="C11" s="10" t="s">
        <v>366</v>
      </c>
      <c r="D11" s="10"/>
      <c r="E11" s="113">
        <v>0.25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>
        <v>0.45</v>
      </c>
    </row>
    <row r="12" spans="1:28" x14ac:dyDescent="0.2">
      <c r="A12" s="10">
        <v>0.45</v>
      </c>
      <c r="B12" s="10"/>
      <c r="C12" s="10" t="s">
        <v>367</v>
      </c>
      <c r="D12" s="10"/>
      <c r="E12" s="113">
        <v>0.15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>
        <v>0.45</v>
      </c>
    </row>
    <row r="13" spans="1:28" x14ac:dyDescent="0.2">
      <c r="A13" s="10">
        <v>0.45</v>
      </c>
      <c r="B13" s="10"/>
      <c r="C13" s="10" t="s">
        <v>368</v>
      </c>
      <c r="D13" s="10"/>
      <c r="E13" s="131">
        <v>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>
        <v>0.45</v>
      </c>
    </row>
    <row r="14" spans="1:28" x14ac:dyDescent="0.2">
      <c r="A14" s="10">
        <v>0.45</v>
      </c>
      <c r="B14" s="10"/>
      <c r="C14" s="10" t="s">
        <v>369</v>
      </c>
      <c r="D14" s="10"/>
      <c r="E14" s="131">
        <v>11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>
        <v>0.45</v>
      </c>
    </row>
    <row r="15" spans="1:28" x14ac:dyDescent="0.2">
      <c r="A15" s="10">
        <v>0.45</v>
      </c>
      <c r="B15" s="10"/>
      <c r="C15" s="10" t="s">
        <v>370</v>
      </c>
      <c r="D15" s="10"/>
      <c r="E15" s="131">
        <v>12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>
        <v>0.45</v>
      </c>
    </row>
    <row r="16" spans="1:28" x14ac:dyDescent="0.2">
      <c r="A16" s="10">
        <v>0.45</v>
      </c>
      <c r="B16" s="10"/>
      <c r="C16" s="10" t="s">
        <v>371</v>
      </c>
      <c r="D16" s="10"/>
      <c r="E16" s="133">
        <v>0.75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>
        <v>0.45</v>
      </c>
    </row>
    <row r="17" spans="1:28" x14ac:dyDescent="0.2">
      <c r="A17" s="10">
        <v>0.45</v>
      </c>
      <c r="B17" s="10"/>
      <c r="C17" s="10" t="s">
        <v>372</v>
      </c>
      <c r="D17" s="10"/>
      <c r="E17" s="113">
        <v>0.45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>
        <v>0.45</v>
      </c>
    </row>
    <row r="18" spans="1:28" x14ac:dyDescent="0.2">
      <c r="A18" s="10">
        <v>0.45</v>
      </c>
      <c r="B18" s="10"/>
      <c r="C18" s="10" t="s">
        <v>373</v>
      </c>
      <c r="D18" s="10"/>
      <c r="E18" s="113">
        <v>0.6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>
        <v>0.45</v>
      </c>
    </row>
    <row r="19" spans="1:28" x14ac:dyDescent="0.2">
      <c r="A19" s="10">
        <v>0.45</v>
      </c>
      <c r="B19" s="10"/>
      <c r="C19" s="10" t="s">
        <v>374</v>
      </c>
      <c r="D19" s="10"/>
      <c r="E19" s="112">
        <f>'CLUB MED'!$E$14</f>
        <v>5.6800000000000003E-2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>
        <v>0.45</v>
      </c>
    </row>
    <row r="20" spans="1:28" x14ac:dyDescent="0.2">
      <c r="A20" s="10">
        <v>0.45</v>
      </c>
      <c r="B20" s="10"/>
      <c r="C20" s="10" t="s">
        <v>375</v>
      </c>
      <c r="D20" s="10"/>
      <c r="E20" s="39">
        <v>0.6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>
        <v>0.45</v>
      </c>
    </row>
    <row r="21" spans="1:28" x14ac:dyDescent="0.2">
      <c r="A21" s="10">
        <v>0.45</v>
      </c>
      <c r="B21" s="10"/>
      <c r="C21" s="10" t="s">
        <v>376</v>
      </c>
      <c r="D21" s="10"/>
      <c r="E21" s="39">
        <v>0.06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>
        <v>0.45</v>
      </c>
    </row>
    <row r="22" spans="1:28" x14ac:dyDescent="0.2">
      <c r="A22" s="10">
        <v>0.45</v>
      </c>
      <c r="B22" s="10"/>
      <c r="C22" s="10" t="s">
        <v>377</v>
      </c>
      <c r="D22" s="10"/>
      <c r="E22" s="39">
        <v>0.02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>
        <v>0.45</v>
      </c>
    </row>
    <row r="23" spans="1:28" x14ac:dyDescent="0.2">
      <c r="A23" s="10">
        <v>0.45</v>
      </c>
      <c r="B23" s="10"/>
      <c r="C23" s="10" t="s">
        <v>378</v>
      </c>
      <c r="D23" s="10"/>
      <c r="E23" s="39">
        <v>0.02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>
        <v>0.45</v>
      </c>
    </row>
    <row r="24" spans="1:28" x14ac:dyDescent="0.2">
      <c r="A24" s="10">
        <v>0.45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>
        <v>0.45</v>
      </c>
    </row>
    <row r="25" spans="1:28" x14ac:dyDescent="0.2">
      <c r="A25" s="10">
        <v>0.45</v>
      </c>
      <c r="B25" s="24" t="s">
        <v>379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10">
        <v>0.45</v>
      </c>
    </row>
    <row r="26" spans="1:28" x14ac:dyDescent="0.2">
      <c r="A26" s="10">
        <v>0.45</v>
      </c>
      <c r="B26" s="10"/>
      <c r="C26" s="10" t="s">
        <v>380</v>
      </c>
      <c r="D26" s="10"/>
      <c r="E26" s="40">
        <v>45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>
        <v>0.45</v>
      </c>
    </row>
    <row r="27" spans="1:28" x14ac:dyDescent="0.2">
      <c r="A27" s="10">
        <v>0.45</v>
      </c>
      <c r="B27" s="10"/>
      <c r="C27" s="10" t="s">
        <v>381</v>
      </c>
      <c r="D27" s="10"/>
      <c r="E27" s="40">
        <v>60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>
        <v>0.45</v>
      </c>
    </row>
    <row r="28" spans="1:28" x14ac:dyDescent="0.2">
      <c r="A28" s="10">
        <v>0.45</v>
      </c>
      <c r="B28" s="10"/>
      <c r="C28" s="10" t="s">
        <v>382</v>
      </c>
      <c r="D28" s="10"/>
      <c r="E28" s="113">
        <v>0.7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>
        <v>0.45</v>
      </c>
    </row>
    <row r="29" spans="1:28" x14ac:dyDescent="0.2">
      <c r="A29" s="10">
        <v>0.45</v>
      </c>
      <c r="B29" s="10"/>
      <c r="C29" s="10" t="s">
        <v>120</v>
      </c>
      <c r="D29" s="10"/>
      <c r="E29" s="58">
        <v>8000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>
        <v>0.45</v>
      </c>
    </row>
    <row r="30" spans="1:28" x14ac:dyDescent="0.2">
      <c r="A30" s="10">
        <v>0.45</v>
      </c>
      <c r="B30" s="10"/>
      <c r="C30" s="10" t="s">
        <v>383</v>
      </c>
      <c r="D30" s="10"/>
      <c r="E30" s="60">
        <v>8000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>
        <v>0.45</v>
      </c>
    </row>
    <row r="31" spans="1:28" x14ac:dyDescent="0.2">
      <c r="A31" s="10">
        <v>0.45</v>
      </c>
      <c r="B31" s="10"/>
      <c r="C31" s="10" t="s">
        <v>384</v>
      </c>
      <c r="D31" s="10"/>
      <c r="E31" s="58">
        <v>80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>
        <v>0.45</v>
      </c>
    </row>
    <row r="32" spans="1:28" x14ac:dyDescent="0.2">
      <c r="A32" s="10">
        <v>0.45</v>
      </c>
      <c r="B32" s="10"/>
      <c r="C32" s="10" t="s">
        <v>385</v>
      </c>
      <c r="D32" s="10"/>
      <c r="E32" s="39">
        <v>0.03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>
        <v>0.45</v>
      </c>
    </row>
    <row r="33" spans="1:28" x14ac:dyDescent="0.2">
      <c r="A33" s="10">
        <v>0.45</v>
      </c>
      <c r="B33" s="10"/>
      <c r="C33" s="10" t="s">
        <v>127</v>
      </c>
      <c r="D33" s="10"/>
      <c r="E33" s="39">
        <v>0.04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>
        <v>0.45</v>
      </c>
    </row>
    <row r="34" spans="1:28" x14ac:dyDescent="0.2">
      <c r="A34" s="10">
        <v>0.45</v>
      </c>
      <c r="B34" s="10"/>
      <c r="C34" s="10" t="s">
        <v>264</v>
      </c>
      <c r="D34" s="10"/>
      <c r="E34" s="40">
        <v>2029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>
        <v>0.45</v>
      </c>
    </row>
    <row r="35" spans="1:28" x14ac:dyDescent="0.2">
      <c r="A35" s="10">
        <v>0.45</v>
      </c>
      <c r="B35" s="10"/>
      <c r="C35" s="10" t="s">
        <v>386</v>
      </c>
      <c r="D35" s="10"/>
      <c r="E35" s="113">
        <v>0.4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>
        <v>0.45</v>
      </c>
    </row>
    <row r="36" spans="1:28" x14ac:dyDescent="0.2">
      <c r="A36" s="10">
        <v>0.45</v>
      </c>
      <c r="B36" s="10"/>
      <c r="C36" s="10" t="s">
        <v>229</v>
      </c>
      <c r="D36" s="10"/>
      <c r="E36" s="40">
        <v>2031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>
        <v>0.45</v>
      </c>
    </row>
    <row r="37" spans="1:28" x14ac:dyDescent="0.2">
      <c r="A37" s="10">
        <v>0.45</v>
      </c>
      <c r="B37" s="10"/>
      <c r="C37" s="10" t="s">
        <v>387</v>
      </c>
      <c r="D37" s="10"/>
      <c r="E37" s="85">
        <v>0.08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>
        <v>0.45</v>
      </c>
    </row>
    <row r="38" spans="1:28" x14ac:dyDescent="0.2">
      <c r="A38" s="10">
        <v>0.45</v>
      </c>
      <c r="B38" s="10"/>
      <c r="C38" s="10" t="s">
        <v>388</v>
      </c>
      <c r="D38" s="10"/>
      <c r="E38" s="113">
        <v>0.1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>
        <v>0.45</v>
      </c>
    </row>
    <row r="39" spans="1:28" x14ac:dyDescent="0.2">
      <c r="A39" s="10">
        <v>0.45</v>
      </c>
      <c r="B39" s="10"/>
      <c r="C39" s="10" t="s">
        <v>389</v>
      </c>
      <c r="D39" s="10"/>
      <c r="E39" s="113">
        <v>0.2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>
        <v>0.45</v>
      </c>
    </row>
    <row r="40" spans="1:28" x14ac:dyDescent="0.2">
      <c r="A40" s="10">
        <v>0.45</v>
      </c>
      <c r="B40" s="10"/>
      <c r="C40" s="10" t="s">
        <v>390</v>
      </c>
      <c r="D40" s="10"/>
      <c r="E40" s="39">
        <v>0.04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>
        <v>0.45</v>
      </c>
    </row>
    <row r="41" spans="1:28" x14ac:dyDescent="0.2">
      <c r="A41" s="10">
        <v>0.45</v>
      </c>
      <c r="B41" s="10"/>
      <c r="C41" s="10" t="s">
        <v>391</v>
      </c>
      <c r="D41" s="10"/>
      <c r="E41" s="39">
        <v>0.06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>
        <v>0.45</v>
      </c>
    </row>
    <row r="42" spans="1:28" x14ac:dyDescent="0.2">
      <c r="A42" s="10">
        <v>0.45</v>
      </c>
      <c r="B42" s="10"/>
      <c r="C42" s="10" t="s">
        <v>392</v>
      </c>
      <c r="D42" s="10"/>
      <c r="E42" s="132">
        <f>0.65%+3%+5%+32%*34%</f>
        <v>0.1953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>
        <v>0.45</v>
      </c>
    </row>
    <row r="43" spans="1:28" x14ac:dyDescent="0.2">
      <c r="A43" s="10">
        <v>0.45</v>
      </c>
      <c r="B43" s="10"/>
      <c r="C43" s="10" t="s">
        <v>55</v>
      </c>
      <c r="D43" s="10"/>
      <c r="E43" s="42">
        <f>MANAGEMENT!$H$6</f>
        <v>0.09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>
        <v>0.45</v>
      </c>
    </row>
    <row r="44" spans="1:28" x14ac:dyDescent="0.2">
      <c r="A44" s="10">
        <v>0.45</v>
      </c>
      <c r="B44" s="10"/>
      <c r="C44" s="10" t="s">
        <v>393</v>
      </c>
      <c r="D44" s="10"/>
      <c r="E44" s="39">
        <v>0.1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>
        <v>0.45</v>
      </c>
    </row>
    <row r="45" spans="1:28" x14ac:dyDescent="0.2">
      <c r="A45" s="10">
        <v>0.45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>
        <v>0.45</v>
      </c>
    </row>
    <row r="46" spans="1:28" x14ac:dyDescent="0.2">
      <c r="A46" s="10">
        <v>0.45</v>
      </c>
      <c r="B46" s="24" t="s">
        <v>394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10">
        <v>0.45</v>
      </c>
    </row>
    <row r="47" spans="1:28" x14ac:dyDescent="0.2">
      <c r="A47" s="10">
        <v>0.45</v>
      </c>
      <c r="B47" s="10"/>
      <c r="C47" s="10" t="s">
        <v>395</v>
      </c>
      <c r="D47" s="10"/>
      <c r="E47" s="134">
        <f>$E$28*$E$26+(1-$E$28)*$E$27</f>
        <v>49.5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>
        <v>0.45</v>
      </c>
    </row>
    <row r="48" spans="1:28" x14ac:dyDescent="0.2">
      <c r="A48" s="10">
        <v>0.45</v>
      </c>
      <c r="B48" s="10"/>
      <c r="C48" s="10" t="s">
        <v>396</v>
      </c>
      <c r="D48" s="10"/>
      <c r="E48" s="135">
        <f>$E$9*E47</f>
        <v>4455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>
        <v>0.45</v>
      </c>
    </row>
    <row r="49" spans="1:28" x14ac:dyDescent="0.2">
      <c r="A49" s="10">
        <v>0.45</v>
      </c>
      <c r="B49" s="10"/>
      <c r="C49" s="10" t="s">
        <v>427</v>
      </c>
      <c r="D49" s="10"/>
      <c r="E49" s="136">
        <f>$E$10*$E$13+$E$11*$E$14+$E$12*$E$15</f>
        <v>9.9499999999999993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>
        <v>0.45</v>
      </c>
    </row>
    <row r="50" spans="1:28" x14ac:dyDescent="0.2">
      <c r="A50" s="10">
        <v>0.45</v>
      </c>
      <c r="B50" s="10"/>
      <c r="C50" s="10" t="s">
        <v>426</v>
      </c>
      <c r="D50" s="10"/>
      <c r="E50" s="56">
        <f>$E$9*$E$16*E49*12*(1+$E$19)^($E$36-$G$6)</f>
        <v>10623.610087770321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>
        <v>0.45</v>
      </c>
    </row>
    <row r="51" spans="1:28" x14ac:dyDescent="0.2">
      <c r="A51" s="10">
        <v>0.45</v>
      </c>
      <c r="B51" s="10"/>
      <c r="C51" s="10" t="s">
        <v>397</v>
      </c>
      <c r="D51" s="10"/>
      <c r="E51" s="55">
        <f>1-$E$20-$E$21-$E$22-$E$23</f>
        <v>0.3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>
        <v>0.45</v>
      </c>
    </row>
    <row r="52" spans="1:28" x14ac:dyDescent="0.2">
      <c r="A52" s="10">
        <v>0.45</v>
      </c>
      <c r="B52" s="10"/>
      <c r="C52" s="10" t="s">
        <v>398</v>
      </c>
      <c r="D52" s="10"/>
      <c r="E52" s="56">
        <f>E50*E51</f>
        <v>3187.0830263310963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>
        <v>0.45</v>
      </c>
    </row>
    <row r="53" spans="1:28" x14ac:dyDescent="0.2">
      <c r="A53" s="10">
        <v>0.45</v>
      </c>
      <c r="B53" s="10"/>
      <c r="C53" s="10" t="s">
        <v>399</v>
      </c>
      <c r="D53" s="10"/>
      <c r="E53" s="56">
        <f>E52/$E$37</f>
        <v>39838.537829138702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>
        <v>0.45</v>
      </c>
    </row>
    <row r="54" spans="1:28" x14ac:dyDescent="0.2">
      <c r="A54" s="10">
        <v>0.45</v>
      </c>
      <c r="B54" s="10"/>
      <c r="C54" s="10" t="s">
        <v>400</v>
      </c>
      <c r="D54" s="10"/>
      <c r="E54" s="56">
        <f>E53/$E$9</f>
        <v>442.65042032376334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>
        <v>0.45</v>
      </c>
    </row>
    <row r="55" spans="1:28" x14ac:dyDescent="0.2">
      <c r="A55" s="10">
        <v>0.45</v>
      </c>
      <c r="B55" s="10"/>
      <c r="C55" s="10" t="s">
        <v>401</v>
      </c>
      <c r="D55" s="10"/>
      <c r="E55" s="135">
        <f>E53*1000/E48</f>
        <v>8942.4327338134008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>
        <v>0.45</v>
      </c>
    </row>
    <row r="56" spans="1:28" x14ac:dyDescent="0.2">
      <c r="A56" s="10">
        <v>0.45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>
        <v>0.45</v>
      </c>
    </row>
    <row r="57" spans="1:28" x14ac:dyDescent="0.2">
      <c r="A57" s="10">
        <v>0.45</v>
      </c>
      <c r="B57" s="24" t="s">
        <v>402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10">
        <v>0.45</v>
      </c>
    </row>
    <row r="58" spans="1:28" x14ac:dyDescent="0.2">
      <c r="A58" s="10">
        <v>0.45</v>
      </c>
      <c r="B58" s="10"/>
      <c r="C58" s="23" t="s">
        <v>295</v>
      </c>
      <c r="D58" s="23"/>
      <c r="E58" s="23"/>
      <c r="F58" s="23"/>
      <c r="G58" s="109">
        <f t="shared" ref="G58:Z58" si="1">IF(G$6=$E$34,$E$35,IF(G$6=$E$34+1,1-$E$35,0))</f>
        <v>0</v>
      </c>
      <c r="H58" s="109">
        <f t="shared" si="1"/>
        <v>0</v>
      </c>
      <c r="I58" s="109">
        <f t="shared" si="1"/>
        <v>0</v>
      </c>
      <c r="J58" s="109">
        <f t="shared" si="1"/>
        <v>0.4</v>
      </c>
      <c r="K58" s="109">
        <f t="shared" si="1"/>
        <v>0.6</v>
      </c>
      <c r="L58" s="109">
        <f t="shared" si="1"/>
        <v>0</v>
      </c>
      <c r="M58" s="109">
        <f t="shared" si="1"/>
        <v>0</v>
      </c>
      <c r="N58" s="109">
        <f t="shared" si="1"/>
        <v>0</v>
      </c>
      <c r="O58" s="109">
        <f t="shared" si="1"/>
        <v>0</v>
      </c>
      <c r="P58" s="109">
        <f t="shared" si="1"/>
        <v>0</v>
      </c>
      <c r="Q58" s="109">
        <f t="shared" si="1"/>
        <v>0</v>
      </c>
      <c r="R58" s="109">
        <f t="shared" si="1"/>
        <v>0</v>
      </c>
      <c r="S58" s="109">
        <f t="shared" si="1"/>
        <v>0</v>
      </c>
      <c r="T58" s="109">
        <f t="shared" si="1"/>
        <v>0</v>
      </c>
      <c r="U58" s="109">
        <f t="shared" si="1"/>
        <v>0</v>
      </c>
      <c r="V58" s="109">
        <f t="shared" si="1"/>
        <v>0</v>
      </c>
      <c r="W58" s="109">
        <f t="shared" si="1"/>
        <v>0</v>
      </c>
      <c r="X58" s="109">
        <f t="shared" si="1"/>
        <v>0</v>
      </c>
      <c r="Y58" s="109">
        <f t="shared" si="1"/>
        <v>0</v>
      </c>
      <c r="Z58" s="109">
        <f t="shared" si="1"/>
        <v>0</v>
      </c>
      <c r="AA58" s="12"/>
      <c r="AB58" s="10">
        <v>0.45</v>
      </c>
    </row>
    <row r="59" spans="1:28" x14ac:dyDescent="0.2">
      <c r="A59" s="10">
        <v>0.45</v>
      </c>
      <c r="B59" s="10"/>
      <c r="C59" s="10" t="s">
        <v>403</v>
      </c>
      <c r="D59" s="10"/>
      <c r="E59" s="12">
        <f>SUM(G59:Z59)</f>
        <v>64000</v>
      </c>
      <c r="F59" s="10"/>
      <c r="G59" s="12">
        <f t="shared" ref="G59:Z59" si="2">$E$29*$E$30/1000*G58</f>
        <v>0</v>
      </c>
      <c r="H59" s="12">
        <f t="shared" si="2"/>
        <v>0</v>
      </c>
      <c r="I59" s="12">
        <f t="shared" si="2"/>
        <v>0</v>
      </c>
      <c r="J59" s="12">
        <f t="shared" si="2"/>
        <v>25600</v>
      </c>
      <c r="K59" s="12">
        <f t="shared" si="2"/>
        <v>38400</v>
      </c>
      <c r="L59" s="12">
        <f t="shared" si="2"/>
        <v>0</v>
      </c>
      <c r="M59" s="12">
        <f t="shared" si="2"/>
        <v>0</v>
      </c>
      <c r="N59" s="12">
        <f t="shared" si="2"/>
        <v>0</v>
      </c>
      <c r="O59" s="12">
        <f t="shared" si="2"/>
        <v>0</v>
      </c>
      <c r="P59" s="12">
        <f t="shared" si="2"/>
        <v>0</v>
      </c>
      <c r="Q59" s="12">
        <f t="shared" si="2"/>
        <v>0</v>
      </c>
      <c r="R59" s="12">
        <f t="shared" si="2"/>
        <v>0</v>
      </c>
      <c r="S59" s="12">
        <f t="shared" si="2"/>
        <v>0</v>
      </c>
      <c r="T59" s="12">
        <f t="shared" si="2"/>
        <v>0</v>
      </c>
      <c r="U59" s="12">
        <f t="shared" si="2"/>
        <v>0</v>
      </c>
      <c r="V59" s="12">
        <f t="shared" si="2"/>
        <v>0</v>
      </c>
      <c r="W59" s="12">
        <f t="shared" si="2"/>
        <v>0</v>
      </c>
      <c r="X59" s="12">
        <f t="shared" si="2"/>
        <v>0</v>
      </c>
      <c r="Y59" s="12">
        <f t="shared" si="2"/>
        <v>0</v>
      </c>
      <c r="Z59" s="12">
        <f t="shared" si="2"/>
        <v>0</v>
      </c>
      <c r="AA59" s="12"/>
      <c r="AB59" s="10">
        <v>0.45</v>
      </c>
    </row>
    <row r="60" spans="1:28" x14ac:dyDescent="0.2">
      <c r="A60" s="10">
        <v>0.45</v>
      </c>
      <c r="B60" s="10"/>
      <c r="C60" s="10" t="s">
        <v>404</v>
      </c>
      <c r="D60" s="10"/>
      <c r="E60" s="12">
        <f>SUM(G60:Z60)</f>
        <v>7200</v>
      </c>
      <c r="F60" s="10"/>
      <c r="G60" s="12">
        <f t="shared" ref="G60:Z60" si="3">$E$9*$E$31*G58</f>
        <v>0</v>
      </c>
      <c r="H60" s="12">
        <f t="shared" si="3"/>
        <v>0</v>
      </c>
      <c r="I60" s="12">
        <f t="shared" si="3"/>
        <v>0</v>
      </c>
      <c r="J60" s="12">
        <f t="shared" si="3"/>
        <v>2880</v>
      </c>
      <c r="K60" s="12">
        <f t="shared" si="3"/>
        <v>4320</v>
      </c>
      <c r="L60" s="12">
        <f t="shared" si="3"/>
        <v>0</v>
      </c>
      <c r="M60" s="12">
        <f t="shared" si="3"/>
        <v>0</v>
      </c>
      <c r="N60" s="12">
        <f t="shared" si="3"/>
        <v>0</v>
      </c>
      <c r="O60" s="12">
        <f t="shared" si="3"/>
        <v>0</v>
      </c>
      <c r="P60" s="12">
        <f t="shared" si="3"/>
        <v>0</v>
      </c>
      <c r="Q60" s="12">
        <f t="shared" si="3"/>
        <v>0</v>
      </c>
      <c r="R60" s="12">
        <f t="shared" si="3"/>
        <v>0</v>
      </c>
      <c r="S60" s="12">
        <f t="shared" si="3"/>
        <v>0</v>
      </c>
      <c r="T60" s="12">
        <f t="shared" si="3"/>
        <v>0</v>
      </c>
      <c r="U60" s="12">
        <f t="shared" si="3"/>
        <v>0</v>
      </c>
      <c r="V60" s="12">
        <f t="shared" si="3"/>
        <v>0</v>
      </c>
      <c r="W60" s="12">
        <f t="shared" si="3"/>
        <v>0</v>
      </c>
      <c r="X60" s="12">
        <f t="shared" si="3"/>
        <v>0</v>
      </c>
      <c r="Y60" s="12">
        <f t="shared" si="3"/>
        <v>0</v>
      </c>
      <c r="Z60" s="12">
        <f t="shared" si="3"/>
        <v>0</v>
      </c>
      <c r="AA60" s="12"/>
      <c r="AB60" s="10">
        <v>0.45</v>
      </c>
    </row>
    <row r="61" spans="1:28" x14ac:dyDescent="0.2">
      <c r="A61" s="10">
        <v>0.45</v>
      </c>
      <c r="B61" s="10"/>
      <c r="C61" s="10" t="s">
        <v>405</v>
      </c>
      <c r="D61" s="10"/>
      <c r="E61" s="12">
        <f>SUM(G61:Z61)</f>
        <v>1920</v>
      </c>
      <c r="F61" s="10"/>
      <c r="G61" s="12">
        <f t="shared" ref="G61:Z61" si="4">G59*$E$32</f>
        <v>0</v>
      </c>
      <c r="H61" s="12">
        <f t="shared" si="4"/>
        <v>0</v>
      </c>
      <c r="I61" s="12">
        <f t="shared" si="4"/>
        <v>0</v>
      </c>
      <c r="J61" s="12">
        <f t="shared" si="4"/>
        <v>768</v>
      </c>
      <c r="K61" s="12">
        <f t="shared" si="4"/>
        <v>1152</v>
      </c>
      <c r="L61" s="12">
        <f t="shared" si="4"/>
        <v>0</v>
      </c>
      <c r="M61" s="12">
        <f t="shared" si="4"/>
        <v>0</v>
      </c>
      <c r="N61" s="12">
        <f t="shared" si="4"/>
        <v>0</v>
      </c>
      <c r="O61" s="12">
        <f t="shared" si="4"/>
        <v>0</v>
      </c>
      <c r="P61" s="12">
        <f t="shared" si="4"/>
        <v>0</v>
      </c>
      <c r="Q61" s="12">
        <f t="shared" si="4"/>
        <v>0</v>
      </c>
      <c r="R61" s="12">
        <f t="shared" si="4"/>
        <v>0</v>
      </c>
      <c r="S61" s="12">
        <f t="shared" si="4"/>
        <v>0</v>
      </c>
      <c r="T61" s="12">
        <f t="shared" si="4"/>
        <v>0</v>
      </c>
      <c r="U61" s="12">
        <f t="shared" si="4"/>
        <v>0</v>
      </c>
      <c r="V61" s="12">
        <f t="shared" si="4"/>
        <v>0</v>
      </c>
      <c r="W61" s="12">
        <f t="shared" si="4"/>
        <v>0</v>
      </c>
      <c r="X61" s="12">
        <f t="shared" si="4"/>
        <v>0</v>
      </c>
      <c r="Y61" s="12">
        <f t="shared" si="4"/>
        <v>0</v>
      </c>
      <c r="Z61" s="12">
        <f t="shared" si="4"/>
        <v>0</v>
      </c>
      <c r="AA61" s="12"/>
      <c r="AB61" s="10">
        <v>0.45</v>
      </c>
    </row>
    <row r="62" spans="1:28" x14ac:dyDescent="0.2">
      <c r="A62" s="10">
        <v>0.45</v>
      </c>
      <c r="B62" s="10"/>
      <c r="C62" s="10" t="s">
        <v>105</v>
      </c>
      <c r="D62" s="10"/>
      <c r="E62" s="12">
        <f>SUM(G62:Z62)</f>
        <v>2560</v>
      </c>
      <c r="F62" s="10"/>
      <c r="G62" s="12">
        <f t="shared" ref="G62:Z62" si="5">G59*$E$33</f>
        <v>0</v>
      </c>
      <c r="H62" s="12">
        <f t="shared" si="5"/>
        <v>0</v>
      </c>
      <c r="I62" s="12">
        <f t="shared" si="5"/>
        <v>0</v>
      </c>
      <c r="J62" s="12">
        <f t="shared" si="5"/>
        <v>1024</v>
      </c>
      <c r="K62" s="12">
        <f t="shared" si="5"/>
        <v>1536</v>
      </c>
      <c r="L62" s="12">
        <f t="shared" si="5"/>
        <v>0</v>
      </c>
      <c r="M62" s="12">
        <f t="shared" si="5"/>
        <v>0</v>
      </c>
      <c r="N62" s="12">
        <f t="shared" si="5"/>
        <v>0</v>
      </c>
      <c r="O62" s="12">
        <f t="shared" si="5"/>
        <v>0</v>
      </c>
      <c r="P62" s="12">
        <f t="shared" si="5"/>
        <v>0</v>
      </c>
      <c r="Q62" s="12">
        <f t="shared" si="5"/>
        <v>0</v>
      </c>
      <c r="R62" s="12">
        <f t="shared" si="5"/>
        <v>0</v>
      </c>
      <c r="S62" s="12">
        <f t="shared" si="5"/>
        <v>0</v>
      </c>
      <c r="T62" s="12">
        <f t="shared" si="5"/>
        <v>0</v>
      </c>
      <c r="U62" s="12">
        <f t="shared" si="5"/>
        <v>0</v>
      </c>
      <c r="V62" s="12">
        <f t="shared" si="5"/>
        <v>0</v>
      </c>
      <c r="W62" s="12">
        <f t="shared" si="5"/>
        <v>0</v>
      </c>
      <c r="X62" s="12">
        <f t="shared" si="5"/>
        <v>0</v>
      </c>
      <c r="Y62" s="12">
        <f t="shared" si="5"/>
        <v>0</v>
      </c>
      <c r="Z62" s="12">
        <f t="shared" si="5"/>
        <v>0</v>
      </c>
      <c r="AA62" s="12"/>
      <c r="AB62" s="10">
        <v>0.45</v>
      </c>
    </row>
    <row r="63" spans="1:28" x14ac:dyDescent="0.2">
      <c r="A63" s="10">
        <v>0.45</v>
      </c>
      <c r="B63" s="49" t="s">
        <v>302</v>
      </c>
      <c r="C63" s="49"/>
      <c r="D63" s="49"/>
      <c r="E63" s="50">
        <f>SUM(G63:Z63)</f>
        <v>75680</v>
      </c>
      <c r="F63" s="49"/>
      <c r="G63" s="50">
        <f t="shared" ref="G63:Z63" si="6">SUM(G59:G62)</f>
        <v>0</v>
      </c>
      <c r="H63" s="50">
        <f t="shared" si="6"/>
        <v>0</v>
      </c>
      <c r="I63" s="50">
        <f t="shared" si="6"/>
        <v>0</v>
      </c>
      <c r="J63" s="50">
        <f t="shared" si="6"/>
        <v>30272</v>
      </c>
      <c r="K63" s="50">
        <f t="shared" si="6"/>
        <v>45408</v>
      </c>
      <c r="L63" s="50">
        <f t="shared" si="6"/>
        <v>0</v>
      </c>
      <c r="M63" s="50">
        <f t="shared" si="6"/>
        <v>0</v>
      </c>
      <c r="N63" s="50">
        <f t="shared" si="6"/>
        <v>0</v>
      </c>
      <c r="O63" s="50">
        <f t="shared" si="6"/>
        <v>0</v>
      </c>
      <c r="P63" s="50">
        <f t="shared" si="6"/>
        <v>0</v>
      </c>
      <c r="Q63" s="50">
        <f t="shared" si="6"/>
        <v>0</v>
      </c>
      <c r="R63" s="50">
        <f t="shared" si="6"/>
        <v>0</v>
      </c>
      <c r="S63" s="50">
        <f t="shared" si="6"/>
        <v>0</v>
      </c>
      <c r="T63" s="50">
        <f t="shared" si="6"/>
        <v>0</v>
      </c>
      <c r="U63" s="50">
        <f t="shared" si="6"/>
        <v>0</v>
      </c>
      <c r="V63" s="50">
        <f t="shared" si="6"/>
        <v>0</v>
      </c>
      <c r="W63" s="50">
        <f t="shared" si="6"/>
        <v>0</v>
      </c>
      <c r="X63" s="50">
        <f t="shared" si="6"/>
        <v>0</v>
      </c>
      <c r="Y63" s="50">
        <f t="shared" si="6"/>
        <v>0</v>
      </c>
      <c r="Z63" s="50">
        <f t="shared" si="6"/>
        <v>0</v>
      </c>
      <c r="AA63" s="50"/>
      <c r="AB63" s="10">
        <v>0.45</v>
      </c>
    </row>
    <row r="64" spans="1:28" x14ac:dyDescent="0.2">
      <c r="A64" s="10">
        <v>0.45</v>
      </c>
      <c r="B64" s="10"/>
      <c r="C64" s="10"/>
      <c r="D64" s="10"/>
      <c r="E64" s="10"/>
      <c r="F64" s="10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0">
        <v>0.45</v>
      </c>
    </row>
    <row r="65" spans="1:28" x14ac:dyDescent="0.2">
      <c r="A65" s="10">
        <v>0.45</v>
      </c>
      <c r="B65" s="24" t="s">
        <v>406</v>
      </c>
      <c r="C65" s="24"/>
      <c r="D65" s="24"/>
      <c r="E65" s="24"/>
      <c r="F65" s="24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10">
        <v>0.45</v>
      </c>
    </row>
    <row r="66" spans="1:28" x14ac:dyDescent="0.2">
      <c r="A66" s="10">
        <v>0.45</v>
      </c>
      <c r="B66" s="10"/>
      <c r="C66" s="10" t="s">
        <v>407</v>
      </c>
      <c r="D66" s="10"/>
      <c r="E66" s="12">
        <f>SUM(G66:Z66)</f>
        <v>39838.537829138702</v>
      </c>
      <c r="F66" s="10"/>
      <c r="G66" s="12">
        <f>E$53*IF(G$6=$E$34,$E$38,IF(G$6=$E$34+1,$E$39,IF(G$6=$E$36,1-$E$38-$E$39,0)))</f>
        <v>0</v>
      </c>
      <c r="H66" s="12">
        <f>E$53*IF(H$6=$E$34,$E$38,IF(H$6=$E$34+1,$E$39,IF(H$6=$E$36,1-$E$38-$E$39,0)))</f>
        <v>0</v>
      </c>
      <c r="I66" s="12">
        <f>E$53*IF(I$6=$E$34,$E$38,IF(I$6=$E$34+1,$E$39,IF(I$6=$E$36,1-$E$38-$E$39,0)))</f>
        <v>0</v>
      </c>
      <c r="J66" s="12">
        <f>E$53*IF(J$6=$E$34,$E$38,IF(J$6=$E$34+1,$E$39,IF(J$6=$E$36,1-$E$38-$E$39,0)))</f>
        <v>3983.8537829138704</v>
      </c>
      <c r="K66" s="12">
        <f>E$53*IF(K$6=$E$34,$E$38,IF(K$6=$E$34+1,$E$39,IF(K$6=$E$36,1-$E$38-$E$39,0)))</f>
        <v>7967.7075658277408</v>
      </c>
      <c r="L66" s="12">
        <f>E$53*IF(L$6=$E$34,$E$38,IF(L$6=$E$34+1,$E$39,IF(L$6=$E$36,1-$E$38-$E$39,0)))</f>
        <v>27886.97648039709</v>
      </c>
      <c r="M66" s="12">
        <f>E$53*IF(M$6=$E$34,$E$38,IF(M$6=$E$34+1,$E$39,IF(M$6=$E$36,1-$E$38-$E$39,0)))</f>
        <v>0</v>
      </c>
      <c r="N66" s="12">
        <f>E$53*IF(N$6=$E$34,$E$38,IF(N$6=$E$34+1,$E$39,IF(N$6=$E$36,1-$E$38-$E$39,0)))</f>
        <v>0</v>
      </c>
      <c r="O66" s="12">
        <f>E$53*IF(O$6=$E$34,$E$38,IF(O$6=$E$34+1,$E$39,IF(O$6=$E$36,1-$E$38-$E$39,0)))</f>
        <v>0</v>
      </c>
      <c r="P66" s="12">
        <f>E$53*IF(P$6=$E$34,$E$38,IF(P$6=$E$34+1,$E$39,IF(P$6=$E$36,1-$E$38-$E$39,0)))</f>
        <v>0</v>
      </c>
      <c r="Q66" s="12">
        <f>E$53*IF(Q$6=$E$34,$E$38,IF(Q$6=$E$34+1,$E$39,IF(Q$6=$E$36,1-$E$38-$E$39,0)))</f>
        <v>0</v>
      </c>
      <c r="R66" s="12">
        <f>E$53*IF(R$6=$E$34,$E$38,IF(R$6=$E$34+1,$E$39,IF(R$6=$E$36,1-$E$38-$E$39,0)))</f>
        <v>0</v>
      </c>
      <c r="S66" s="12">
        <f>E$53*IF(S$6=$E$34,$E$38,IF(S$6=$E$34+1,$E$39,IF(S$6=$E$36,1-$E$38-$E$39,0)))</f>
        <v>0</v>
      </c>
      <c r="T66" s="12">
        <f>E$53*IF(T$6=$E$34,$E$38,IF(T$6=$E$34+1,$E$39,IF(T$6=$E$36,1-$E$38-$E$39,0)))</f>
        <v>0</v>
      </c>
      <c r="U66" s="12">
        <f>E$53*IF(U$6=$E$34,$E$38,IF(U$6=$E$34+1,$E$39,IF(U$6=$E$36,1-$E$38-$E$39,0)))</f>
        <v>0</v>
      </c>
      <c r="V66" s="12">
        <f>E$53*IF(V$6=$E$34,$E$38,IF(V$6=$E$34+1,$E$39,IF(V$6=$E$36,1-$E$38-$E$39,0)))</f>
        <v>0</v>
      </c>
      <c r="W66" s="12">
        <f>E$53*IF(W$6=$E$34,$E$38,IF(W$6=$E$34+1,$E$39,IF(W$6=$E$36,1-$E$38-$E$39,0)))</f>
        <v>0</v>
      </c>
      <c r="X66" s="12">
        <f>E$53*IF(X$6=$E$34,$E$38,IF(X$6=$E$34+1,$E$39,IF(X$6=$E$36,1-$E$38-$E$39,0)))</f>
        <v>0</v>
      </c>
      <c r="Y66" s="12">
        <f>E$53*IF(Y$6=$E$34,$E$38,IF(Y$6=$E$34+1,$E$39,IF(Y$6=$E$36,1-$E$38-$E$39,0)))</f>
        <v>0</v>
      </c>
      <c r="Z66" s="12">
        <f>E$53*IF(Z$6=$E$34,$E$38,IF(Z$6=$E$34+1,$E$39,IF(Z$6=$E$36,1-$E$38-$E$39,0)))</f>
        <v>0</v>
      </c>
      <c r="AA66" s="12"/>
      <c r="AB66" s="10">
        <v>0.45</v>
      </c>
    </row>
    <row r="67" spans="1:28" x14ac:dyDescent="0.2">
      <c r="A67" s="10">
        <v>0.45</v>
      </c>
      <c r="B67" s="10"/>
      <c r="C67" s="10" t="s">
        <v>408</v>
      </c>
      <c r="D67" s="10"/>
      <c r="E67" s="12">
        <f>SUM(G67:Z67)</f>
        <v>-1593.5415131655482</v>
      </c>
      <c r="F67" s="10"/>
      <c r="G67" s="12">
        <f t="shared" ref="G67:Z67" si="7">-G66*$E$40</f>
        <v>0</v>
      </c>
      <c r="H67" s="12">
        <f t="shared" si="7"/>
        <v>0</v>
      </c>
      <c r="I67" s="12">
        <f t="shared" si="7"/>
        <v>0</v>
      </c>
      <c r="J67" s="12">
        <f t="shared" si="7"/>
        <v>-159.35415131655483</v>
      </c>
      <c r="K67" s="12">
        <f t="shared" si="7"/>
        <v>-318.70830263310967</v>
      </c>
      <c r="L67" s="12">
        <f t="shared" si="7"/>
        <v>-1115.4790592158836</v>
      </c>
      <c r="M67" s="12">
        <f t="shared" si="7"/>
        <v>0</v>
      </c>
      <c r="N67" s="12">
        <f t="shared" si="7"/>
        <v>0</v>
      </c>
      <c r="O67" s="12">
        <f t="shared" si="7"/>
        <v>0</v>
      </c>
      <c r="P67" s="12">
        <f t="shared" si="7"/>
        <v>0</v>
      </c>
      <c r="Q67" s="12">
        <f t="shared" si="7"/>
        <v>0</v>
      </c>
      <c r="R67" s="12">
        <f t="shared" si="7"/>
        <v>0</v>
      </c>
      <c r="S67" s="12">
        <f t="shared" si="7"/>
        <v>0</v>
      </c>
      <c r="T67" s="12">
        <f t="shared" si="7"/>
        <v>0</v>
      </c>
      <c r="U67" s="12">
        <f t="shared" si="7"/>
        <v>0</v>
      </c>
      <c r="V67" s="12">
        <f t="shared" si="7"/>
        <v>0</v>
      </c>
      <c r="W67" s="12">
        <f t="shared" si="7"/>
        <v>0</v>
      </c>
      <c r="X67" s="12">
        <f t="shared" si="7"/>
        <v>0</v>
      </c>
      <c r="Y67" s="12">
        <f t="shared" si="7"/>
        <v>0</v>
      </c>
      <c r="Z67" s="12">
        <f t="shared" si="7"/>
        <v>0</v>
      </c>
      <c r="AA67" s="12"/>
      <c r="AB67" s="10">
        <v>0.45</v>
      </c>
    </row>
    <row r="68" spans="1:28" x14ac:dyDescent="0.2">
      <c r="A68" s="10">
        <v>0.45</v>
      </c>
      <c r="B68" s="10"/>
      <c r="C68" s="10" t="s">
        <v>409</v>
      </c>
      <c r="D68" s="10"/>
      <c r="E68" s="12">
        <f>SUM(G68:Z68)</f>
        <v>-2390.3122697483218</v>
      </c>
      <c r="F68" s="10"/>
      <c r="G68" s="12">
        <f t="shared" ref="G68:Z68" si="8">-G66*$E$41</f>
        <v>0</v>
      </c>
      <c r="H68" s="12">
        <f t="shared" si="8"/>
        <v>0</v>
      </c>
      <c r="I68" s="12">
        <f t="shared" si="8"/>
        <v>0</v>
      </c>
      <c r="J68" s="12">
        <f t="shared" si="8"/>
        <v>-239.03122697483221</v>
      </c>
      <c r="K68" s="12">
        <f t="shared" si="8"/>
        <v>-478.06245394966442</v>
      </c>
      <c r="L68" s="12">
        <f t="shared" si="8"/>
        <v>-1673.2185888238253</v>
      </c>
      <c r="M68" s="12">
        <f t="shared" si="8"/>
        <v>0</v>
      </c>
      <c r="N68" s="12">
        <f t="shared" si="8"/>
        <v>0</v>
      </c>
      <c r="O68" s="12">
        <f t="shared" si="8"/>
        <v>0</v>
      </c>
      <c r="P68" s="12">
        <f t="shared" si="8"/>
        <v>0</v>
      </c>
      <c r="Q68" s="12">
        <f t="shared" si="8"/>
        <v>0</v>
      </c>
      <c r="R68" s="12">
        <f t="shared" si="8"/>
        <v>0</v>
      </c>
      <c r="S68" s="12">
        <f t="shared" si="8"/>
        <v>0</v>
      </c>
      <c r="T68" s="12">
        <f t="shared" si="8"/>
        <v>0</v>
      </c>
      <c r="U68" s="12">
        <f t="shared" si="8"/>
        <v>0</v>
      </c>
      <c r="V68" s="12">
        <f t="shared" si="8"/>
        <v>0</v>
      </c>
      <c r="W68" s="12">
        <f t="shared" si="8"/>
        <v>0</v>
      </c>
      <c r="X68" s="12">
        <f t="shared" si="8"/>
        <v>0</v>
      </c>
      <c r="Y68" s="12">
        <f t="shared" si="8"/>
        <v>0</v>
      </c>
      <c r="Z68" s="12">
        <f t="shared" si="8"/>
        <v>0</v>
      </c>
      <c r="AA68" s="12"/>
      <c r="AB68" s="10">
        <v>0.45</v>
      </c>
    </row>
    <row r="69" spans="1:28" x14ac:dyDescent="0.2">
      <c r="A69" s="10">
        <v>0.45</v>
      </c>
      <c r="B69" s="49" t="s">
        <v>410</v>
      </c>
      <c r="C69" s="49"/>
      <c r="D69" s="49"/>
      <c r="E69" s="50">
        <f>SUM(G69:Z69)</f>
        <v>35854.684046224836</v>
      </c>
      <c r="F69" s="49"/>
      <c r="G69" s="50">
        <f t="shared" ref="G69:Z69" si="9">SUM(G66:G68)</f>
        <v>0</v>
      </c>
      <c r="H69" s="50">
        <f t="shared" si="9"/>
        <v>0</v>
      </c>
      <c r="I69" s="50">
        <f t="shared" si="9"/>
        <v>0</v>
      </c>
      <c r="J69" s="50">
        <f t="shared" si="9"/>
        <v>3585.4684046224834</v>
      </c>
      <c r="K69" s="50">
        <f t="shared" si="9"/>
        <v>7170.9368092449668</v>
      </c>
      <c r="L69" s="50">
        <f t="shared" si="9"/>
        <v>25098.278832357384</v>
      </c>
      <c r="M69" s="50">
        <f t="shared" si="9"/>
        <v>0</v>
      </c>
      <c r="N69" s="50">
        <f t="shared" si="9"/>
        <v>0</v>
      </c>
      <c r="O69" s="50">
        <f t="shared" si="9"/>
        <v>0</v>
      </c>
      <c r="P69" s="50">
        <f t="shared" si="9"/>
        <v>0</v>
      </c>
      <c r="Q69" s="50">
        <f t="shared" si="9"/>
        <v>0</v>
      </c>
      <c r="R69" s="50">
        <f t="shared" si="9"/>
        <v>0</v>
      </c>
      <c r="S69" s="50">
        <f t="shared" si="9"/>
        <v>0</v>
      </c>
      <c r="T69" s="50">
        <f t="shared" si="9"/>
        <v>0</v>
      </c>
      <c r="U69" s="50">
        <f t="shared" si="9"/>
        <v>0</v>
      </c>
      <c r="V69" s="50">
        <f t="shared" si="9"/>
        <v>0</v>
      </c>
      <c r="W69" s="50">
        <f t="shared" si="9"/>
        <v>0</v>
      </c>
      <c r="X69" s="50">
        <f t="shared" si="9"/>
        <v>0</v>
      </c>
      <c r="Y69" s="50">
        <f t="shared" si="9"/>
        <v>0</v>
      </c>
      <c r="Z69" s="50">
        <f t="shared" si="9"/>
        <v>0</v>
      </c>
      <c r="AA69" s="50"/>
      <c r="AB69" s="10">
        <v>0.45</v>
      </c>
    </row>
    <row r="70" spans="1:28" x14ac:dyDescent="0.2">
      <c r="A70" s="10">
        <v>0.45</v>
      </c>
      <c r="B70" s="10"/>
      <c r="C70" s="10"/>
      <c r="D70" s="10"/>
      <c r="E70" s="10"/>
      <c r="F70" s="10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0">
        <v>0.45</v>
      </c>
    </row>
    <row r="71" spans="1:28" x14ac:dyDescent="0.2">
      <c r="A71" s="10">
        <v>0.45</v>
      </c>
      <c r="B71" s="24" t="s">
        <v>411</v>
      </c>
      <c r="C71" s="24"/>
      <c r="D71" s="24"/>
      <c r="E71" s="24"/>
      <c r="F71" s="24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10">
        <v>0.45</v>
      </c>
    </row>
    <row r="72" spans="1:28" x14ac:dyDescent="0.2">
      <c r="A72" s="10">
        <v>0.45</v>
      </c>
      <c r="B72" s="10"/>
      <c r="C72" s="23" t="s">
        <v>304</v>
      </c>
      <c r="D72" s="23"/>
      <c r="E72" s="23"/>
      <c r="F72" s="23"/>
      <c r="G72" s="110">
        <f t="shared" ref="G72:Z72" si="10">IF(G$6&gt;=$E$36,G$6-$E$36+1,0)</f>
        <v>0</v>
      </c>
      <c r="H72" s="110">
        <f t="shared" si="10"/>
        <v>0</v>
      </c>
      <c r="I72" s="110">
        <f t="shared" si="10"/>
        <v>0</v>
      </c>
      <c r="J72" s="110">
        <f t="shared" si="10"/>
        <v>0</v>
      </c>
      <c r="K72" s="110">
        <f t="shared" si="10"/>
        <v>0</v>
      </c>
      <c r="L72" s="110">
        <f t="shared" si="10"/>
        <v>1</v>
      </c>
      <c r="M72" s="110">
        <f t="shared" si="10"/>
        <v>2</v>
      </c>
      <c r="N72" s="110">
        <f t="shared" si="10"/>
        <v>3</v>
      </c>
      <c r="O72" s="110">
        <f t="shared" si="10"/>
        <v>4</v>
      </c>
      <c r="P72" s="110">
        <f t="shared" si="10"/>
        <v>5</v>
      </c>
      <c r="Q72" s="110">
        <f t="shared" si="10"/>
        <v>6</v>
      </c>
      <c r="R72" s="110">
        <f t="shared" si="10"/>
        <v>7</v>
      </c>
      <c r="S72" s="110">
        <f t="shared" si="10"/>
        <v>8</v>
      </c>
      <c r="T72" s="110">
        <f t="shared" si="10"/>
        <v>9</v>
      </c>
      <c r="U72" s="110">
        <f t="shared" si="10"/>
        <v>10</v>
      </c>
      <c r="V72" s="110">
        <f t="shared" si="10"/>
        <v>11</v>
      </c>
      <c r="W72" s="110">
        <f t="shared" si="10"/>
        <v>12</v>
      </c>
      <c r="X72" s="110">
        <f t="shared" si="10"/>
        <v>13</v>
      </c>
      <c r="Y72" s="110">
        <f t="shared" si="10"/>
        <v>14</v>
      </c>
      <c r="Z72" s="110">
        <f t="shared" si="10"/>
        <v>15</v>
      </c>
      <c r="AA72" s="12"/>
      <c r="AB72" s="10">
        <v>0.45</v>
      </c>
    </row>
    <row r="73" spans="1:28" x14ac:dyDescent="0.2">
      <c r="A73" s="10">
        <v>0.45</v>
      </c>
      <c r="B73" s="10"/>
      <c r="C73" s="23" t="s">
        <v>412</v>
      </c>
      <c r="D73" s="23"/>
      <c r="E73" s="23"/>
      <c r="F73" s="23"/>
      <c r="G73" s="109">
        <f t="shared" ref="G73:Z73" si="11">IF(G72=0,0,IF(G72=1,$E$17,IF(G72=2,$E$18,$E$16)))</f>
        <v>0</v>
      </c>
      <c r="H73" s="109">
        <f t="shared" si="11"/>
        <v>0</v>
      </c>
      <c r="I73" s="109">
        <f t="shared" si="11"/>
        <v>0</v>
      </c>
      <c r="J73" s="109">
        <f t="shared" si="11"/>
        <v>0</v>
      </c>
      <c r="K73" s="109">
        <f t="shared" si="11"/>
        <v>0</v>
      </c>
      <c r="L73" s="109">
        <f t="shared" si="11"/>
        <v>0.45</v>
      </c>
      <c r="M73" s="109">
        <f t="shared" si="11"/>
        <v>0.6</v>
      </c>
      <c r="N73" s="109">
        <f t="shared" si="11"/>
        <v>0.75</v>
      </c>
      <c r="O73" s="109">
        <f t="shared" si="11"/>
        <v>0.75</v>
      </c>
      <c r="P73" s="109">
        <f t="shared" si="11"/>
        <v>0.75</v>
      </c>
      <c r="Q73" s="109">
        <f t="shared" si="11"/>
        <v>0.75</v>
      </c>
      <c r="R73" s="109">
        <f t="shared" si="11"/>
        <v>0.75</v>
      </c>
      <c r="S73" s="109">
        <f t="shared" si="11"/>
        <v>0.75</v>
      </c>
      <c r="T73" s="109">
        <f t="shared" si="11"/>
        <v>0.75</v>
      </c>
      <c r="U73" s="109">
        <f t="shared" si="11"/>
        <v>0.75</v>
      </c>
      <c r="V73" s="109">
        <f t="shared" si="11"/>
        <v>0.75</v>
      </c>
      <c r="W73" s="109">
        <f t="shared" si="11"/>
        <v>0.75</v>
      </c>
      <c r="X73" s="109">
        <f t="shared" si="11"/>
        <v>0.75</v>
      </c>
      <c r="Y73" s="109">
        <f t="shared" si="11"/>
        <v>0.75</v>
      </c>
      <c r="Z73" s="109">
        <f t="shared" si="11"/>
        <v>0.75</v>
      </c>
      <c r="AA73" s="12"/>
      <c r="AB73" s="10">
        <v>0.45</v>
      </c>
    </row>
    <row r="74" spans="1:28" x14ac:dyDescent="0.2">
      <c r="A74" s="10">
        <v>0.45</v>
      </c>
      <c r="B74" s="10"/>
      <c r="C74" s="23" t="s">
        <v>413</v>
      </c>
      <c r="D74" s="23"/>
      <c r="E74" s="23"/>
      <c r="F74" s="23"/>
      <c r="G74" s="129">
        <f t="shared" ref="G74:Z74" si="12">$E$9*G73</f>
        <v>0</v>
      </c>
      <c r="H74" s="129">
        <f t="shared" si="12"/>
        <v>0</v>
      </c>
      <c r="I74" s="129">
        <f t="shared" si="12"/>
        <v>0</v>
      </c>
      <c r="J74" s="129">
        <f t="shared" si="12"/>
        <v>0</v>
      </c>
      <c r="K74" s="129">
        <f t="shared" si="12"/>
        <v>0</v>
      </c>
      <c r="L74" s="129">
        <f t="shared" si="12"/>
        <v>40.5</v>
      </c>
      <c r="M74" s="129">
        <f t="shared" si="12"/>
        <v>54</v>
      </c>
      <c r="N74" s="129">
        <f t="shared" si="12"/>
        <v>67.5</v>
      </c>
      <c r="O74" s="129">
        <f t="shared" si="12"/>
        <v>67.5</v>
      </c>
      <c r="P74" s="129">
        <f t="shared" si="12"/>
        <v>67.5</v>
      </c>
      <c r="Q74" s="129">
        <f t="shared" si="12"/>
        <v>67.5</v>
      </c>
      <c r="R74" s="129">
        <f t="shared" si="12"/>
        <v>67.5</v>
      </c>
      <c r="S74" s="129">
        <f t="shared" si="12"/>
        <v>67.5</v>
      </c>
      <c r="T74" s="129">
        <f t="shared" si="12"/>
        <v>67.5</v>
      </c>
      <c r="U74" s="129">
        <f t="shared" si="12"/>
        <v>67.5</v>
      </c>
      <c r="V74" s="129">
        <f t="shared" si="12"/>
        <v>67.5</v>
      </c>
      <c r="W74" s="129">
        <f t="shared" si="12"/>
        <v>67.5</v>
      </c>
      <c r="X74" s="129">
        <f t="shared" si="12"/>
        <v>67.5</v>
      </c>
      <c r="Y74" s="129">
        <f t="shared" si="12"/>
        <v>67.5</v>
      </c>
      <c r="Z74" s="129">
        <f t="shared" si="12"/>
        <v>67.5</v>
      </c>
      <c r="AA74" s="12"/>
      <c r="AB74" s="10">
        <v>0.45</v>
      </c>
    </row>
    <row r="75" spans="1:28" x14ac:dyDescent="0.2">
      <c r="A75" s="10">
        <v>0.45</v>
      </c>
      <c r="B75" s="10"/>
      <c r="C75" s="23" t="s">
        <v>414</v>
      </c>
      <c r="D75" s="23"/>
      <c r="E75" s="23"/>
      <c r="F75" s="23"/>
      <c r="G75" s="130">
        <f t="shared" ref="G75:Z75" si="13">IF(G72=0,0,$E$49*(1+$E$19)^(G$6-$G$6))</f>
        <v>0</v>
      </c>
      <c r="H75" s="130">
        <f t="shared" si="13"/>
        <v>0</v>
      </c>
      <c r="I75" s="130">
        <f t="shared" si="13"/>
        <v>0</v>
      </c>
      <c r="J75" s="130">
        <f t="shared" si="13"/>
        <v>0</v>
      </c>
      <c r="K75" s="130">
        <f t="shared" si="13"/>
        <v>0</v>
      </c>
      <c r="L75" s="130">
        <f t="shared" si="13"/>
        <v>13.115568009592987</v>
      </c>
      <c r="M75" s="130">
        <f t="shared" si="13"/>
        <v>13.860532272537869</v>
      </c>
      <c r="N75" s="130">
        <f t="shared" si="13"/>
        <v>14.64781050561802</v>
      </c>
      <c r="O75" s="130">
        <f t="shared" si="13"/>
        <v>15.479806142337125</v>
      </c>
      <c r="P75" s="130">
        <f t="shared" si="13"/>
        <v>16.359059131221873</v>
      </c>
      <c r="Q75" s="130">
        <f t="shared" si="13"/>
        <v>17.288253689875276</v>
      </c>
      <c r="R75" s="130">
        <f t="shared" si="13"/>
        <v>18.27022649946019</v>
      </c>
      <c r="S75" s="130">
        <f t="shared" si="13"/>
        <v>19.307975364629531</v>
      </c>
      <c r="T75" s="130">
        <f t="shared" si="13"/>
        <v>20.404668365340484</v>
      </c>
      <c r="U75" s="130">
        <f t="shared" si="13"/>
        <v>21.563653528491827</v>
      </c>
      <c r="V75" s="130">
        <f t="shared" si="13"/>
        <v>22.788469048910162</v>
      </c>
      <c r="W75" s="130">
        <f t="shared" si="13"/>
        <v>24.082854090888262</v>
      </c>
      <c r="X75" s="130">
        <f t="shared" si="13"/>
        <v>25.450760203250713</v>
      </c>
      <c r="Y75" s="130">
        <f t="shared" si="13"/>
        <v>26.896363382795354</v>
      </c>
      <c r="Z75" s="130">
        <f t="shared" si="13"/>
        <v>28.42407682293813</v>
      </c>
      <c r="AA75" s="12"/>
      <c r="AB75" s="10">
        <v>0.45</v>
      </c>
    </row>
    <row r="76" spans="1:28" x14ac:dyDescent="0.2">
      <c r="A76" s="10">
        <v>0.45</v>
      </c>
      <c r="B76" s="49" t="s">
        <v>415</v>
      </c>
      <c r="C76" s="49"/>
      <c r="D76" s="49"/>
      <c r="E76" s="50">
        <f t="shared" ref="E76:E81" si="14">SUM(G76:Z76)</f>
        <v>234836.61215362983</v>
      </c>
      <c r="F76" s="49"/>
      <c r="G76" s="50">
        <f t="shared" ref="G76:Z76" si="15">G74*G75*12</f>
        <v>0</v>
      </c>
      <c r="H76" s="50">
        <f t="shared" si="15"/>
        <v>0</v>
      </c>
      <c r="I76" s="50">
        <f t="shared" si="15"/>
        <v>0</v>
      </c>
      <c r="J76" s="50">
        <f t="shared" si="15"/>
        <v>0</v>
      </c>
      <c r="K76" s="50">
        <f t="shared" si="15"/>
        <v>0</v>
      </c>
      <c r="L76" s="50">
        <f t="shared" si="15"/>
        <v>6374.1660526621909</v>
      </c>
      <c r="M76" s="50">
        <f t="shared" si="15"/>
        <v>8981.6249126045404</v>
      </c>
      <c r="N76" s="50">
        <f t="shared" si="15"/>
        <v>11864.726509550597</v>
      </c>
      <c r="O76" s="50">
        <f t="shared" si="15"/>
        <v>12538.642975293071</v>
      </c>
      <c r="P76" s="50">
        <f t="shared" si="15"/>
        <v>13250.837896289715</v>
      </c>
      <c r="Q76" s="50">
        <f t="shared" si="15"/>
        <v>14003.485488798975</v>
      </c>
      <c r="R76" s="50">
        <f t="shared" si="15"/>
        <v>14798.883464562754</v>
      </c>
      <c r="S76" s="50">
        <f t="shared" si="15"/>
        <v>15639.460045349919</v>
      </c>
      <c r="T76" s="50">
        <f t="shared" si="15"/>
        <v>16527.781375925792</v>
      </c>
      <c r="U76" s="50">
        <f t="shared" si="15"/>
        <v>17466.559358078379</v>
      </c>
      <c r="V76" s="50">
        <f t="shared" si="15"/>
        <v>18458.659929617232</v>
      </c>
      <c r="W76" s="50">
        <f t="shared" si="15"/>
        <v>19507.111813619493</v>
      </c>
      <c r="X76" s="50">
        <f t="shared" si="15"/>
        <v>20615.115764633079</v>
      </c>
      <c r="Y76" s="50">
        <f t="shared" si="15"/>
        <v>21786.054340064238</v>
      </c>
      <c r="Z76" s="50">
        <f t="shared" si="15"/>
        <v>23023.502226579883</v>
      </c>
      <c r="AA76" s="50"/>
      <c r="AB76" s="10">
        <v>0.45</v>
      </c>
    </row>
    <row r="77" spans="1:28" x14ac:dyDescent="0.2">
      <c r="A77" s="10">
        <v>0.45</v>
      </c>
      <c r="B77" s="10"/>
      <c r="C77" s="10" t="s">
        <v>416</v>
      </c>
      <c r="D77" s="10"/>
      <c r="E77" s="12">
        <f t="shared" si="14"/>
        <v>-140901.9672921779</v>
      </c>
      <c r="F77" s="10"/>
      <c r="G77" s="12">
        <f t="shared" ref="G77:Z77" si="16">-G76*$E$20</f>
        <v>0</v>
      </c>
      <c r="H77" s="12">
        <f t="shared" si="16"/>
        <v>0</v>
      </c>
      <c r="I77" s="12">
        <f t="shared" si="16"/>
        <v>0</v>
      </c>
      <c r="J77" s="12">
        <f t="shared" si="16"/>
        <v>0</v>
      </c>
      <c r="K77" s="12">
        <f t="shared" si="16"/>
        <v>0</v>
      </c>
      <c r="L77" s="12">
        <f t="shared" si="16"/>
        <v>-3824.4996315973144</v>
      </c>
      <c r="M77" s="12">
        <f t="shared" si="16"/>
        <v>-5388.9749475627241</v>
      </c>
      <c r="N77" s="12">
        <f t="shared" si="16"/>
        <v>-7118.8359057303578</v>
      </c>
      <c r="O77" s="12">
        <f t="shared" si="16"/>
        <v>-7523.1857851758423</v>
      </c>
      <c r="P77" s="12">
        <f t="shared" si="16"/>
        <v>-7950.5027377738288</v>
      </c>
      <c r="Q77" s="12">
        <f t="shared" si="16"/>
        <v>-8402.0912932793854</v>
      </c>
      <c r="R77" s="12">
        <f t="shared" si="16"/>
        <v>-8879.330078737652</v>
      </c>
      <c r="S77" s="12">
        <f t="shared" si="16"/>
        <v>-9383.6760272099509</v>
      </c>
      <c r="T77" s="12">
        <f t="shared" si="16"/>
        <v>-9916.6688255554745</v>
      </c>
      <c r="U77" s="12">
        <f t="shared" si="16"/>
        <v>-10479.935614847027</v>
      </c>
      <c r="V77" s="12">
        <f t="shared" si="16"/>
        <v>-11075.195957770338</v>
      </c>
      <c r="W77" s="12">
        <f t="shared" si="16"/>
        <v>-11704.267088171695</v>
      </c>
      <c r="X77" s="12">
        <f t="shared" si="16"/>
        <v>-12369.069458779848</v>
      </c>
      <c r="Y77" s="12">
        <f t="shared" si="16"/>
        <v>-13071.632604038543</v>
      </c>
      <c r="Z77" s="12">
        <f t="shared" si="16"/>
        <v>-13814.101335947929</v>
      </c>
      <c r="AA77" s="12"/>
      <c r="AB77" s="10">
        <v>0.45</v>
      </c>
    </row>
    <row r="78" spans="1:28" x14ac:dyDescent="0.2">
      <c r="A78" s="10">
        <v>0.45</v>
      </c>
      <c r="B78" s="10"/>
      <c r="C78" s="10" t="s">
        <v>417</v>
      </c>
      <c r="D78" s="10"/>
      <c r="E78" s="12">
        <f t="shared" si="14"/>
        <v>-14090.196729217791</v>
      </c>
      <c r="F78" s="10"/>
      <c r="G78" s="12">
        <f t="shared" ref="G78:Z78" si="17">-G76*$E$21</f>
        <v>0</v>
      </c>
      <c r="H78" s="12">
        <f t="shared" si="17"/>
        <v>0</v>
      </c>
      <c r="I78" s="12">
        <f t="shared" si="17"/>
        <v>0</v>
      </c>
      <c r="J78" s="12">
        <f t="shared" si="17"/>
        <v>0</v>
      </c>
      <c r="K78" s="12">
        <f t="shared" si="17"/>
        <v>0</v>
      </c>
      <c r="L78" s="12">
        <f t="shared" si="17"/>
        <v>-382.44996315973145</v>
      </c>
      <c r="M78" s="12">
        <f t="shared" si="17"/>
        <v>-538.89749475627241</v>
      </c>
      <c r="N78" s="12">
        <f t="shared" si="17"/>
        <v>-711.8835905730358</v>
      </c>
      <c r="O78" s="12">
        <f t="shared" si="17"/>
        <v>-752.31857851758423</v>
      </c>
      <c r="P78" s="12">
        <f t="shared" si="17"/>
        <v>-795.05027377738293</v>
      </c>
      <c r="Q78" s="12">
        <f t="shared" si="17"/>
        <v>-840.20912932793851</v>
      </c>
      <c r="R78" s="12">
        <f t="shared" si="17"/>
        <v>-887.93300787376518</v>
      </c>
      <c r="S78" s="12">
        <f t="shared" si="17"/>
        <v>-938.36760272099514</v>
      </c>
      <c r="T78" s="12">
        <f t="shared" si="17"/>
        <v>-991.66688255554743</v>
      </c>
      <c r="U78" s="12">
        <f t="shared" si="17"/>
        <v>-1047.9935614847027</v>
      </c>
      <c r="V78" s="12">
        <f t="shared" si="17"/>
        <v>-1107.5195957770338</v>
      </c>
      <c r="W78" s="12">
        <f t="shared" si="17"/>
        <v>-1170.4267088171696</v>
      </c>
      <c r="X78" s="12">
        <f t="shared" si="17"/>
        <v>-1236.9069458779848</v>
      </c>
      <c r="Y78" s="12">
        <f t="shared" si="17"/>
        <v>-1307.1632604038543</v>
      </c>
      <c r="Z78" s="12">
        <f t="shared" si="17"/>
        <v>-1381.410133594793</v>
      </c>
      <c r="AA78" s="12"/>
      <c r="AB78" s="10">
        <v>0.45</v>
      </c>
    </row>
    <row r="79" spans="1:28" x14ac:dyDescent="0.2">
      <c r="A79" s="10">
        <v>0.45</v>
      </c>
      <c r="B79" s="10"/>
      <c r="C79" s="10" t="s">
        <v>418</v>
      </c>
      <c r="D79" s="10"/>
      <c r="E79" s="12">
        <f t="shared" si="14"/>
        <v>-4696.7322430725972</v>
      </c>
      <c r="F79" s="10"/>
      <c r="G79" s="12">
        <f t="shared" ref="G79:Z79" si="18">-G76*$E$22</f>
        <v>0</v>
      </c>
      <c r="H79" s="12">
        <f t="shared" si="18"/>
        <v>0</v>
      </c>
      <c r="I79" s="12">
        <f t="shared" si="18"/>
        <v>0</v>
      </c>
      <c r="J79" s="12">
        <f t="shared" si="18"/>
        <v>0</v>
      </c>
      <c r="K79" s="12">
        <f t="shared" si="18"/>
        <v>0</v>
      </c>
      <c r="L79" s="12">
        <f t="shared" si="18"/>
        <v>-127.48332105324381</v>
      </c>
      <c r="M79" s="12">
        <f t="shared" si="18"/>
        <v>-179.63249825209081</v>
      </c>
      <c r="N79" s="12">
        <f t="shared" si="18"/>
        <v>-237.29453019101194</v>
      </c>
      <c r="O79" s="12">
        <f t="shared" si="18"/>
        <v>-250.77285950586142</v>
      </c>
      <c r="P79" s="12">
        <f t="shared" si="18"/>
        <v>-265.01675792579431</v>
      </c>
      <c r="Q79" s="12">
        <f t="shared" si="18"/>
        <v>-280.0697097759795</v>
      </c>
      <c r="R79" s="12">
        <f t="shared" si="18"/>
        <v>-295.9776692912551</v>
      </c>
      <c r="S79" s="12">
        <f t="shared" si="18"/>
        <v>-312.78920090699836</v>
      </c>
      <c r="T79" s="12">
        <f t="shared" si="18"/>
        <v>-330.55562751851585</v>
      </c>
      <c r="U79" s="12">
        <f t="shared" si="18"/>
        <v>-349.33118716156758</v>
      </c>
      <c r="V79" s="12">
        <f t="shared" si="18"/>
        <v>-369.17319859234465</v>
      </c>
      <c r="W79" s="12">
        <f t="shared" si="18"/>
        <v>-390.14223627238988</v>
      </c>
      <c r="X79" s="12">
        <f t="shared" si="18"/>
        <v>-412.3023152926616</v>
      </c>
      <c r="Y79" s="12">
        <f t="shared" si="18"/>
        <v>-435.7210868012848</v>
      </c>
      <c r="Z79" s="12">
        <f t="shared" si="18"/>
        <v>-460.47004453159769</v>
      </c>
      <c r="AA79" s="12"/>
      <c r="AB79" s="10">
        <v>0.45</v>
      </c>
    </row>
    <row r="80" spans="1:28" x14ac:dyDescent="0.2">
      <c r="A80" s="10">
        <v>0.45</v>
      </c>
      <c r="B80" s="10"/>
      <c r="C80" s="10" t="s">
        <v>419</v>
      </c>
      <c r="D80" s="10"/>
      <c r="E80" s="12">
        <f t="shared" si="14"/>
        <v>-4696.7322430725972</v>
      </c>
      <c r="F80" s="10"/>
      <c r="G80" s="12">
        <f t="shared" ref="G80:Z80" si="19">-G76*$E$23</f>
        <v>0</v>
      </c>
      <c r="H80" s="12">
        <f t="shared" si="19"/>
        <v>0</v>
      </c>
      <c r="I80" s="12">
        <f t="shared" si="19"/>
        <v>0</v>
      </c>
      <c r="J80" s="12">
        <f t="shared" si="19"/>
        <v>0</v>
      </c>
      <c r="K80" s="12">
        <f t="shared" si="19"/>
        <v>0</v>
      </c>
      <c r="L80" s="12">
        <f t="shared" si="19"/>
        <v>-127.48332105324381</v>
      </c>
      <c r="M80" s="12">
        <f t="shared" si="19"/>
        <v>-179.63249825209081</v>
      </c>
      <c r="N80" s="12">
        <f t="shared" si="19"/>
        <v>-237.29453019101194</v>
      </c>
      <c r="O80" s="12">
        <f t="shared" si="19"/>
        <v>-250.77285950586142</v>
      </c>
      <c r="P80" s="12">
        <f t="shared" si="19"/>
        <v>-265.01675792579431</v>
      </c>
      <c r="Q80" s="12">
        <f t="shared" si="19"/>
        <v>-280.0697097759795</v>
      </c>
      <c r="R80" s="12">
        <f t="shared" si="19"/>
        <v>-295.9776692912551</v>
      </c>
      <c r="S80" s="12">
        <f t="shared" si="19"/>
        <v>-312.78920090699836</v>
      </c>
      <c r="T80" s="12">
        <f t="shared" si="19"/>
        <v>-330.55562751851585</v>
      </c>
      <c r="U80" s="12">
        <f t="shared" si="19"/>
        <v>-349.33118716156758</v>
      </c>
      <c r="V80" s="12">
        <f t="shared" si="19"/>
        <v>-369.17319859234465</v>
      </c>
      <c r="W80" s="12">
        <f t="shared" si="19"/>
        <v>-390.14223627238988</v>
      </c>
      <c r="X80" s="12">
        <f t="shared" si="19"/>
        <v>-412.3023152926616</v>
      </c>
      <c r="Y80" s="12">
        <f t="shared" si="19"/>
        <v>-435.7210868012848</v>
      </c>
      <c r="Z80" s="12">
        <f t="shared" si="19"/>
        <v>-460.47004453159769</v>
      </c>
      <c r="AA80" s="12"/>
      <c r="AB80" s="10">
        <v>0.45</v>
      </c>
    </row>
    <row r="81" spans="1:28" x14ac:dyDescent="0.2">
      <c r="A81" s="10">
        <v>0.45</v>
      </c>
      <c r="B81" s="49" t="s">
        <v>420</v>
      </c>
      <c r="C81" s="49"/>
      <c r="D81" s="49"/>
      <c r="E81" s="50">
        <f t="shared" si="14"/>
        <v>70450.983646088964</v>
      </c>
      <c r="F81" s="49"/>
      <c r="G81" s="50">
        <f t="shared" ref="G81:Z81" si="20">SUM(G76:G80)</f>
        <v>0</v>
      </c>
      <c r="H81" s="50">
        <f t="shared" si="20"/>
        <v>0</v>
      </c>
      <c r="I81" s="50">
        <f t="shared" si="20"/>
        <v>0</v>
      </c>
      <c r="J81" s="50">
        <f t="shared" si="20"/>
        <v>0</v>
      </c>
      <c r="K81" s="50">
        <f t="shared" si="20"/>
        <v>0</v>
      </c>
      <c r="L81" s="50">
        <f t="shared" si="20"/>
        <v>1912.2498157986574</v>
      </c>
      <c r="M81" s="50">
        <f t="shared" si="20"/>
        <v>2694.487473781362</v>
      </c>
      <c r="N81" s="50">
        <f t="shared" si="20"/>
        <v>3559.4179528651803</v>
      </c>
      <c r="O81" s="50">
        <f t="shared" si="20"/>
        <v>3761.5928925879216</v>
      </c>
      <c r="P81" s="50">
        <f t="shared" si="20"/>
        <v>3975.2513688869149</v>
      </c>
      <c r="Q81" s="50">
        <f t="shared" si="20"/>
        <v>4201.0456466396927</v>
      </c>
      <c r="R81" s="50">
        <f t="shared" si="20"/>
        <v>4439.6650393688269</v>
      </c>
      <c r="S81" s="50">
        <f t="shared" si="20"/>
        <v>4691.8380136049764</v>
      </c>
      <c r="T81" s="50">
        <f t="shared" si="20"/>
        <v>4958.3344127777382</v>
      </c>
      <c r="U81" s="50">
        <f t="shared" si="20"/>
        <v>5239.9678074235135</v>
      </c>
      <c r="V81" s="50">
        <f t="shared" si="20"/>
        <v>5537.597978885171</v>
      </c>
      <c r="W81" s="50">
        <f t="shared" si="20"/>
        <v>5852.1335440858493</v>
      </c>
      <c r="X81" s="50">
        <f t="shared" si="20"/>
        <v>6184.5347293899231</v>
      </c>
      <c r="Y81" s="50">
        <f t="shared" si="20"/>
        <v>6535.8163020192724</v>
      </c>
      <c r="Z81" s="50">
        <f t="shared" si="20"/>
        <v>6907.0506679739665</v>
      </c>
      <c r="AA81" s="50"/>
      <c r="AB81" s="10">
        <v>0.45</v>
      </c>
    </row>
    <row r="82" spans="1:28" x14ac:dyDescent="0.2">
      <c r="A82" s="10">
        <v>0.45</v>
      </c>
      <c r="B82" s="10"/>
      <c r="C82" s="23" t="s">
        <v>421</v>
      </c>
      <c r="D82" s="23"/>
      <c r="E82" s="23"/>
      <c r="F82" s="23"/>
      <c r="G82" s="109">
        <f t="shared" ref="G82:Z82" si="21">IFERROR(G81/$E$53,0)</f>
        <v>0</v>
      </c>
      <c r="H82" s="109">
        <f t="shared" si="21"/>
        <v>0</v>
      </c>
      <c r="I82" s="109">
        <f t="shared" si="21"/>
        <v>0</v>
      </c>
      <c r="J82" s="109">
        <f t="shared" si="21"/>
        <v>0</v>
      </c>
      <c r="K82" s="109">
        <f t="shared" si="21"/>
        <v>0</v>
      </c>
      <c r="L82" s="109">
        <f t="shared" si="21"/>
        <v>4.7999999999999994E-2</v>
      </c>
      <c r="M82" s="109">
        <f t="shared" si="21"/>
        <v>6.7635200000000006E-2</v>
      </c>
      <c r="N82" s="109">
        <f t="shared" si="21"/>
        <v>8.9346099200000029E-2</v>
      </c>
      <c r="O82" s="109">
        <f t="shared" si="21"/>
        <v>9.4420957634560002E-2</v>
      </c>
      <c r="P82" s="109">
        <f t="shared" si="21"/>
        <v>9.9784068028202999E-2</v>
      </c>
      <c r="Q82" s="109">
        <f t="shared" si="21"/>
        <v>0.10545180309220495</v>
      </c>
      <c r="R82" s="109">
        <f t="shared" si="21"/>
        <v>0.11144146550784219</v>
      </c>
      <c r="S82" s="109">
        <f t="shared" si="21"/>
        <v>0.11777134074868763</v>
      </c>
      <c r="T82" s="109">
        <f t="shared" si="21"/>
        <v>0.12446075290321307</v>
      </c>
      <c r="U82" s="109">
        <f t="shared" si="21"/>
        <v>0.13153012366811556</v>
      </c>
      <c r="V82" s="109">
        <f t="shared" si="21"/>
        <v>0.13900103469246458</v>
      </c>
      <c r="W82" s="109">
        <f t="shared" si="21"/>
        <v>0.14689629346299657</v>
      </c>
      <c r="X82" s="109">
        <f t="shared" si="21"/>
        <v>0.15524000293169471</v>
      </c>
      <c r="Y82" s="109">
        <f t="shared" si="21"/>
        <v>0.16405763509821503</v>
      </c>
      <c r="Z82" s="109">
        <f t="shared" si="21"/>
        <v>0.17337610877179363</v>
      </c>
      <c r="AA82" s="12"/>
      <c r="AB82" s="10">
        <v>0.45</v>
      </c>
    </row>
    <row r="83" spans="1:28" x14ac:dyDescent="0.2">
      <c r="A83" s="10">
        <v>0.45</v>
      </c>
      <c r="B83" s="10"/>
      <c r="C83" s="10"/>
      <c r="D83" s="10"/>
      <c r="E83" s="10"/>
      <c r="F83" s="10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0">
        <v>0.45</v>
      </c>
    </row>
    <row r="84" spans="1:28" x14ac:dyDescent="0.2">
      <c r="A84" s="10">
        <v>0.45</v>
      </c>
      <c r="B84" s="24" t="s">
        <v>460</v>
      </c>
      <c r="C84" s="24"/>
      <c r="D84" s="24"/>
      <c r="E84" s="24"/>
      <c r="F84" s="24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10">
        <v>0.45</v>
      </c>
    </row>
    <row r="85" spans="1:28" x14ac:dyDescent="0.2">
      <c r="A85" s="10">
        <v>0.45</v>
      </c>
      <c r="B85" s="10"/>
      <c r="C85" s="10" t="s">
        <v>423</v>
      </c>
      <c r="D85" s="10"/>
      <c r="E85" s="10"/>
      <c r="F85" s="10"/>
      <c r="G85" s="12">
        <f t="shared" ref="G85:Z85" si="22">G69</f>
        <v>0</v>
      </c>
      <c r="H85" s="12">
        <f t="shared" si="22"/>
        <v>0</v>
      </c>
      <c r="I85" s="12">
        <f t="shared" si="22"/>
        <v>0</v>
      </c>
      <c r="J85" s="12">
        <f t="shared" si="22"/>
        <v>3585.4684046224834</v>
      </c>
      <c r="K85" s="12">
        <f t="shared" si="22"/>
        <v>7170.9368092449668</v>
      </c>
      <c r="L85" s="12">
        <f t="shared" si="22"/>
        <v>25098.278832357384</v>
      </c>
      <c r="M85" s="12">
        <f t="shared" si="22"/>
        <v>0</v>
      </c>
      <c r="N85" s="12">
        <f t="shared" si="22"/>
        <v>0</v>
      </c>
      <c r="O85" s="12">
        <f t="shared" si="22"/>
        <v>0</v>
      </c>
      <c r="P85" s="12">
        <f t="shared" si="22"/>
        <v>0</v>
      </c>
      <c r="Q85" s="12">
        <f t="shared" si="22"/>
        <v>0</v>
      </c>
      <c r="R85" s="12">
        <f t="shared" si="22"/>
        <v>0</v>
      </c>
      <c r="S85" s="12">
        <f t="shared" si="22"/>
        <v>0</v>
      </c>
      <c r="T85" s="12">
        <f t="shared" si="22"/>
        <v>0</v>
      </c>
      <c r="U85" s="12">
        <f t="shared" si="22"/>
        <v>0</v>
      </c>
      <c r="V85" s="12">
        <f t="shared" si="22"/>
        <v>0</v>
      </c>
      <c r="W85" s="12">
        <f t="shared" si="22"/>
        <v>0</v>
      </c>
      <c r="X85" s="12">
        <f t="shared" si="22"/>
        <v>0</v>
      </c>
      <c r="Y85" s="12">
        <f t="shared" si="22"/>
        <v>0</v>
      </c>
      <c r="Z85" s="12">
        <f t="shared" si="22"/>
        <v>0</v>
      </c>
      <c r="AA85" s="12"/>
      <c r="AB85" s="10">
        <v>0.45</v>
      </c>
    </row>
    <row r="86" spans="1:28" x14ac:dyDescent="0.2">
      <c r="A86" s="10">
        <v>0.45</v>
      </c>
      <c r="B86" s="10"/>
      <c r="C86" s="10" t="s">
        <v>424</v>
      </c>
      <c r="D86" s="10"/>
      <c r="E86" s="10"/>
      <c r="F86" s="10"/>
      <c r="G86" s="12">
        <f t="shared" ref="G86:Z86" si="23">-G79</f>
        <v>0</v>
      </c>
      <c r="H86" s="12">
        <f t="shared" si="23"/>
        <v>0</v>
      </c>
      <c r="I86" s="12">
        <f t="shared" si="23"/>
        <v>0</v>
      </c>
      <c r="J86" s="12">
        <f t="shared" si="23"/>
        <v>0</v>
      </c>
      <c r="K86" s="12">
        <f t="shared" si="23"/>
        <v>0</v>
      </c>
      <c r="L86" s="12">
        <f t="shared" si="23"/>
        <v>127.48332105324381</v>
      </c>
      <c r="M86" s="12">
        <f t="shared" si="23"/>
        <v>179.63249825209081</v>
      </c>
      <c r="N86" s="12">
        <f t="shared" si="23"/>
        <v>237.29453019101194</v>
      </c>
      <c r="O86" s="12">
        <f t="shared" si="23"/>
        <v>250.77285950586142</v>
      </c>
      <c r="P86" s="12">
        <f t="shared" si="23"/>
        <v>265.01675792579431</v>
      </c>
      <c r="Q86" s="12">
        <f t="shared" si="23"/>
        <v>280.0697097759795</v>
      </c>
      <c r="R86" s="12">
        <f t="shared" si="23"/>
        <v>295.9776692912551</v>
      </c>
      <c r="S86" s="12">
        <f t="shared" si="23"/>
        <v>312.78920090699836</v>
      </c>
      <c r="T86" s="12">
        <f t="shared" si="23"/>
        <v>330.55562751851585</v>
      </c>
      <c r="U86" s="12">
        <f t="shared" si="23"/>
        <v>349.33118716156758</v>
      </c>
      <c r="V86" s="12">
        <f t="shared" si="23"/>
        <v>369.17319859234465</v>
      </c>
      <c r="W86" s="12">
        <f t="shared" si="23"/>
        <v>390.14223627238988</v>
      </c>
      <c r="X86" s="12">
        <f t="shared" si="23"/>
        <v>412.3023152926616</v>
      </c>
      <c r="Y86" s="12">
        <f t="shared" si="23"/>
        <v>435.7210868012848</v>
      </c>
      <c r="Z86" s="12">
        <f t="shared" si="23"/>
        <v>460.47004453159769</v>
      </c>
      <c r="AA86" s="12"/>
      <c r="AB86" s="10">
        <v>0.45</v>
      </c>
    </row>
    <row r="87" spans="1:28" x14ac:dyDescent="0.2">
      <c r="A87" s="10">
        <v>0.45</v>
      </c>
      <c r="B87" s="10"/>
      <c r="C87" s="10" t="s">
        <v>425</v>
      </c>
      <c r="D87" s="10"/>
      <c r="E87" s="10"/>
      <c r="F87" s="10"/>
      <c r="G87" s="12">
        <f t="shared" ref="G87:Z87" si="24">-G86*$E$42</f>
        <v>0</v>
      </c>
      <c r="H87" s="12">
        <f t="shared" si="24"/>
        <v>0</v>
      </c>
      <c r="I87" s="12">
        <f t="shared" si="24"/>
        <v>0</v>
      </c>
      <c r="J87" s="12">
        <f t="shared" si="24"/>
        <v>0</v>
      </c>
      <c r="K87" s="12">
        <f t="shared" si="24"/>
        <v>0</v>
      </c>
      <c r="L87" s="12">
        <f t="shared" si="24"/>
        <v>-24.897492601698517</v>
      </c>
      <c r="M87" s="12">
        <f t="shared" si="24"/>
        <v>-35.082226908633338</v>
      </c>
      <c r="N87" s="12">
        <f t="shared" si="24"/>
        <v>-46.343621746304635</v>
      </c>
      <c r="O87" s="12">
        <f t="shared" si="24"/>
        <v>-48.975939461494733</v>
      </c>
      <c r="P87" s="12">
        <f t="shared" si="24"/>
        <v>-51.757772822907626</v>
      </c>
      <c r="Q87" s="12">
        <f t="shared" si="24"/>
        <v>-54.6976143192488</v>
      </c>
      <c r="R87" s="12">
        <f t="shared" si="24"/>
        <v>-57.80443881258212</v>
      </c>
      <c r="S87" s="12">
        <f t="shared" si="24"/>
        <v>-61.087730937136783</v>
      </c>
      <c r="T87" s="12">
        <f t="shared" si="24"/>
        <v>-64.557514054366152</v>
      </c>
      <c r="U87" s="12">
        <f t="shared" si="24"/>
        <v>-68.22438085265415</v>
      </c>
      <c r="V87" s="12">
        <f t="shared" si="24"/>
        <v>-72.099525685084913</v>
      </c>
      <c r="W87" s="12">
        <f t="shared" si="24"/>
        <v>-76.194778743997745</v>
      </c>
      <c r="X87" s="12">
        <f t="shared" si="24"/>
        <v>-80.522642176656817</v>
      </c>
      <c r="Y87" s="12">
        <f t="shared" si="24"/>
        <v>-85.096328252290917</v>
      </c>
      <c r="Z87" s="12">
        <f t="shared" si="24"/>
        <v>-89.929799697021025</v>
      </c>
      <c r="AA87" s="12"/>
      <c r="AB87" s="10">
        <v>0.45</v>
      </c>
    </row>
    <row r="88" spans="1:28" x14ac:dyDescent="0.2">
      <c r="A88" s="10">
        <v>0.45</v>
      </c>
      <c r="B88" s="10"/>
      <c r="C88" s="10" t="s">
        <v>110</v>
      </c>
      <c r="D88" s="10"/>
      <c r="E88" s="10"/>
      <c r="F88" s="10"/>
      <c r="G88" s="12">
        <f t="shared" ref="G88:Z88" si="25">-G63</f>
        <v>0</v>
      </c>
      <c r="H88" s="12">
        <f t="shared" si="25"/>
        <v>0</v>
      </c>
      <c r="I88" s="12">
        <f t="shared" si="25"/>
        <v>0</v>
      </c>
      <c r="J88" s="12">
        <f t="shared" si="25"/>
        <v>-30272</v>
      </c>
      <c r="K88" s="12">
        <f t="shared" si="25"/>
        <v>-45408</v>
      </c>
      <c r="L88" s="12">
        <f t="shared" si="25"/>
        <v>0</v>
      </c>
      <c r="M88" s="12">
        <f t="shared" si="25"/>
        <v>0</v>
      </c>
      <c r="N88" s="12">
        <f t="shared" si="25"/>
        <v>0</v>
      </c>
      <c r="O88" s="12">
        <f t="shared" si="25"/>
        <v>0</v>
      </c>
      <c r="P88" s="12">
        <f t="shared" si="25"/>
        <v>0</v>
      </c>
      <c r="Q88" s="12">
        <f t="shared" si="25"/>
        <v>0</v>
      </c>
      <c r="R88" s="12">
        <f t="shared" si="25"/>
        <v>0</v>
      </c>
      <c r="S88" s="12">
        <f t="shared" si="25"/>
        <v>0</v>
      </c>
      <c r="T88" s="12">
        <f t="shared" si="25"/>
        <v>0</v>
      </c>
      <c r="U88" s="12">
        <f t="shared" si="25"/>
        <v>0</v>
      </c>
      <c r="V88" s="12">
        <f t="shared" si="25"/>
        <v>0</v>
      </c>
      <c r="W88" s="12">
        <f t="shared" si="25"/>
        <v>0</v>
      </c>
      <c r="X88" s="12">
        <f t="shared" si="25"/>
        <v>0</v>
      </c>
      <c r="Y88" s="12">
        <f t="shared" si="25"/>
        <v>0</v>
      </c>
      <c r="Z88" s="12">
        <f t="shared" si="25"/>
        <v>0</v>
      </c>
      <c r="AA88" s="12"/>
      <c r="AB88" s="10">
        <v>0.45</v>
      </c>
    </row>
    <row r="89" spans="1:28" x14ac:dyDescent="0.2">
      <c r="A89" s="10">
        <v>0.45</v>
      </c>
      <c r="B89" s="32" t="s">
        <v>459</v>
      </c>
      <c r="C89" s="32"/>
      <c r="D89" s="32"/>
      <c r="E89" s="32"/>
      <c r="F89" s="32"/>
      <c r="G89" s="32">
        <f t="shared" ref="G89:AA89" si="26">CHOOSE($E$4,G142,G152,G159,G198,G224)</f>
        <v>0</v>
      </c>
      <c r="H89" s="32">
        <f t="shared" si="26"/>
        <v>0</v>
      </c>
      <c r="I89" s="32">
        <f t="shared" si="26"/>
        <v>0</v>
      </c>
      <c r="J89" s="32">
        <f t="shared" si="26"/>
        <v>-12087.2039</v>
      </c>
      <c r="K89" s="32">
        <f t="shared" si="26"/>
        <v>-18130.805849999997</v>
      </c>
      <c r="L89" s="32">
        <f t="shared" si="26"/>
        <v>38261.990250000003</v>
      </c>
      <c r="M89" s="32">
        <f t="shared" si="26"/>
        <v>0</v>
      </c>
      <c r="N89" s="32">
        <f t="shared" si="26"/>
        <v>0</v>
      </c>
      <c r="O89" s="32">
        <f t="shared" si="26"/>
        <v>0</v>
      </c>
      <c r="P89" s="32">
        <f t="shared" si="26"/>
        <v>0</v>
      </c>
      <c r="Q89" s="32">
        <f t="shared" si="26"/>
        <v>0</v>
      </c>
      <c r="R89" s="32">
        <f t="shared" si="26"/>
        <v>0</v>
      </c>
      <c r="S89" s="32">
        <f t="shared" si="26"/>
        <v>0</v>
      </c>
      <c r="T89" s="32">
        <f t="shared" si="26"/>
        <v>0</v>
      </c>
      <c r="U89" s="32">
        <f t="shared" si="26"/>
        <v>0</v>
      </c>
      <c r="V89" s="32">
        <f t="shared" si="26"/>
        <v>0</v>
      </c>
      <c r="W89" s="32">
        <f t="shared" si="26"/>
        <v>0</v>
      </c>
      <c r="X89" s="32">
        <f t="shared" si="26"/>
        <v>0</v>
      </c>
      <c r="Y89" s="32">
        <f t="shared" si="26"/>
        <v>0</v>
      </c>
      <c r="Z89" s="32">
        <f t="shared" si="26"/>
        <v>0</v>
      </c>
      <c r="AA89" s="32">
        <f t="shared" si="26"/>
        <v>0</v>
      </c>
      <c r="AB89" s="10">
        <v>0.45</v>
      </c>
    </row>
    <row r="90" spans="1:28" x14ac:dyDescent="0.2">
      <c r="A90" s="10">
        <v>0.45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>
        <v>0.45</v>
      </c>
    </row>
    <row r="91" spans="1:28" x14ac:dyDescent="0.2">
      <c r="A91" s="10">
        <v>0.45</v>
      </c>
      <c r="B91" s="24" t="s">
        <v>142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10">
        <v>0.45</v>
      </c>
    </row>
    <row r="92" spans="1:28" x14ac:dyDescent="0.2">
      <c r="A92" s="10">
        <v>0.45</v>
      </c>
      <c r="B92" s="10"/>
      <c r="C92" s="23" t="s">
        <v>143</v>
      </c>
      <c r="D92" s="23"/>
      <c r="E92" s="23"/>
      <c r="F92" s="23"/>
      <c r="G92" s="66">
        <f>G89</f>
        <v>0</v>
      </c>
      <c r="H92" s="66">
        <f t="shared" ref="H92:Z92" si="27">G92+H89</f>
        <v>0</v>
      </c>
      <c r="I92" s="66">
        <f t="shared" si="27"/>
        <v>0</v>
      </c>
      <c r="J92" s="66">
        <f t="shared" si="27"/>
        <v>-12087.2039</v>
      </c>
      <c r="K92" s="66">
        <f t="shared" si="27"/>
        <v>-30218.009749999997</v>
      </c>
      <c r="L92" s="66">
        <f t="shared" si="27"/>
        <v>8043.9805000000051</v>
      </c>
      <c r="M92" s="66">
        <f t="shared" si="27"/>
        <v>8043.9805000000051</v>
      </c>
      <c r="N92" s="66">
        <f t="shared" si="27"/>
        <v>8043.9805000000051</v>
      </c>
      <c r="O92" s="66">
        <f t="shared" si="27"/>
        <v>8043.9805000000051</v>
      </c>
      <c r="P92" s="66">
        <f t="shared" si="27"/>
        <v>8043.9805000000051</v>
      </c>
      <c r="Q92" s="66">
        <f t="shared" si="27"/>
        <v>8043.9805000000051</v>
      </c>
      <c r="R92" s="66">
        <f t="shared" si="27"/>
        <v>8043.9805000000051</v>
      </c>
      <c r="S92" s="66">
        <f t="shared" si="27"/>
        <v>8043.9805000000051</v>
      </c>
      <c r="T92" s="66">
        <f t="shared" si="27"/>
        <v>8043.9805000000051</v>
      </c>
      <c r="U92" s="66">
        <f t="shared" si="27"/>
        <v>8043.9805000000051</v>
      </c>
      <c r="V92" s="66">
        <f t="shared" si="27"/>
        <v>8043.9805000000051</v>
      </c>
      <c r="W92" s="66">
        <f t="shared" si="27"/>
        <v>8043.9805000000051</v>
      </c>
      <c r="X92" s="66">
        <f t="shared" si="27"/>
        <v>8043.9805000000051</v>
      </c>
      <c r="Y92" s="66">
        <f t="shared" si="27"/>
        <v>8043.9805000000051</v>
      </c>
      <c r="Z92" s="66">
        <f t="shared" si="27"/>
        <v>8043.9805000000051</v>
      </c>
      <c r="AA92" s="66"/>
      <c r="AB92" s="10">
        <v>0.45</v>
      </c>
    </row>
    <row r="93" spans="1:28" x14ac:dyDescent="0.2">
      <c r="A93" s="10">
        <v>0.45</v>
      </c>
      <c r="B93" s="10"/>
      <c r="C93" s="23" t="s">
        <v>144</v>
      </c>
      <c r="D93" s="23"/>
      <c r="E93" s="23"/>
      <c r="F93" s="23"/>
      <c r="G93" s="67">
        <f t="shared" ref="G93:AA93" si="28">1/(1+$E$43)^(COLUMN(G93)-COLUMN($G$93))</f>
        <v>1</v>
      </c>
      <c r="H93" s="67">
        <f t="shared" si="28"/>
        <v>0.9174311926605504</v>
      </c>
      <c r="I93" s="67">
        <f t="shared" si="28"/>
        <v>0.84167999326655996</v>
      </c>
      <c r="J93" s="67">
        <f t="shared" si="28"/>
        <v>0.77218348006106419</v>
      </c>
      <c r="K93" s="67">
        <f t="shared" si="28"/>
        <v>0.7084252110651964</v>
      </c>
      <c r="L93" s="67">
        <f t="shared" si="28"/>
        <v>0.64993138629834524</v>
      </c>
      <c r="M93" s="67">
        <f t="shared" si="28"/>
        <v>0.5962673268792158</v>
      </c>
      <c r="N93" s="67">
        <f t="shared" si="28"/>
        <v>0.54703424484331731</v>
      </c>
      <c r="O93" s="67">
        <f t="shared" si="28"/>
        <v>0.50186627967276809</v>
      </c>
      <c r="P93" s="67">
        <f t="shared" si="28"/>
        <v>0.46042777951630098</v>
      </c>
      <c r="Q93" s="67">
        <f t="shared" si="28"/>
        <v>0.42241080689568894</v>
      </c>
      <c r="R93" s="67">
        <f t="shared" si="28"/>
        <v>0.38753285036301738</v>
      </c>
      <c r="S93" s="67">
        <f t="shared" si="28"/>
        <v>0.35553472510368567</v>
      </c>
      <c r="T93" s="67">
        <f t="shared" si="28"/>
        <v>0.32617864688411524</v>
      </c>
      <c r="U93" s="67">
        <f t="shared" si="28"/>
        <v>0.29924646503129837</v>
      </c>
      <c r="V93" s="67">
        <f t="shared" si="28"/>
        <v>0.27453804131311776</v>
      </c>
      <c r="W93" s="67">
        <f t="shared" si="28"/>
        <v>0.2518697626725851</v>
      </c>
      <c r="X93" s="67">
        <f t="shared" si="28"/>
        <v>0.23107317676383954</v>
      </c>
      <c r="Y93" s="67">
        <f t="shared" si="28"/>
        <v>0.21199374015031147</v>
      </c>
      <c r="Z93" s="67">
        <f t="shared" si="28"/>
        <v>0.19448966986267105</v>
      </c>
      <c r="AA93" s="67">
        <f t="shared" si="28"/>
        <v>0.17843088978226704</v>
      </c>
      <c r="AB93" s="10">
        <v>0.45</v>
      </c>
    </row>
    <row r="94" spans="1:28" x14ac:dyDescent="0.2">
      <c r="A94" s="10">
        <v>0.45</v>
      </c>
      <c r="B94" s="10"/>
      <c r="C94" s="23" t="s">
        <v>145</v>
      </c>
      <c r="D94" s="23"/>
      <c r="E94" s="23"/>
      <c r="F94" s="23"/>
      <c r="G94" s="66">
        <f t="shared" ref="G94:AA94" si="29">G89*G93</f>
        <v>0</v>
      </c>
      <c r="H94" s="66">
        <f t="shared" si="29"/>
        <v>0</v>
      </c>
      <c r="I94" s="66">
        <f t="shared" si="29"/>
        <v>0</v>
      </c>
      <c r="J94" s="66">
        <f t="shared" si="29"/>
        <v>-9333.5391717096682</v>
      </c>
      <c r="K94" s="66">
        <f t="shared" si="29"/>
        <v>-12844.319961068346</v>
      </c>
      <c r="L94" s="66">
        <f t="shared" si="29"/>
        <v>24867.668365716272</v>
      </c>
      <c r="M94" s="66">
        <f t="shared" si="29"/>
        <v>0</v>
      </c>
      <c r="N94" s="66">
        <f t="shared" si="29"/>
        <v>0</v>
      </c>
      <c r="O94" s="66">
        <f t="shared" si="29"/>
        <v>0</v>
      </c>
      <c r="P94" s="66">
        <f t="shared" si="29"/>
        <v>0</v>
      </c>
      <c r="Q94" s="66">
        <f t="shared" si="29"/>
        <v>0</v>
      </c>
      <c r="R94" s="66">
        <f t="shared" si="29"/>
        <v>0</v>
      </c>
      <c r="S94" s="66">
        <f t="shared" si="29"/>
        <v>0</v>
      </c>
      <c r="T94" s="66">
        <f t="shared" si="29"/>
        <v>0</v>
      </c>
      <c r="U94" s="66">
        <f t="shared" si="29"/>
        <v>0</v>
      </c>
      <c r="V94" s="66">
        <f t="shared" si="29"/>
        <v>0</v>
      </c>
      <c r="W94" s="66">
        <f t="shared" si="29"/>
        <v>0</v>
      </c>
      <c r="X94" s="66">
        <f t="shared" si="29"/>
        <v>0</v>
      </c>
      <c r="Y94" s="66">
        <f t="shared" si="29"/>
        <v>0</v>
      </c>
      <c r="Z94" s="66">
        <f t="shared" si="29"/>
        <v>0</v>
      </c>
      <c r="AA94" s="66">
        <f t="shared" si="29"/>
        <v>0</v>
      </c>
      <c r="AB94" s="10">
        <v>0.45</v>
      </c>
    </row>
    <row r="95" spans="1:28" x14ac:dyDescent="0.2">
      <c r="A95" s="10">
        <v>0.45</v>
      </c>
      <c r="B95" s="10"/>
      <c r="C95" s="23" t="s">
        <v>146</v>
      </c>
      <c r="D95" s="23"/>
      <c r="E95" s="23"/>
      <c r="F95" s="23"/>
      <c r="G95" s="66">
        <f>G94</f>
        <v>0</v>
      </c>
      <c r="H95" s="66">
        <f t="shared" ref="H95:Z95" si="30">G95+H94</f>
        <v>0</v>
      </c>
      <c r="I95" s="66">
        <f t="shared" si="30"/>
        <v>0</v>
      </c>
      <c r="J95" s="66">
        <f t="shared" si="30"/>
        <v>-9333.5391717096682</v>
      </c>
      <c r="K95" s="66">
        <f t="shared" si="30"/>
        <v>-22177.859132778016</v>
      </c>
      <c r="L95" s="66">
        <f t="shared" si="30"/>
        <v>2689.8092329382562</v>
      </c>
      <c r="M95" s="66">
        <f t="shared" si="30"/>
        <v>2689.8092329382562</v>
      </c>
      <c r="N95" s="66">
        <f t="shared" si="30"/>
        <v>2689.8092329382562</v>
      </c>
      <c r="O95" s="66">
        <f t="shared" si="30"/>
        <v>2689.8092329382562</v>
      </c>
      <c r="P95" s="66">
        <f t="shared" si="30"/>
        <v>2689.8092329382562</v>
      </c>
      <c r="Q95" s="66">
        <f t="shared" si="30"/>
        <v>2689.8092329382562</v>
      </c>
      <c r="R95" s="66">
        <f t="shared" si="30"/>
        <v>2689.8092329382562</v>
      </c>
      <c r="S95" s="66">
        <f t="shared" si="30"/>
        <v>2689.8092329382562</v>
      </c>
      <c r="T95" s="66">
        <f t="shared" si="30"/>
        <v>2689.8092329382562</v>
      </c>
      <c r="U95" s="66">
        <f t="shared" si="30"/>
        <v>2689.8092329382562</v>
      </c>
      <c r="V95" s="66">
        <f t="shared" si="30"/>
        <v>2689.8092329382562</v>
      </c>
      <c r="W95" s="66">
        <f t="shared" si="30"/>
        <v>2689.8092329382562</v>
      </c>
      <c r="X95" s="66">
        <f t="shared" si="30"/>
        <v>2689.8092329382562</v>
      </c>
      <c r="Y95" s="66">
        <f t="shared" si="30"/>
        <v>2689.8092329382562</v>
      </c>
      <c r="Z95" s="66">
        <f t="shared" si="30"/>
        <v>2689.8092329382562</v>
      </c>
      <c r="AA95" s="66"/>
      <c r="AB95" s="10">
        <v>0.45</v>
      </c>
    </row>
    <row r="96" spans="1:28" x14ac:dyDescent="0.2">
      <c r="A96" s="10">
        <v>0.45</v>
      </c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>
        <v>0.45</v>
      </c>
    </row>
    <row r="97" spans="1:28" x14ac:dyDescent="0.2">
      <c r="A97" s="10">
        <v>0.45</v>
      </c>
      <c r="B97" s="81" t="s">
        <v>149</v>
      </c>
      <c r="C97" s="81"/>
      <c r="D97" s="81"/>
      <c r="E97" s="81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>
        <v>0.45</v>
      </c>
    </row>
    <row r="98" spans="1:28" x14ac:dyDescent="0.2">
      <c r="A98" s="10">
        <v>0.45</v>
      </c>
      <c r="B98" s="10"/>
      <c r="C98" s="10" t="s">
        <v>150</v>
      </c>
      <c r="D98" s="10"/>
      <c r="E98" s="72">
        <f>IFERROR(IRR($G$89:$AA$89),"n/a")</f>
        <v>0.18080179139693242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>
        <v>0.45</v>
      </c>
    </row>
    <row r="99" spans="1:28" x14ac:dyDescent="0.2">
      <c r="A99" s="10">
        <v>0.45</v>
      </c>
      <c r="B99" s="10"/>
      <c r="C99" s="10" t="s">
        <v>151</v>
      </c>
      <c r="D99" s="10"/>
      <c r="E99" s="72">
        <f>IFERROR(IRR($G$89:$Z$89),"n/a")</f>
        <v>0.18080179139693242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>
        <v>0.45</v>
      </c>
    </row>
    <row r="100" spans="1:28" x14ac:dyDescent="0.2">
      <c r="A100" s="10">
        <v>0.45</v>
      </c>
      <c r="B100" s="10"/>
      <c r="C100" s="10" t="s">
        <v>152</v>
      </c>
      <c r="D100" s="10"/>
      <c r="E100" s="72">
        <f>$E$43</f>
        <v>0.09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>
        <v>0.45</v>
      </c>
    </row>
    <row r="101" spans="1:28" x14ac:dyDescent="0.2">
      <c r="A101" s="10">
        <v>0.45</v>
      </c>
      <c r="B101" s="10"/>
      <c r="C101" s="10" t="s">
        <v>153</v>
      </c>
      <c r="D101" s="10"/>
      <c r="E101" s="73">
        <f>SUM($G$94:$AA$94)</f>
        <v>2689.8092329382562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>
        <v>0.45</v>
      </c>
    </row>
    <row r="102" spans="1:28" x14ac:dyDescent="0.2">
      <c r="A102" s="10">
        <v>0.45</v>
      </c>
      <c r="B102" s="10"/>
      <c r="C102" s="10" t="s">
        <v>154</v>
      </c>
      <c r="D102" s="10"/>
      <c r="E102" s="73">
        <f>SUM($G$94:$Z$94)</f>
        <v>2689.8092329382562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>
        <v>0.45</v>
      </c>
    </row>
    <row r="103" spans="1:28" x14ac:dyDescent="0.2">
      <c r="A103" s="10">
        <v>0.45</v>
      </c>
      <c r="B103" s="10"/>
      <c r="C103" s="10" t="s">
        <v>155</v>
      </c>
      <c r="D103" s="10"/>
      <c r="E103" s="73">
        <f>$AA$94</f>
        <v>0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>
        <v>0.45</v>
      </c>
    </row>
    <row r="104" spans="1:28" x14ac:dyDescent="0.2">
      <c r="A104" s="10">
        <v>0.45</v>
      </c>
      <c r="B104" s="10"/>
      <c r="C104" s="10" t="s">
        <v>156</v>
      </c>
      <c r="D104" s="10"/>
      <c r="E104" s="74">
        <f>SUMIF($G$94:$AA$94,"&gt;0")/-SUMIF($G$94:$AA$94,"&lt;0")</f>
        <v>1.1212835385433044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>
        <v>0.45</v>
      </c>
    </row>
    <row r="105" spans="1:28" x14ac:dyDescent="0.2">
      <c r="A105" s="10">
        <v>0.45</v>
      </c>
      <c r="B105" s="81" t="s">
        <v>157</v>
      </c>
      <c r="C105" s="81"/>
      <c r="D105" s="81"/>
      <c r="E105" s="9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>
        <v>0.45</v>
      </c>
    </row>
    <row r="106" spans="1:28" x14ac:dyDescent="0.2">
      <c r="A106" s="10">
        <v>0.45</v>
      </c>
      <c r="B106" s="10"/>
      <c r="C106" s="10" t="s">
        <v>158</v>
      </c>
      <c r="D106" s="10"/>
      <c r="E106" s="73">
        <f>-SUMIF($G$89:$Z$89,"&lt;0")</f>
        <v>30218.009749999997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>
        <v>0.45</v>
      </c>
    </row>
    <row r="107" spans="1:28" x14ac:dyDescent="0.2">
      <c r="A107" s="10">
        <v>0.45</v>
      </c>
      <c r="B107" s="10"/>
      <c r="C107" s="10" t="s">
        <v>159</v>
      </c>
      <c r="D107" s="10"/>
      <c r="E107" s="73">
        <f>-MIN(0,MIN($G$92:$Z$92))</f>
        <v>30218.009749999997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>
        <v>0.45</v>
      </c>
    </row>
    <row r="108" spans="1:28" x14ac:dyDescent="0.2">
      <c r="A108" s="10">
        <v>0.45</v>
      </c>
      <c r="B108" s="10"/>
      <c r="C108" s="10" t="s">
        <v>160</v>
      </c>
      <c r="D108" s="10"/>
      <c r="E108" s="75">
        <f>INDEX($G$6:$Z$6,MATCH(MIN($G$92:$Z$92),$G$92:$Z$92,0))</f>
        <v>2030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>
        <v>0.45</v>
      </c>
    </row>
    <row r="109" spans="1:28" x14ac:dyDescent="0.2">
      <c r="A109" s="10">
        <v>0.45</v>
      </c>
      <c r="B109" s="10"/>
      <c r="C109" s="10" t="s">
        <v>161</v>
      </c>
      <c r="D109" s="10"/>
      <c r="E109" s="75">
        <f>COUNTIF($G$89:$Z$89,"&lt;0")</f>
        <v>2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>
        <v>0.45</v>
      </c>
    </row>
    <row r="110" spans="1:28" x14ac:dyDescent="0.2">
      <c r="A110" s="10"/>
      <c r="B110" s="10"/>
      <c r="C110" s="10" t="s">
        <v>1041</v>
      </c>
      <c r="D110" s="10"/>
      <c r="E110" s="316">
        <f>IF(COUNTIF($G$92:$Z$92,"&lt;0")=COUNT($G$92:$Z$92),"&gt; 20 years",COUNTIF($G$92:$Z$92,"&lt;0"))</f>
        <v>2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</row>
    <row r="111" spans="1:28" x14ac:dyDescent="0.2">
      <c r="A111" s="10">
        <v>0.45</v>
      </c>
      <c r="B111" s="81" t="s">
        <v>162</v>
      </c>
      <c r="C111" s="81"/>
      <c r="D111" s="81"/>
      <c r="E111" s="9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>
        <v>0.45</v>
      </c>
    </row>
    <row r="112" spans="1:28" x14ac:dyDescent="0.2">
      <c r="A112" s="10">
        <v>0.45</v>
      </c>
      <c r="B112" s="10"/>
      <c r="C112" s="10" t="s">
        <v>163</v>
      </c>
      <c r="D112" s="10"/>
      <c r="E112" s="73">
        <f>SUMIF($G$89:$Z$89,"&gt;0")</f>
        <v>38261.990250000003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>
        <v>0.45</v>
      </c>
    </row>
    <row r="113" spans="1:28" x14ac:dyDescent="0.2">
      <c r="A113" s="10">
        <v>0.45</v>
      </c>
      <c r="B113" s="10"/>
      <c r="C113" s="10" t="s">
        <v>164</v>
      </c>
      <c r="D113" s="10"/>
      <c r="E113" s="73">
        <f>SUM($G$89:$Z$89)</f>
        <v>8043.9805000000051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>
        <v>0.45</v>
      </c>
    </row>
    <row r="114" spans="1:28" x14ac:dyDescent="0.2">
      <c r="A114" s="10">
        <v>0.45</v>
      </c>
      <c r="B114" s="10"/>
      <c r="C114" s="10" t="s">
        <v>165</v>
      </c>
      <c r="D114" s="10"/>
      <c r="E114" s="74">
        <f>E112/E106</f>
        <v>1.2661982230646414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>
        <v>0.45</v>
      </c>
    </row>
    <row r="115" spans="1:28" x14ac:dyDescent="0.2">
      <c r="A115" s="10">
        <v>0.45</v>
      </c>
      <c r="B115" s="10"/>
      <c r="C115" s="10" t="s">
        <v>166</v>
      </c>
      <c r="D115" s="10"/>
      <c r="E115" s="74">
        <f>(E112+$AA$89)/E106</f>
        <v>1.2661982230646414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>
        <v>0.45</v>
      </c>
    </row>
    <row r="116" spans="1:28" x14ac:dyDescent="0.2">
      <c r="A116" s="10">
        <v>0.45</v>
      </c>
      <c r="B116" s="10"/>
      <c r="C116" s="10" t="s">
        <v>167</v>
      </c>
      <c r="D116" s="10"/>
      <c r="E116" s="73">
        <f>IFERROR(AVERAGEIF($G$89:$Z$89,"&gt;0"),0)</f>
        <v>38261.990250000003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>
        <v>0.45</v>
      </c>
    </row>
    <row r="117" spans="1:28" x14ac:dyDescent="0.2">
      <c r="A117" s="10">
        <v>0.45</v>
      </c>
      <c r="B117" s="10"/>
      <c r="C117" s="10" t="s">
        <v>168</v>
      </c>
      <c r="D117" s="10"/>
      <c r="E117" s="72">
        <f>IFERROR(E116/E107,"n/a")</f>
        <v>1.2661982230646414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>
        <v>0.45</v>
      </c>
    </row>
    <row r="118" spans="1:28" x14ac:dyDescent="0.2">
      <c r="A118" s="10">
        <v>0.45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>
        <v>0.45</v>
      </c>
    </row>
    <row r="119" spans="1:28" x14ac:dyDescent="0.2">
      <c r="A119" s="10">
        <v>0.45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>
        <v>0.45</v>
      </c>
    </row>
    <row r="120" spans="1:28" x14ac:dyDescent="0.2">
      <c r="A120" s="10">
        <v>0.45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>
        <v>0.45</v>
      </c>
    </row>
    <row r="121" spans="1:28" x14ac:dyDescent="0.2">
      <c r="A121" s="10">
        <v>0.45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>
        <v>0.45</v>
      </c>
    </row>
    <row r="122" spans="1:28" x14ac:dyDescent="0.2">
      <c r="A122" s="10">
        <v>0.45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>
        <v>0.45</v>
      </c>
    </row>
    <row r="123" spans="1:28" x14ac:dyDescent="0.2">
      <c r="A123" s="10">
        <v>0.45</v>
      </c>
      <c r="B123" s="81" t="s">
        <v>428</v>
      </c>
      <c r="C123" s="81"/>
      <c r="D123" s="81"/>
      <c r="E123" s="9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>
        <v>0.45</v>
      </c>
    </row>
    <row r="124" spans="1:28" x14ac:dyDescent="0.2">
      <c r="A124" s="10">
        <v>0.45</v>
      </c>
      <c r="B124" s="10"/>
      <c r="C124" s="10" t="s">
        <v>429</v>
      </c>
      <c r="D124" s="10"/>
      <c r="E124" s="73">
        <f>$E$53</f>
        <v>39838.537829138702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>
        <v>0.45</v>
      </c>
    </row>
    <row r="125" spans="1:28" x14ac:dyDescent="0.2">
      <c r="A125" s="10">
        <v>0.45</v>
      </c>
      <c r="B125" s="10"/>
      <c r="C125" s="10" t="s">
        <v>172</v>
      </c>
      <c r="D125" s="10"/>
      <c r="E125" s="73">
        <f>$E$63</f>
        <v>75680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>
        <v>0.45</v>
      </c>
    </row>
    <row r="126" spans="1:28" x14ac:dyDescent="0.2">
      <c r="A126" s="10">
        <v>0.45</v>
      </c>
      <c r="B126" s="10"/>
      <c r="C126" s="10" t="s">
        <v>430</v>
      </c>
      <c r="D126" s="10"/>
      <c r="E126" s="72">
        <f>($E$69-$E$63)/$E$53</f>
        <v>-0.99966811343779116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>
        <v>0.45</v>
      </c>
    </row>
    <row r="127" spans="1:28" x14ac:dyDescent="0.2">
      <c r="A127" s="10">
        <v>0.45</v>
      </c>
      <c r="B127" s="10"/>
      <c r="C127" s="10" t="s">
        <v>431</v>
      </c>
      <c r="D127" s="10"/>
      <c r="E127" s="137">
        <f>$E$63*1000/$E$48</f>
        <v>16987.654320987655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>
        <v>0.45</v>
      </c>
    </row>
    <row r="128" spans="1:28" x14ac:dyDescent="0.2">
      <c r="A128" s="10">
        <v>0.45</v>
      </c>
      <c r="B128" s="10"/>
      <c r="C128" s="10" t="s">
        <v>432</v>
      </c>
      <c r="D128" s="10"/>
      <c r="E128" s="73">
        <f>$E$63/(1-$E$40-$E$41)</f>
        <v>84088.888888888891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>
        <v>0.45</v>
      </c>
    </row>
    <row r="129" spans="1:28" x14ac:dyDescent="0.2">
      <c r="A129" s="10">
        <v>0.45</v>
      </c>
      <c r="B129" s="10"/>
      <c r="C129" s="10" t="s">
        <v>433</v>
      </c>
      <c r="D129" s="10"/>
      <c r="E129" s="137">
        <f>E128*1000/$E$48</f>
        <v>18875.171467764063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>
        <v>0.45</v>
      </c>
    </row>
    <row r="130" spans="1:28" x14ac:dyDescent="0.2">
      <c r="A130" s="10">
        <v>0.45</v>
      </c>
      <c r="B130" s="10"/>
      <c r="C130" s="10" t="s">
        <v>434</v>
      </c>
      <c r="D130" s="10"/>
      <c r="E130" s="72">
        <f>$E$52/E128</f>
        <v>3.7901357342732381E-2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>
        <v>0.45</v>
      </c>
    </row>
    <row r="131" spans="1:28" x14ac:dyDescent="0.2">
      <c r="A131" s="10">
        <v>0.45</v>
      </c>
      <c r="B131" s="10"/>
      <c r="C131" s="10" t="s">
        <v>435</v>
      </c>
      <c r="D131" s="10"/>
      <c r="E131" s="72">
        <f>INDEX($G$82:$Z$82,MATCH($E$36+2,$G$6:$Z$6,0))</f>
        <v>8.9346099200000029E-2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>
        <v>0.45</v>
      </c>
    </row>
    <row r="132" spans="1:28" x14ac:dyDescent="0.2">
      <c r="A132" s="10">
        <v>0.45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>
        <v>0.45</v>
      </c>
    </row>
    <row r="133" spans="1:28" x14ac:dyDescent="0.2">
      <c r="A133" s="10">
        <v>0.45</v>
      </c>
      <c r="B133" s="84" t="s">
        <v>436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>
        <v>0.45</v>
      </c>
    </row>
    <row r="134" spans="1:28" x14ac:dyDescent="0.2">
      <c r="A134" s="10">
        <v>0.45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>
        <v>0.45</v>
      </c>
    </row>
    <row r="135" spans="1:28" x14ac:dyDescent="0.2">
      <c r="A135" s="10">
        <v>0.45</v>
      </c>
      <c r="B135" s="24" t="s">
        <v>437</v>
      </c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10">
        <v>0.45</v>
      </c>
    </row>
    <row r="136" spans="1:28" x14ac:dyDescent="0.2">
      <c r="A136" s="10">
        <v>0.45</v>
      </c>
      <c r="B136" s="10"/>
      <c r="C136" s="10" t="s">
        <v>438</v>
      </c>
      <c r="D136" s="10"/>
      <c r="E136" s="85">
        <v>0.28000000000000003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>
        <v>0.45</v>
      </c>
    </row>
    <row r="137" spans="1:28" x14ac:dyDescent="0.2">
      <c r="A137" s="10">
        <v>0.45</v>
      </c>
      <c r="B137" s="10"/>
      <c r="C137" s="10" t="s">
        <v>439</v>
      </c>
      <c r="D137" s="10"/>
      <c r="E137" s="64">
        <f>(1-$E$20-$E$23)/E136</f>
        <v>1.357142857142857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>
        <v>0.45</v>
      </c>
    </row>
    <row r="138" spans="1:28" x14ac:dyDescent="0.2">
      <c r="A138" s="10">
        <v>0.45</v>
      </c>
      <c r="B138" s="10"/>
      <c r="C138" s="10" t="s">
        <v>440</v>
      </c>
      <c r="D138" s="10"/>
      <c r="E138" s="107">
        <f>0.65%+3%+32%*34%</f>
        <v>0.14530000000000001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>
        <v>0.45</v>
      </c>
    </row>
    <row r="139" spans="1:28" x14ac:dyDescent="0.2">
      <c r="A139" s="10">
        <v>0.45</v>
      </c>
      <c r="B139" s="10"/>
      <c r="C139" s="10" t="s">
        <v>441</v>
      </c>
      <c r="D139" s="10"/>
      <c r="E139" s="107">
        <f>0.65%+3%+5%+32%*34%</f>
        <v>0.1953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>
        <v>0.45</v>
      </c>
    </row>
    <row r="140" spans="1:28" x14ac:dyDescent="0.2">
      <c r="A140" s="10">
        <v>0.45</v>
      </c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>
        <v>0.45</v>
      </c>
    </row>
    <row r="141" spans="1:28" x14ac:dyDescent="0.2">
      <c r="A141" s="10">
        <v>0.45</v>
      </c>
      <c r="B141" s="24" t="s">
        <v>442</v>
      </c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10">
        <v>0.45</v>
      </c>
    </row>
    <row r="142" spans="1:28" x14ac:dyDescent="0.2">
      <c r="A142" s="10">
        <v>0.45</v>
      </c>
      <c r="B142" s="50" t="s">
        <v>443</v>
      </c>
      <c r="C142" s="50"/>
      <c r="D142" s="50"/>
      <c r="E142" s="50"/>
      <c r="F142" s="50"/>
      <c r="G142" s="50">
        <f t="shared" ref="G142:Z142" si="31">SUM(G85:G88)</f>
        <v>0</v>
      </c>
      <c r="H142" s="50">
        <f t="shared" si="31"/>
        <v>0</v>
      </c>
      <c r="I142" s="50">
        <f t="shared" si="31"/>
        <v>0</v>
      </c>
      <c r="J142" s="50">
        <f t="shared" si="31"/>
        <v>-26686.531595377517</v>
      </c>
      <c r="K142" s="50">
        <f t="shared" si="31"/>
        <v>-38237.063190755034</v>
      </c>
      <c r="L142" s="50">
        <f t="shared" si="31"/>
        <v>25200.864660808929</v>
      </c>
      <c r="M142" s="50">
        <f t="shared" si="31"/>
        <v>144.55027134345747</v>
      </c>
      <c r="N142" s="50">
        <f t="shared" si="31"/>
        <v>190.9509084447073</v>
      </c>
      <c r="O142" s="50">
        <f t="shared" si="31"/>
        <v>201.79692004436669</v>
      </c>
      <c r="P142" s="50">
        <f t="shared" si="31"/>
        <v>213.2589851028867</v>
      </c>
      <c r="Q142" s="50">
        <f t="shared" si="31"/>
        <v>225.3720954567307</v>
      </c>
      <c r="R142" s="50">
        <f t="shared" si="31"/>
        <v>238.17323047867296</v>
      </c>
      <c r="S142" s="50">
        <f t="shared" si="31"/>
        <v>251.70146996986159</v>
      </c>
      <c r="T142" s="50">
        <f t="shared" si="31"/>
        <v>265.9981134641497</v>
      </c>
      <c r="U142" s="50">
        <f t="shared" si="31"/>
        <v>281.10680630891341</v>
      </c>
      <c r="V142" s="50">
        <f t="shared" si="31"/>
        <v>297.07367290725972</v>
      </c>
      <c r="W142" s="50">
        <f t="shared" si="31"/>
        <v>313.94745752839214</v>
      </c>
      <c r="X142" s="50">
        <f t="shared" si="31"/>
        <v>331.7796731160048</v>
      </c>
      <c r="Y142" s="50">
        <f t="shared" si="31"/>
        <v>350.6247585489939</v>
      </c>
      <c r="Z142" s="50">
        <f t="shared" si="31"/>
        <v>370.5402448345767</v>
      </c>
      <c r="AA142" s="50">
        <f>(Z86+Z87)/$E$44</f>
        <v>3705.402448345767</v>
      </c>
      <c r="AB142" s="10">
        <v>0.45</v>
      </c>
    </row>
    <row r="143" spans="1:28" x14ac:dyDescent="0.2">
      <c r="A143" s="10">
        <v>0.45</v>
      </c>
      <c r="B143" s="10"/>
      <c r="C143" s="23" t="s">
        <v>444</v>
      </c>
      <c r="D143" s="23"/>
      <c r="E143" s="23"/>
      <c r="F143" s="23"/>
      <c r="G143" s="66">
        <f>G142</f>
        <v>0</v>
      </c>
      <c r="H143" s="66">
        <f t="shared" ref="H143:Z143" si="32">G143+H142</f>
        <v>0</v>
      </c>
      <c r="I143" s="66">
        <f t="shared" si="32"/>
        <v>0</v>
      </c>
      <c r="J143" s="66">
        <f t="shared" si="32"/>
        <v>-26686.531595377517</v>
      </c>
      <c r="K143" s="66">
        <f t="shared" si="32"/>
        <v>-64923.594786132555</v>
      </c>
      <c r="L143" s="66">
        <f t="shared" si="32"/>
        <v>-39722.730125323622</v>
      </c>
      <c r="M143" s="66">
        <f t="shared" si="32"/>
        <v>-39578.179853980168</v>
      </c>
      <c r="N143" s="66">
        <f t="shared" si="32"/>
        <v>-39387.228945535462</v>
      </c>
      <c r="O143" s="66">
        <f t="shared" si="32"/>
        <v>-39185.432025491093</v>
      </c>
      <c r="P143" s="66">
        <f t="shared" si="32"/>
        <v>-38972.173040388203</v>
      </c>
      <c r="Q143" s="66">
        <f t="shared" si="32"/>
        <v>-38746.80094493147</v>
      </c>
      <c r="R143" s="66">
        <f t="shared" si="32"/>
        <v>-38508.627714452799</v>
      </c>
      <c r="S143" s="66">
        <f t="shared" si="32"/>
        <v>-38256.926244482936</v>
      </c>
      <c r="T143" s="66">
        <f t="shared" si="32"/>
        <v>-37990.928131018787</v>
      </c>
      <c r="U143" s="66">
        <f t="shared" si="32"/>
        <v>-37709.821324709876</v>
      </c>
      <c r="V143" s="66">
        <f t="shared" si="32"/>
        <v>-37412.747651802616</v>
      </c>
      <c r="W143" s="66">
        <f t="shared" si="32"/>
        <v>-37098.800194274227</v>
      </c>
      <c r="X143" s="66">
        <f t="shared" si="32"/>
        <v>-36767.020521158222</v>
      </c>
      <c r="Y143" s="66">
        <f t="shared" si="32"/>
        <v>-36416.395762609231</v>
      </c>
      <c r="Z143" s="66">
        <f t="shared" si="32"/>
        <v>-36045.855517774653</v>
      </c>
      <c r="AA143" s="66"/>
      <c r="AB143" s="10">
        <v>0.45</v>
      </c>
    </row>
    <row r="144" spans="1:28" x14ac:dyDescent="0.2">
      <c r="A144" s="10">
        <v>0.45</v>
      </c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>
        <v>0.45</v>
      </c>
    </row>
    <row r="145" spans="1:28" x14ac:dyDescent="0.2">
      <c r="A145" s="10">
        <v>0.45</v>
      </c>
      <c r="B145" s="24" t="s">
        <v>445</v>
      </c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10">
        <v>0.45</v>
      </c>
    </row>
    <row r="146" spans="1:28" x14ac:dyDescent="0.2">
      <c r="A146" s="10">
        <v>0.45</v>
      </c>
      <c r="B146" s="10"/>
      <c r="C146" s="10" t="s">
        <v>446</v>
      </c>
      <c r="D146" s="10"/>
      <c r="E146" s="10"/>
      <c r="F146" s="10"/>
      <c r="G146" s="12">
        <f t="shared" ref="G146:Z146" si="33">G76</f>
        <v>0</v>
      </c>
      <c r="H146" s="12">
        <f t="shared" si="33"/>
        <v>0</v>
      </c>
      <c r="I146" s="12">
        <f t="shared" si="33"/>
        <v>0</v>
      </c>
      <c r="J146" s="12">
        <f t="shared" si="33"/>
        <v>0</v>
      </c>
      <c r="K146" s="12">
        <f t="shared" si="33"/>
        <v>0</v>
      </c>
      <c r="L146" s="12">
        <f t="shared" si="33"/>
        <v>6374.1660526621909</v>
      </c>
      <c r="M146" s="12">
        <f t="shared" si="33"/>
        <v>8981.6249126045404</v>
      </c>
      <c r="N146" s="12">
        <f t="shared" si="33"/>
        <v>11864.726509550597</v>
      </c>
      <c r="O146" s="12">
        <f t="shared" si="33"/>
        <v>12538.642975293071</v>
      </c>
      <c r="P146" s="12">
        <f t="shared" si="33"/>
        <v>13250.837896289715</v>
      </c>
      <c r="Q146" s="12">
        <f t="shared" si="33"/>
        <v>14003.485488798975</v>
      </c>
      <c r="R146" s="12">
        <f t="shared" si="33"/>
        <v>14798.883464562754</v>
      </c>
      <c r="S146" s="12">
        <f t="shared" si="33"/>
        <v>15639.460045349919</v>
      </c>
      <c r="T146" s="12">
        <f t="shared" si="33"/>
        <v>16527.781375925792</v>
      </c>
      <c r="U146" s="12">
        <f t="shared" si="33"/>
        <v>17466.559358078379</v>
      </c>
      <c r="V146" s="12">
        <f t="shared" si="33"/>
        <v>18458.659929617232</v>
      </c>
      <c r="W146" s="12">
        <f t="shared" si="33"/>
        <v>19507.111813619493</v>
      </c>
      <c r="X146" s="12">
        <f t="shared" si="33"/>
        <v>20615.115764633079</v>
      </c>
      <c r="Y146" s="12">
        <f t="shared" si="33"/>
        <v>21786.054340064238</v>
      </c>
      <c r="Z146" s="12">
        <f t="shared" si="33"/>
        <v>23023.502226579883</v>
      </c>
      <c r="AA146" s="12"/>
      <c r="AB146" s="10">
        <v>0.45</v>
      </c>
    </row>
    <row r="147" spans="1:28" x14ac:dyDescent="0.2">
      <c r="A147" s="10">
        <v>0.45</v>
      </c>
      <c r="B147" s="10"/>
      <c r="C147" s="10" t="s">
        <v>416</v>
      </c>
      <c r="D147" s="10"/>
      <c r="E147" s="10"/>
      <c r="F147" s="10"/>
      <c r="G147" s="12">
        <f t="shared" ref="G147:Z147" si="34">G77</f>
        <v>0</v>
      </c>
      <c r="H147" s="12">
        <f t="shared" si="34"/>
        <v>0</v>
      </c>
      <c r="I147" s="12">
        <f t="shared" si="34"/>
        <v>0</v>
      </c>
      <c r="J147" s="12">
        <f t="shared" si="34"/>
        <v>0</v>
      </c>
      <c r="K147" s="12">
        <f t="shared" si="34"/>
        <v>0</v>
      </c>
      <c r="L147" s="12">
        <f t="shared" si="34"/>
        <v>-3824.4996315973144</v>
      </c>
      <c r="M147" s="12">
        <f t="shared" si="34"/>
        <v>-5388.9749475627241</v>
      </c>
      <c r="N147" s="12">
        <f t="shared" si="34"/>
        <v>-7118.8359057303578</v>
      </c>
      <c r="O147" s="12">
        <f t="shared" si="34"/>
        <v>-7523.1857851758423</v>
      </c>
      <c r="P147" s="12">
        <f t="shared" si="34"/>
        <v>-7950.5027377738288</v>
      </c>
      <c r="Q147" s="12">
        <f t="shared" si="34"/>
        <v>-8402.0912932793854</v>
      </c>
      <c r="R147" s="12">
        <f t="shared" si="34"/>
        <v>-8879.330078737652</v>
      </c>
      <c r="S147" s="12">
        <f t="shared" si="34"/>
        <v>-9383.6760272099509</v>
      </c>
      <c r="T147" s="12">
        <f t="shared" si="34"/>
        <v>-9916.6688255554745</v>
      </c>
      <c r="U147" s="12">
        <f t="shared" si="34"/>
        <v>-10479.935614847027</v>
      </c>
      <c r="V147" s="12">
        <f t="shared" si="34"/>
        <v>-11075.195957770338</v>
      </c>
      <c r="W147" s="12">
        <f t="shared" si="34"/>
        <v>-11704.267088171695</v>
      </c>
      <c r="X147" s="12">
        <f t="shared" si="34"/>
        <v>-12369.069458779848</v>
      </c>
      <c r="Y147" s="12">
        <f t="shared" si="34"/>
        <v>-13071.632604038543</v>
      </c>
      <c r="Z147" s="12">
        <f t="shared" si="34"/>
        <v>-13814.101335947929</v>
      </c>
      <c r="AA147" s="12"/>
      <c r="AB147" s="10">
        <v>0.45</v>
      </c>
    </row>
    <row r="148" spans="1:28" x14ac:dyDescent="0.2">
      <c r="A148" s="10">
        <v>0.45</v>
      </c>
      <c r="B148" s="10"/>
      <c r="C148" s="10" t="s">
        <v>417</v>
      </c>
      <c r="D148" s="10"/>
      <c r="E148" s="10"/>
      <c r="F148" s="10"/>
      <c r="G148" s="12">
        <f t="shared" ref="G148:Z148" si="35">G78</f>
        <v>0</v>
      </c>
      <c r="H148" s="12">
        <f t="shared" si="35"/>
        <v>0</v>
      </c>
      <c r="I148" s="12">
        <f t="shared" si="35"/>
        <v>0</v>
      </c>
      <c r="J148" s="12">
        <f t="shared" si="35"/>
        <v>0</v>
      </c>
      <c r="K148" s="12">
        <f t="shared" si="35"/>
        <v>0</v>
      </c>
      <c r="L148" s="12">
        <f t="shared" si="35"/>
        <v>-382.44996315973145</v>
      </c>
      <c r="M148" s="12">
        <f t="shared" si="35"/>
        <v>-538.89749475627241</v>
      </c>
      <c r="N148" s="12">
        <f t="shared" si="35"/>
        <v>-711.8835905730358</v>
      </c>
      <c r="O148" s="12">
        <f t="shared" si="35"/>
        <v>-752.31857851758423</v>
      </c>
      <c r="P148" s="12">
        <f t="shared" si="35"/>
        <v>-795.05027377738293</v>
      </c>
      <c r="Q148" s="12">
        <f t="shared" si="35"/>
        <v>-840.20912932793851</v>
      </c>
      <c r="R148" s="12">
        <f t="shared" si="35"/>
        <v>-887.93300787376518</v>
      </c>
      <c r="S148" s="12">
        <f t="shared" si="35"/>
        <v>-938.36760272099514</v>
      </c>
      <c r="T148" s="12">
        <f t="shared" si="35"/>
        <v>-991.66688255554743</v>
      </c>
      <c r="U148" s="12">
        <f t="shared" si="35"/>
        <v>-1047.9935614847027</v>
      </c>
      <c r="V148" s="12">
        <f t="shared" si="35"/>
        <v>-1107.5195957770338</v>
      </c>
      <c r="W148" s="12">
        <f t="shared" si="35"/>
        <v>-1170.4267088171696</v>
      </c>
      <c r="X148" s="12">
        <f t="shared" si="35"/>
        <v>-1236.9069458779848</v>
      </c>
      <c r="Y148" s="12">
        <f t="shared" si="35"/>
        <v>-1307.1632604038543</v>
      </c>
      <c r="Z148" s="12">
        <f t="shared" si="35"/>
        <v>-1381.410133594793</v>
      </c>
      <c r="AA148" s="12"/>
      <c r="AB148" s="10">
        <v>0.45</v>
      </c>
    </row>
    <row r="149" spans="1:28" x14ac:dyDescent="0.2">
      <c r="A149" s="10">
        <v>0.45</v>
      </c>
      <c r="B149" s="10"/>
      <c r="C149" s="10" t="s">
        <v>419</v>
      </c>
      <c r="D149" s="10"/>
      <c r="E149" s="10"/>
      <c r="F149" s="10"/>
      <c r="G149" s="12">
        <f t="shared" ref="G149:Z149" si="36">G80</f>
        <v>0</v>
      </c>
      <c r="H149" s="12">
        <f t="shared" si="36"/>
        <v>0</v>
      </c>
      <c r="I149" s="12">
        <f t="shared" si="36"/>
        <v>0</v>
      </c>
      <c r="J149" s="12">
        <f t="shared" si="36"/>
        <v>0</v>
      </c>
      <c r="K149" s="12">
        <f t="shared" si="36"/>
        <v>0</v>
      </c>
      <c r="L149" s="12">
        <f t="shared" si="36"/>
        <v>-127.48332105324381</v>
      </c>
      <c r="M149" s="12">
        <f t="shared" si="36"/>
        <v>-179.63249825209081</v>
      </c>
      <c r="N149" s="12">
        <f t="shared" si="36"/>
        <v>-237.29453019101194</v>
      </c>
      <c r="O149" s="12">
        <f t="shared" si="36"/>
        <v>-250.77285950586142</v>
      </c>
      <c r="P149" s="12">
        <f t="shared" si="36"/>
        <v>-265.01675792579431</v>
      </c>
      <c r="Q149" s="12">
        <f t="shared" si="36"/>
        <v>-280.0697097759795</v>
      </c>
      <c r="R149" s="12">
        <f t="shared" si="36"/>
        <v>-295.9776692912551</v>
      </c>
      <c r="S149" s="12">
        <f t="shared" si="36"/>
        <v>-312.78920090699836</v>
      </c>
      <c r="T149" s="12">
        <f t="shared" si="36"/>
        <v>-330.55562751851585</v>
      </c>
      <c r="U149" s="12">
        <f t="shared" si="36"/>
        <v>-349.33118716156758</v>
      </c>
      <c r="V149" s="12">
        <f t="shared" si="36"/>
        <v>-369.17319859234465</v>
      </c>
      <c r="W149" s="12">
        <f t="shared" si="36"/>
        <v>-390.14223627238988</v>
      </c>
      <c r="X149" s="12">
        <f t="shared" si="36"/>
        <v>-412.3023152926616</v>
      </c>
      <c r="Y149" s="12">
        <f t="shared" si="36"/>
        <v>-435.7210868012848</v>
      </c>
      <c r="Z149" s="12">
        <f t="shared" si="36"/>
        <v>-460.47004453159769</v>
      </c>
      <c r="AA149" s="12"/>
      <c r="AB149" s="10">
        <v>0.45</v>
      </c>
    </row>
    <row r="150" spans="1:28" x14ac:dyDescent="0.2">
      <c r="A150" s="10">
        <v>0.45</v>
      </c>
      <c r="B150" s="10"/>
      <c r="C150" s="10" t="s">
        <v>447</v>
      </c>
      <c r="D150" s="10"/>
      <c r="E150" s="10"/>
      <c r="F150" s="10"/>
      <c r="G150" s="12">
        <f t="shared" ref="G150:Z150" si="37">-G146*$E$139</f>
        <v>0</v>
      </c>
      <c r="H150" s="12">
        <f t="shared" si="37"/>
        <v>0</v>
      </c>
      <c r="I150" s="12">
        <f t="shared" si="37"/>
        <v>0</v>
      </c>
      <c r="J150" s="12">
        <f t="shared" si="37"/>
        <v>0</v>
      </c>
      <c r="K150" s="12">
        <f t="shared" si="37"/>
        <v>0</v>
      </c>
      <c r="L150" s="12">
        <f t="shared" si="37"/>
        <v>-1244.8746300849259</v>
      </c>
      <c r="M150" s="12">
        <f t="shared" si="37"/>
        <v>-1754.1113454316667</v>
      </c>
      <c r="N150" s="12">
        <f t="shared" si="37"/>
        <v>-2317.1810873152317</v>
      </c>
      <c r="O150" s="12">
        <f t="shared" si="37"/>
        <v>-2448.7969730747368</v>
      </c>
      <c r="P150" s="12">
        <f t="shared" si="37"/>
        <v>-2587.8886411453814</v>
      </c>
      <c r="Q150" s="12">
        <f t="shared" si="37"/>
        <v>-2734.8807159624398</v>
      </c>
      <c r="R150" s="12">
        <f t="shared" si="37"/>
        <v>-2890.221940629106</v>
      </c>
      <c r="S150" s="12">
        <f t="shared" si="37"/>
        <v>-3054.3865468568392</v>
      </c>
      <c r="T150" s="12">
        <f t="shared" si="37"/>
        <v>-3227.8757027183069</v>
      </c>
      <c r="U150" s="12">
        <f t="shared" si="37"/>
        <v>-3411.2190426327074</v>
      </c>
      <c r="V150" s="12">
        <f t="shared" si="37"/>
        <v>-3604.9762842542455</v>
      </c>
      <c r="W150" s="12">
        <f t="shared" si="37"/>
        <v>-3809.738937199887</v>
      </c>
      <c r="X150" s="12">
        <f t="shared" si="37"/>
        <v>-4026.1321088328405</v>
      </c>
      <c r="Y150" s="12">
        <f t="shared" si="37"/>
        <v>-4254.8164126145457</v>
      </c>
      <c r="Z150" s="12">
        <f t="shared" si="37"/>
        <v>-4496.4899848510513</v>
      </c>
      <c r="AA150" s="12"/>
      <c r="AB150" s="10">
        <v>0.45</v>
      </c>
    </row>
    <row r="151" spans="1:28" x14ac:dyDescent="0.2">
      <c r="A151" s="10">
        <v>0.45</v>
      </c>
      <c r="B151" s="10"/>
      <c r="C151" s="10" t="s">
        <v>110</v>
      </c>
      <c r="D151" s="10"/>
      <c r="E151" s="10"/>
      <c r="F151" s="10"/>
      <c r="G151" s="12">
        <f t="shared" ref="G151:Z151" si="38">-G63</f>
        <v>0</v>
      </c>
      <c r="H151" s="12">
        <f t="shared" si="38"/>
        <v>0</v>
      </c>
      <c r="I151" s="12">
        <f t="shared" si="38"/>
        <v>0</v>
      </c>
      <c r="J151" s="12">
        <f t="shared" si="38"/>
        <v>-30272</v>
      </c>
      <c r="K151" s="12">
        <f t="shared" si="38"/>
        <v>-45408</v>
      </c>
      <c r="L151" s="12">
        <f t="shared" si="38"/>
        <v>0</v>
      </c>
      <c r="M151" s="12">
        <f t="shared" si="38"/>
        <v>0</v>
      </c>
      <c r="N151" s="12">
        <f t="shared" si="38"/>
        <v>0</v>
      </c>
      <c r="O151" s="12">
        <f t="shared" si="38"/>
        <v>0</v>
      </c>
      <c r="P151" s="12">
        <f t="shared" si="38"/>
        <v>0</v>
      </c>
      <c r="Q151" s="12">
        <f t="shared" si="38"/>
        <v>0</v>
      </c>
      <c r="R151" s="12">
        <f t="shared" si="38"/>
        <v>0</v>
      </c>
      <c r="S151" s="12">
        <f t="shared" si="38"/>
        <v>0</v>
      </c>
      <c r="T151" s="12">
        <f t="shared" si="38"/>
        <v>0</v>
      </c>
      <c r="U151" s="12">
        <f t="shared" si="38"/>
        <v>0</v>
      </c>
      <c r="V151" s="12">
        <f t="shared" si="38"/>
        <v>0</v>
      </c>
      <c r="W151" s="12">
        <f t="shared" si="38"/>
        <v>0</v>
      </c>
      <c r="X151" s="12">
        <f t="shared" si="38"/>
        <v>0</v>
      </c>
      <c r="Y151" s="12">
        <f t="shared" si="38"/>
        <v>0</v>
      </c>
      <c r="Z151" s="12">
        <f t="shared" si="38"/>
        <v>0</v>
      </c>
      <c r="AA151" s="12"/>
      <c r="AB151" s="10">
        <v>0.45</v>
      </c>
    </row>
    <row r="152" spans="1:28" x14ac:dyDescent="0.2">
      <c r="A152" s="10">
        <v>0.45</v>
      </c>
      <c r="B152" s="50" t="s">
        <v>448</v>
      </c>
      <c r="C152" s="50"/>
      <c r="D152" s="50"/>
      <c r="E152" s="50"/>
      <c r="F152" s="50"/>
      <c r="G152" s="50">
        <f t="shared" ref="G152:Z152" si="39">SUM(G146:G151)</f>
        <v>0</v>
      </c>
      <c r="H152" s="50">
        <f t="shared" si="39"/>
        <v>0</v>
      </c>
      <c r="I152" s="50">
        <f t="shared" si="39"/>
        <v>0</v>
      </c>
      <c r="J152" s="50">
        <f t="shared" si="39"/>
        <v>-30272</v>
      </c>
      <c r="K152" s="50">
        <f t="shared" si="39"/>
        <v>-45408</v>
      </c>
      <c r="L152" s="50">
        <f t="shared" si="39"/>
        <v>794.85850676697532</v>
      </c>
      <c r="M152" s="50">
        <f t="shared" si="39"/>
        <v>1120.0086266017863</v>
      </c>
      <c r="N152" s="50">
        <f t="shared" si="39"/>
        <v>1479.5313957409603</v>
      </c>
      <c r="O152" s="50">
        <f t="shared" si="39"/>
        <v>1563.5687790190464</v>
      </c>
      <c r="P152" s="50">
        <f t="shared" si="39"/>
        <v>1652.3794856673276</v>
      </c>
      <c r="Q152" s="50">
        <f t="shared" si="39"/>
        <v>1746.2346404532323</v>
      </c>
      <c r="R152" s="50">
        <f t="shared" si="39"/>
        <v>1845.4207680309755</v>
      </c>
      <c r="S152" s="50">
        <f t="shared" si="39"/>
        <v>1950.2406676551354</v>
      </c>
      <c r="T152" s="50">
        <f t="shared" si="39"/>
        <v>2061.0143375779467</v>
      </c>
      <c r="U152" s="50">
        <f t="shared" si="39"/>
        <v>2178.0799519523739</v>
      </c>
      <c r="V152" s="50">
        <f t="shared" si="39"/>
        <v>2301.7948932232698</v>
      </c>
      <c r="W152" s="50">
        <f t="shared" si="39"/>
        <v>2432.536843158352</v>
      </c>
      <c r="X152" s="50">
        <f t="shared" si="39"/>
        <v>2570.7049358497443</v>
      </c>
      <c r="Y152" s="50">
        <f t="shared" si="39"/>
        <v>2716.7209762060111</v>
      </c>
      <c r="Z152" s="50">
        <f t="shared" si="39"/>
        <v>2871.0307276545127</v>
      </c>
      <c r="AA152" s="50">
        <f>SUM(Z146:Z150)/$E$44</f>
        <v>28710.307276545125</v>
      </c>
      <c r="AB152" s="10">
        <v>0.45</v>
      </c>
    </row>
    <row r="153" spans="1:28" x14ac:dyDescent="0.2">
      <c r="A153" s="10">
        <v>0.45</v>
      </c>
      <c r="B153" s="10"/>
      <c r="C153" s="23" t="s">
        <v>444</v>
      </c>
      <c r="D153" s="23"/>
      <c r="E153" s="23"/>
      <c r="F153" s="23"/>
      <c r="G153" s="66">
        <f>G152</f>
        <v>0</v>
      </c>
      <c r="H153" s="66">
        <f t="shared" ref="H153:Z153" si="40">G153+H152</f>
        <v>0</v>
      </c>
      <c r="I153" s="66">
        <f t="shared" si="40"/>
        <v>0</v>
      </c>
      <c r="J153" s="66">
        <f t="shared" si="40"/>
        <v>-30272</v>
      </c>
      <c r="K153" s="66">
        <f t="shared" si="40"/>
        <v>-75680</v>
      </c>
      <c r="L153" s="66">
        <f t="shared" si="40"/>
        <v>-74885.141493233023</v>
      </c>
      <c r="M153" s="66">
        <f t="shared" si="40"/>
        <v>-73765.132866631233</v>
      </c>
      <c r="N153" s="66">
        <f t="shared" si="40"/>
        <v>-72285.601470890266</v>
      </c>
      <c r="O153" s="66">
        <f t="shared" si="40"/>
        <v>-70722.032691871224</v>
      </c>
      <c r="P153" s="66">
        <f t="shared" si="40"/>
        <v>-69069.65320620389</v>
      </c>
      <c r="Q153" s="66">
        <f t="shared" si="40"/>
        <v>-67323.41856575066</v>
      </c>
      <c r="R153" s="66">
        <f t="shared" si="40"/>
        <v>-65477.997797719683</v>
      </c>
      <c r="S153" s="66">
        <f t="shared" si="40"/>
        <v>-63527.75713006455</v>
      </c>
      <c r="T153" s="66">
        <f t="shared" si="40"/>
        <v>-61466.742792486606</v>
      </c>
      <c r="U153" s="66">
        <f t="shared" si="40"/>
        <v>-59288.662840534234</v>
      </c>
      <c r="V153" s="66">
        <f t="shared" si="40"/>
        <v>-56986.867947310966</v>
      </c>
      <c r="W153" s="66">
        <f t="shared" si="40"/>
        <v>-54554.331104152618</v>
      </c>
      <c r="X153" s="66">
        <f t="shared" si="40"/>
        <v>-51983.626168302872</v>
      </c>
      <c r="Y153" s="66">
        <f t="shared" si="40"/>
        <v>-49266.905192096863</v>
      </c>
      <c r="Z153" s="66">
        <f t="shared" si="40"/>
        <v>-46395.87446444235</v>
      </c>
      <c r="AA153" s="66"/>
      <c r="AB153" s="10">
        <v>0.45</v>
      </c>
    </row>
    <row r="154" spans="1:28" x14ac:dyDescent="0.2">
      <c r="A154" s="10">
        <v>0.45</v>
      </c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>
        <v>0.45</v>
      </c>
    </row>
    <row r="155" spans="1:28" x14ac:dyDescent="0.2">
      <c r="A155" s="10">
        <v>0.45</v>
      </c>
      <c r="B155" s="24" t="s">
        <v>449</v>
      </c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10">
        <v>0.45</v>
      </c>
    </row>
    <row r="156" spans="1:28" x14ac:dyDescent="0.2">
      <c r="A156" s="10">
        <v>0.45</v>
      </c>
      <c r="B156" s="10"/>
      <c r="C156" s="10" t="s">
        <v>450</v>
      </c>
      <c r="D156" s="10"/>
      <c r="E156" s="10"/>
      <c r="F156" s="10"/>
      <c r="G156" s="12">
        <f t="shared" ref="G156:Z156" si="41">G76*$E$136</f>
        <v>0</v>
      </c>
      <c r="H156" s="12">
        <f t="shared" si="41"/>
        <v>0</v>
      </c>
      <c r="I156" s="12">
        <f t="shared" si="41"/>
        <v>0</v>
      </c>
      <c r="J156" s="12">
        <f t="shared" si="41"/>
        <v>0</v>
      </c>
      <c r="K156" s="12">
        <f t="shared" si="41"/>
        <v>0</v>
      </c>
      <c r="L156" s="12">
        <f t="shared" si="41"/>
        <v>1784.7664947454136</v>
      </c>
      <c r="M156" s="12">
        <f t="shared" si="41"/>
        <v>2514.8549755292715</v>
      </c>
      <c r="N156" s="12">
        <f t="shared" si="41"/>
        <v>3322.1234226741676</v>
      </c>
      <c r="O156" s="12">
        <f t="shared" si="41"/>
        <v>3510.82003308206</v>
      </c>
      <c r="P156" s="12">
        <f t="shared" si="41"/>
        <v>3710.2346109611203</v>
      </c>
      <c r="Q156" s="12">
        <f t="shared" si="41"/>
        <v>3920.9759368637133</v>
      </c>
      <c r="R156" s="12">
        <f t="shared" si="41"/>
        <v>4143.6873700775714</v>
      </c>
      <c r="S156" s="12">
        <f t="shared" si="41"/>
        <v>4379.0488126979781</v>
      </c>
      <c r="T156" s="12">
        <f t="shared" si="41"/>
        <v>4627.7787852592219</v>
      </c>
      <c r="U156" s="12">
        <f t="shared" si="41"/>
        <v>4890.6366202619465</v>
      </c>
      <c r="V156" s="12">
        <f t="shared" si="41"/>
        <v>5168.4247802928257</v>
      </c>
      <c r="W156" s="12">
        <f t="shared" si="41"/>
        <v>5461.9913078134587</v>
      </c>
      <c r="X156" s="12">
        <f t="shared" si="41"/>
        <v>5772.2324140972623</v>
      </c>
      <c r="Y156" s="12">
        <f t="shared" si="41"/>
        <v>6100.0952152179871</v>
      </c>
      <c r="Z156" s="12">
        <f t="shared" si="41"/>
        <v>6446.5806234423681</v>
      </c>
      <c r="AA156" s="12"/>
      <c r="AB156" s="10">
        <v>0.45</v>
      </c>
    </row>
    <row r="157" spans="1:28" x14ac:dyDescent="0.2">
      <c r="A157" s="10">
        <v>0.45</v>
      </c>
      <c r="B157" s="10"/>
      <c r="C157" s="10" t="s">
        <v>451</v>
      </c>
      <c r="D157" s="10"/>
      <c r="E157" s="10"/>
      <c r="F157" s="10"/>
      <c r="G157" s="12">
        <f t="shared" ref="G157:Z157" si="42">-G156*$E$138</f>
        <v>0</v>
      </c>
      <c r="H157" s="12">
        <f t="shared" si="42"/>
        <v>0</v>
      </c>
      <c r="I157" s="12">
        <f t="shared" si="42"/>
        <v>0</v>
      </c>
      <c r="J157" s="12">
        <f t="shared" si="42"/>
        <v>0</v>
      </c>
      <c r="K157" s="12">
        <f t="shared" si="42"/>
        <v>0</v>
      </c>
      <c r="L157" s="12">
        <f t="shared" si="42"/>
        <v>-259.3265716865086</v>
      </c>
      <c r="M157" s="12">
        <f t="shared" si="42"/>
        <v>-365.40842794440317</v>
      </c>
      <c r="N157" s="12">
        <f t="shared" si="42"/>
        <v>-482.70453331455661</v>
      </c>
      <c r="O157" s="12">
        <f t="shared" si="42"/>
        <v>-510.12215080682336</v>
      </c>
      <c r="P157" s="12">
        <f t="shared" si="42"/>
        <v>-539.09708897265079</v>
      </c>
      <c r="Q157" s="12">
        <f t="shared" si="42"/>
        <v>-569.71780362629761</v>
      </c>
      <c r="R157" s="12">
        <f t="shared" si="42"/>
        <v>-602.07777487227122</v>
      </c>
      <c r="S157" s="12">
        <f t="shared" si="42"/>
        <v>-636.27579248501627</v>
      </c>
      <c r="T157" s="12">
        <f t="shared" si="42"/>
        <v>-672.41625749816501</v>
      </c>
      <c r="U157" s="12">
        <f t="shared" si="42"/>
        <v>-710.60950092406085</v>
      </c>
      <c r="V157" s="12">
        <f t="shared" si="42"/>
        <v>-750.9721205765477</v>
      </c>
      <c r="W157" s="12">
        <f t="shared" si="42"/>
        <v>-793.62733702529556</v>
      </c>
      <c r="X157" s="12">
        <f t="shared" si="42"/>
        <v>-838.70536976833228</v>
      </c>
      <c r="Y157" s="12">
        <f t="shared" si="42"/>
        <v>-886.34383477117365</v>
      </c>
      <c r="Z157" s="12">
        <f t="shared" si="42"/>
        <v>-936.68816458617619</v>
      </c>
      <c r="AA157" s="12"/>
      <c r="AB157" s="10">
        <v>0.45</v>
      </c>
    </row>
    <row r="158" spans="1:28" x14ac:dyDescent="0.2">
      <c r="A158" s="10">
        <v>0.45</v>
      </c>
      <c r="B158" s="10"/>
      <c r="C158" s="10" t="s">
        <v>110</v>
      </c>
      <c r="D158" s="10"/>
      <c r="E158" s="10"/>
      <c r="F158" s="10"/>
      <c r="G158" s="12">
        <f t="shared" ref="G158:Z158" si="43">-G63</f>
        <v>0</v>
      </c>
      <c r="H158" s="12">
        <f t="shared" si="43"/>
        <v>0</v>
      </c>
      <c r="I158" s="12">
        <f t="shared" si="43"/>
        <v>0</v>
      </c>
      <c r="J158" s="12">
        <f t="shared" si="43"/>
        <v>-30272</v>
      </c>
      <c r="K158" s="12">
        <f t="shared" si="43"/>
        <v>-45408</v>
      </c>
      <c r="L158" s="12">
        <f t="shared" si="43"/>
        <v>0</v>
      </c>
      <c r="M158" s="12">
        <f t="shared" si="43"/>
        <v>0</v>
      </c>
      <c r="N158" s="12">
        <f t="shared" si="43"/>
        <v>0</v>
      </c>
      <c r="O158" s="12">
        <f t="shared" si="43"/>
        <v>0</v>
      </c>
      <c r="P158" s="12">
        <f t="shared" si="43"/>
        <v>0</v>
      </c>
      <c r="Q158" s="12">
        <f t="shared" si="43"/>
        <v>0</v>
      </c>
      <c r="R158" s="12">
        <f t="shared" si="43"/>
        <v>0</v>
      </c>
      <c r="S158" s="12">
        <f t="shared" si="43"/>
        <v>0</v>
      </c>
      <c r="T158" s="12">
        <f t="shared" si="43"/>
        <v>0</v>
      </c>
      <c r="U158" s="12">
        <f t="shared" si="43"/>
        <v>0</v>
      </c>
      <c r="V158" s="12">
        <f t="shared" si="43"/>
        <v>0</v>
      </c>
      <c r="W158" s="12">
        <f t="shared" si="43"/>
        <v>0</v>
      </c>
      <c r="X158" s="12">
        <f t="shared" si="43"/>
        <v>0</v>
      </c>
      <c r="Y158" s="12">
        <f t="shared" si="43"/>
        <v>0</v>
      </c>
      <c r="Z158" s="12">
        <f t="shared" si="43"/>
        <v>0</v>
      </c>
      <c r="AA158" s="12"/>
      <c r="AB158" s="10">
        <v>0.45</v>
      </c>
    </row>
    <row r="159" spans="1:28" x14ac:dyDescent="0.2">
      <c r="A159" s="10">
        <v>0.45</v>
      </c>
      <c r="B159" s="50" t="s">
        <v>452</v>
      </c>
      <c r="C159" s="50"/>
      <c r="D159" s="50"/>
      <c r="E159" s="50"/>
      <c r="F159" s="50"/>
      <c r="G159" s="50">
        <f t="shared" ref="G159:Z159" si="44">SUM(G156:G158)</f>
        <v>0</v>
      </c>
      <c r="H159" s="50">
        <f t="shared" si="44"/>
        <v>0</v>
      </c>
      <c r="I159" s="50">
        <f t="shared" si="44"/>
        <v>0</v>
      </c>
      <c r="J159" s="50">
        <f t="shared" si="44"/>
        <v>-30272</v>
      </c>
      <c r="K159" s="50">
        <f t="shared" si="44"/>
        <v>-45408</v>
      </c>
      <c r="L159" s="50">
        <f t="shared" si="44"/>
        <v>1525.4399230589052</v>
      </c>
      <c r="M159" s="50">
        <f t="shared" si="44"/>
        <v>2149.4465475848683</v>
      </c>
      <c r="N159" s="50">
        <f t="shared" si="44"/>
        <v>2839.4188893596111</v>
      </c>
      <c r="O159" s="50">
        <f t="shared" si="44"/>
        <v>3000.6978822752367</v>
      </c>
      <c r="P159" s="50">
        <f t="shared" si="44"/>
        <v>3171.1375219884694</v>
      </c>
      <c r="Q159" s="50">
        <f t="shared" si="44"/>
        <v>3351.2581332374157</v>
      </c>
      <c r="R159" s="50">
        <f t="shared" si="44"/>
        <v>3541.6095952053001</v>
      </c>
      <c r="S159" s="50">
        <f t="shared" si="44"/>
        <v>3742.7730202129619</v>
      </c>
      <c r="T159" s="50">
        <f t="shared" si="44"/>
        <v>3955.3625277610568</v>
      </c>
      <c r="U159" s="50">
        <f t="shared" si="44"/>
        <v>4180.0271193378858</v>
      </c>
      <c r="V159" s="50">
        <f t="shared" si="44"/>
        <v>4417.4526597162785</v>
      </c>
      <c r="W159" s="50">
        <f t="shared" si="44"/>
        <v>4668.363970788163</v>
      </c>
      <c r="X159" s="50">
        <f t="shared" si="44"/>
        <v>4933.5270443289301</v>
      </c>
      <c r="Y159" s="50">
        <f t="shared" si="44"/>
        <v>5213.7513804468135</v>
      </c>
      <c r="Z159" s="50">
        <f t="shared" si="44"/>
        <v>5509.8924588561922</v>
      </c>
      <c r="AA159" s="50">
        <f>(Z156+Z157)/$E$44</f>
        <v>55098.924588561917</v>
      </c>
      <c r="AB159" s="10">
        <v>0.45</v>
      </c>
    </row>
    <row r="160" spans="1:28" x14ac:dyDescent="0.2">
      <c r="A160" s="10">
        <v>0.45</v>
      </c>
      <c r="B160" s="10"/>
      <c r="C160" s="23" t="s">
        <v>444</v>
      </c>
      <c r="D160" s="23"/>
      <c r="E160" s="23"/>
      <c r="F160" s="23"/>
      <c r="G160" s="66">
        <f>G159</f>
        <v>0</v>
      </c>
      <c r="H160" s="66">
        <f t="shared" ref="H160:Z160" si="45">G160+H159</f>
        <v>0</v>
      </c>
      <c r="I160" s="66">
        <f t="shared" si="45"/>
        <v>0</v>
      </c>
      <c r="J160" s="66">
        <f t="shared" si="45"/>
        <v>-30272</v>
      </c>
      <c r="K160" s="66">
        <f t="shared" si="45"/>
        <v>-75680</v>
      </c>
      <c r="L160" s="66">
        <f t="shared" si="45"/>
        <v>-74154.560076941096</v>
      </c>
      <c r="M160" s="66">
        <f t="shared" si="45"/>
        <v>-72005.113529356226</v>
      </c>
      <c r="N160" s="66">
        <f t="shared" si="45"/>
        <v>-69165.694639996611</v>
      </c>
      <c r="O160" s="66">
        <f t="shared" si="45"/>
        <v>-66164.996757721368</v>
      </c>
      <c r="P160" s="66">
        <f t="shared" si="45"/>
        <v>-62993.859235732896</v>
      </c>
      <c r="Q160" s="66">
        <f t="shared" si="45"/>
        <v>-59642.601102495479</v>
      </c>
      <c r="R160" s="66">
        <f t="shared" si="45"/>
        <v>-56100.991507290179</v>
      </c>
      <c r="S160" s="66">
        <f t="shared" si="45"/>
        <v>-52358.218487077218</v>
      </c>
      <c r="T160" s="66">
        <f t="shared" si="45"/>
        <v>-48402.855959316163</v>
      </c>
      <c r="U160" s="66">
        <f t="shared" si="45"/>
        <v>-44222.828839978276</v>
      </c>
      <c r="V160" s="66">
        <f t="shared" si="45"/>
        <v>-39805.376180261999</v>
      </c>
      <c r="W160" s="66">
        <f t="shared" si="45"/>
        <v>-35137.012209473833</v>
      </c>
      <c r="X160" s="66">
        <f t="shared" si="45"/>
        <v>-30203.485165144903</v>
      </c>
      <c r="Y160" s="66">
        <f t="shared" si="45"/>
        <v>-24989.733784698088</v>
      </c>
      <c r="Z160" s="66">
        <f t="shared" si="45"/>
        <v>-19479.841325841895</v>
      </c>
      <c r="AA160" s="66"/>
      <c r="AB160" s="10">
        <v>0.45</v>
      </c>
    </row>
    <row r="161" spans="1:28" x14ac:dyDescent="0.2">
      <c r="A161" s="10">
        <v>0.45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>
        <v>0.45</v>
      </c>
    </row>
    <row r="162" spans="1:28" x14ac:dyDescent="0.2">
      <c r="A162" s="10">
        <v>0.45</v>
      </c>
      <c r="B162" s="24" t="s">
        <v>453</v>
      </c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10">
        <v>0.45</v>
      </c>
    </row>
    <row r="163" spans="1:28" x14ac:dyDescent="0.2">
      <c r="A163" s="10">
        <v>0.45</v>
      </c>
      <c r="B163" s="10"/>
      <c r="C163" s="80" t="s">
        <v>181</v>
      </c>
      <c r="D163" s="80"/>
      <c r="E163" s="80"/>
      <c r="F163" s="80"/>
      <c r="G163" s="140" t="s">
        <v>454</v>
      </c>
      <c r="H163" s="140" t="s">
        <v>455</v>
      </c>
      <c r="I163" s="140" t="s">
        <v>456</v>
      </c>
      <c r="J163" s="140" t="s">
        <v>480</v>
      </c>
      <c r="K163" s="140" t="s">
        <v>495</v>
      </c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>
        <v>0.45</v>
      </c>
    </row>
    <row r="164" spans="1:28" x14ac:dyDescent="0.2">
      <c r="A164" s="10">
        <v>0.45</v>
      </c>
      <c r="B164" s="10"/>
      <c r="C164" s="10" t="s">
        <v>150</v>
      </c>
      <c r="D164" s="10"/>
      <c r="E164" s="10"/>
      <c r="F164" s="10"/>
      <c r="G164" s="118">
        <f>IFERROR(IRR(G142:AA142),-1)</f>
        <v>-0.10603623097154713</v>
      </c>
      <c r="H164" s="118">
        <f>IFERROR(IRR(G152:AA152),-1)</f>
        <v>-1.9999469583810048E-2</v>
      </c>
      <c r="I164" s="118">
        <f>IFERROR(IRR(G159:AA159),-1)</f>
        <v>3.0916653962987706E-2</v>
      </c>
      <c r="J164" s="118" t="str">
        <f>"n/a"</f>
        <v>n/a</v>
      </c>
      <c r="K164" s="118">
        <f>IFERROR(IRR(G224:AA224),-1)</f>
        <v>0.18080179139693242</v>
      </c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>
        <v>0.45</v>
      </c>
    </row>
    <row r="165" spans="1:28" x14ac:dyDescent="0.2">
      <c r="A165" s="10">
        <v>0.45</v>
      </c>
      <c r="B165" s="10"/>
      <c r="C165" s="10" t="s">
        <v>153</v>
      </c>
      <c r="D165" s="10"/>
      <c r="E165" s="10"/>
      <c r="F165" s="10"/>
      <c r="G165" s="117">
        <f>G142+NPV($E$43,H142:AA142)</f>
        <v>-29433.329440220885</v>
      </c>
      <c r="H165" s="117">
        <f>G152+NPV($E$43,H152:AA152)</f>
        <v>-40438.461593136119</v>
      </c>
      <c r="I165" s="117">
        <f>G159+NPV($E$43,H159:AA159)</f>
        <v>-26554.715122235084</v>
      </c>
      <c r="J165" s="117">
        <f>G198+NPV($E$43,H198:AA198)</f>
        <v>14384.570572225006</v>
      </c>
      <c r="K165" s="117">
        <f>G224+NPV($E$43,H224:AA224)</f>
        <v>2689.8092329382616</v>
      </c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>
        <v>0.45</v>
      </c>
    </row>
    <row r="166" spans="1:28" x14ac:dyDescent="0.2">
      <c r="A166" s="10">
        <v>0.45</v>
      </c>
      <c r="B166" s="10"/>
      <c r="C166" s="10" t="s">
        <v>159</v>
      </c>
      <c r="D166" s="10"/>
      <c r="E166" s="10"/>
      <c r="F166" s="10"/>
      <c r="G166" s="117">
        <f>-MIN(0,MIN(G143:Z143))</f>
        <v>64923.594786132555</v>
      </c>
      <c r="H166" s="117">
        <f>-MIN(0,MIN(G153:Z153))</f>
        <v>75680</v>
      </c>
      <c r="I166" s="117">
        <f>-MIN(0,MIN(G160:Z160))</f>
        <v>75680</v>
      </c>
      <c r="J166" s="117">
        <f>-MIN(0,MIN(G199:Z199))</f>
        <v>0</v>
      </c>
      <c r="K166" s="117">
        <f>-MIN(0,MIN(G225:Z225))</f>
        <v>30218.009749999997</v>
      </c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>
        <v>0.45</v>
      </c>
    </row>
    <row r="167" spans="1:28" x14ac:dyDescent="0.2">
      <c r="A167" s="10">
        <v>0.45</v>
      </c>
      <c r="B167" s="10"/>
      <c r="C167" s="10" t="s">
        <v>180</v>
      </c>
      <c r="D167" s="10"/>
      <c r="E167" s="10"/>
      <c r="F167" s="10"/>
      <c r="G167" s="138">
        <f>SUMIF(G142:Z142,"&gt;0")/-SUMIF(G142:Z142,"&lt;0")</f>
        <v>0.44479575358519879</v>
      </c>
      <c r="H167" s="138">
        <f>SUMIF(G152:Z152,"&gt;0")/-SUMIF(G152:Z152,"&lt;0")</f>
        <v>0.38694669048041286</v>
      </c>
      <c r="I167" s="138">
        <f>SUMIF(G159:Z159,"&gt;0")/-SUMIF(G159:Z159,"&lt;0")</f>
        <v>0.74260251947883316</v>
      </c>
      <c r="J167" s="138" t="str">
        <f>"n/a"</f>
        <v>n/a</v>
      </c>
      <c r="K167" s="138">
        <f>SUMIF(G224:Z224,"&gt;0")/-SUMIF(G224:Z224,"&lt;0")</f>
        <v>1.2661982230646414</v>
      </c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>
        <v>0.45</v>
      </c>
    </row>
    <row r="168" spans="1:28" x14ac:dyDescent="0.2">
      <c r="A168" s="10">
        <v>0.45</v>
      </c>
      <c r="B168" s="10"/>
      <c r="C168" s="10" t="s">
        <v>457</v>
      </c>
      <c r="D168" s="10"/>
      <c r="E168" s="10"/>
      <c r="F168" s="10"/>
      <c r="G168" s="138">
        <f>(SUMIF(G142:Z142,"&gt;0")+AA142)/-SUMIF(G142:Z142,"&lt;0")</f>
        <v>0.5018690327305062</v>
      </c>
      <c r="H168" s="138">
        <f>(SUMIF(G152:Z152,"&gt;0")+AA152)/-SUMIF(G152:Z152,"&lt;0")</f>
        <v>0.7663112158047406</v>
      </c>
      <c r="I168" s="138">
        <f>(SUMIF(G159:Z159,"&gt;0")+AA159)/-SUMIF(G159:Z159,"&lt;0")</f>
        <v>1.4706538486088796</v>
      </c>
      <c r="J168" s="138" t="str">
        <f>"n/a"</f>
        <v>n/a</v>
      </c>
      <c r="K168" s="138">
        <f>(SUMIF(G224:Z224,"&gt;0")+AA224)/-SUMIF(G224:Z224,"&lt;0")</f>
        <v>1.2661982230646414</v>
      </c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>
        <v>0.45</v>
      </c>
    </row>
    <row r="170" spans="1:28" x14ac:dyDescent="0.2">
      <c r="A170" s="10">
        <v>0.45</v>
      </c>
      <c r="B170" s="10"/>
      <c r="C170" s="10" t="s">
        <v>458</v>
      </c>
      <c r="D170" s="10"/>
      <c r="E170" s="10"/>
      <c r="F170" s="10"/>
      <c r="G170" s="141" t="str">
        <f>IF($E$4=1,"◄ ADOPTED","")</f>
        <v/>
      </c>
      <c r="H170" s="141" t="str">
        <f>IF($E$4=2,"◄ ADOPTED","")</f>
        <v/>
      </c>
      <c r="I170" s="141" t="str">
        <f>IF($E$4=3,"◄ ADOPTED","")</f>
        <v/>
      </c>
      <c r="J170" s="141" t="str">
        <f>IF($E$4=4,"◄ ADOPTED","")</f>
        <v/>
      </c>
      <c r="K170" s="141" t="str">
        <f>IF($E$4=5,"◄ ADOPTED","")</f>
        <v>◄ ADOTADA</v>
      </c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>
        <v>0.45</v>
      </c>
    </row>
    <row r="171" spans="1:28" x14ac:dyDescent="0.2">
      <c r="A171" s="10">
        <v>0.45</v>
      </c>
      <c r="B171" s="10"/>
      <c r="C171" s="84" t="s">
        <v>1033</v>
      </c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>
        <v>0.45</v>
      </c>
    </row>
    <row r="172" spans="1:28" x14ac:dyDescent="0.2">
      <c r="A172" s="10">
        <v>0.45</v>
      </c>
      <c r="B172" s="143" t="s">
        <v>497</v>
      </c>
      <c r="C172" s="144"/>
      <c r="D172" s="144"/>
      <c r="E172" s="144"/>
      <c r="F172" s="144"/>
      <c r="G172" s="144"/>
      <c r="H172" s="144"/>
      <c r="I172" s="144"/>
      <c r="J172" s="144"/>
      <c r="K172" s="144"/>
      <c r="L172" s="144"/>
      <c r="M172" s="144"/>
      <c r="N172" s="144"/>
      <c r="O172" s="144"/>
      <c r="P172" s="144"/>
      <c r="Q172" s="144"/>
      <c r="R172" s="144"/>
      <c r="S172" s="144"/>
      <c r="T172" s="144"/>
      <c r="U172" s="144"/>
      <c r="V172" s="144"/>
      <c r="W172" s="144"/>
      <c r="X172" s="144"/>
      <c r="Y172" s="144"/>
      <c r="Z172" s="144"/>
      <c r="AA172" s="10"/>
      <c r="AB172" s="10">
        <v>0.45</v>
      </c>
    </row>
    <row r="173" spans="1:28" x14ac:dyDescent="0.2">
      <c r="A173" s="10">
        <v>0.45</v>
      </c>
      <c r="B173" s="145" t="s">
        <v>507</v>
      </c>
      <c r="C173" s="144"/>
      <c r="D173" s="144"/>
      <c r="E173" s="144"/>
      <c r="F173" s="144"/>
      <c r="G173" s="144"/>
      <c r="H173" s="144"/>
      <c r="I173" s="144"/>
      <c r="J173" s="144"/>
      <c r="K173" s="144"/>
      <c r="L173" s="144"/>
      <c r="M173" s="144"/>
      <c r="N173" s="144"/>
      <c r="O173" s="144"/>
      <c r="P173" s="144"/>
      <c r="Q173" s="144"/>
      <c r="R173" s="144"/>
      <c r="S173" s="144"/>
      <c r="T173" s="144"/>
      <c r="U173" s="144"/>
      <c r="V173" s="144"/>
      <c r="W173" s="144"/>
      <c r="X173" s="144"/>
      <c r="Y173" s="144"/>
      <c r="Z173" s="144"/>
      <c r="AA173" s="10"/>
      <c r="AB173" s="10">
        <v>0.45</v>
      </c>
    </row>
    <row r="174" spans="1:28" x14ac:dyDescent="0.2">
      <c r="A174" s="10">
        <v>0.45</v>
      </c>
      <c r="B174" s="145" t="s">
        <v>498</v>
      </c>
      <c r="C174" s="144"/>
      <c r="D174" s="144"/>
      <c r="E174" s="144"/>
      <c r="F174" s="144"/>
      <c r="G174" s="144"/>
      <c r="H174" s="144"/>
      <c r="I174" s="144"/>
      <c r="J174" s="144"/>
      <c r="K174" s="144"/>
      <c r="L174" s="144"/>
      <c r="M174" s="144"/>
      <c r="N174" s="144"/>
      <c r="O174" s="144"/>
      <c r="P174" s="144"/>
      <c r="Q174" s="144"/>
      <c r="R174" s="144"/>
      <c r="S174" s="144"/>
      <c r="T174" s="144"/>
      <c r="U174" s="144"/>
      <c r="V174" s="144"/>
      <c r="W174" s="144"/>
      <c r="X174" s="144"/>
      <c r="Y174" s="144"/>
      <c r="Z174" s="144"/>
      <c r="AA174" s="10"/>
      <c r="AB174" s="10">
        <v>0.45</v>
      </c>
    </row>
    <row r="175" spans="1:28" x14ac:dyDescent="0.2">
      <c r="A175" s="10">
        <v>0.45</v>
      </c>
      <c r="B175" s="145" t="s">
        <v>508</v>
      </c>
      <c r="C175" s="144"/>
      <c r="D175" s="144"/>
      <c r="E175" s="144"/>
      <c r="F175" s="144"/>
      <c r="G175" s="144"/>
      <c r="H175" s="144"/>
      <c r="I175" s="144"/>
      <c r="J175" s="144"/>
      <c r="K175" s="144"/>
      <c r="L175" s="144"/>
      <c r="M175" s="144"/>
      <c r="N175" s="144"/>
      <c r="O175" s="144"/>
      <c r="P175" s="144"/>
      <c r="Q175" s="144"/>
      <c r="R175" s="144"/>
      <c r="S175" s="144"/>
      <c r="T175" s="144"/>
      <c r="U175" s="144"/>
      <c r="V175" s="144"/>
      <c r="W175" s="144"/>
      <c r="X175" s="144"/>
      <c r="Y175" s="144"/>
      <c r="Z175" s="144"/>
      <c r="AA175" s="10"/>
      <c r="AB175" s="10">
        <v>0.45</v>
      </c>
    </row>
    <row r="176" spans="1:28" x14ac:dyDescent="0.2">
      <c r="A176" s="10">
        <v>0.45</v>
      </c>
      <c r="B176" s="145" t="s">
        <v>499</v>
      </c>
      <c r="C176" s="144"/>
      <c r="D176" s="144"/>
      <c r="E176" s="144"/>
      <c r="F176" s="144"/>
      <c r="G176" s="144"/>
      <c r="H176" s="144"/>
      <c r="I176" s="144"/>
      <c r="J176" s="144"/>
      <c r="K176" s="144"/>
      <c r="L176" s="144"/>
      <c r="M176" s="144"/>
      <c r="N176" s="144"/>
      <c r="O176" s="144"/>
      <c r="P176" s="144"/>
      <c r="Q176" s="144"/>
      <c r="R176" s="144"/>
      <c r="S176" s="144"/>
      <c r="T176" s="144"/>
      <c r="U176" s="144"/>
      <c r="V176" s="144"/>
      <c r="W176" s="144"/>
      <c r="X176" s="144"/>
      <c r="Y176" s="144"/>
      <c r="Z176" s="144"/>
      <c r="AA176" s="10"/>
      <c r="AB176" s="10">
        <v>0.45</v>
      </c>
    </row>
    <row r="177" spans="1:28" x14ac:dyDescent="0.2">
      <c r="A177" s="10">
        <v>0.45</v>
      </c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>
        <v>0.45</v>
      </c>
    </row>
    <row r="178" spans="1:28" x14ac:dyDescent="0.2">
      <c r="A178" s="10">
        <v>0.45</v>
      </c>
      <c r="B178" s="24" t="s">
        <v>461</v>
      </c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10">
        <v>0.45</v>
      </c>
    </row>
    <row r="179" spans="1:28" x14ac:dyDescent="0.2">
      <c r="A179" s="10">
        <v>0.45</v>
      </c>
      <c r="B179" s="10"/>
      <c r="C179" s="10" t="s">
        <v>462</v>
      </c>
      <c r="D179" s="10"/>
      <c r="E179" s="58">
        <v>14350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>
        <v>0.45</v>
      </c>
    </row>
    <row r="180" spans="1:28" x14ac:dyDescent="0.2">
      <c r="A180" s="10">
        <v>0.45</v>
      </c>
      <c r="B180" s="10"/>
      <c r="C180" s="10" t="s">
        <v>463</v>
      </c>
      <c r="D180" s="10"/>
      <c r="E180" s="60">
        <v>1500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>
        <v>0.45</v>
      </c>
    </row>
    <row r="181" spans="1:28" x14ac:dyDescent="0.2">
      <c r="A181" s="10">
        <v>0.45</v>
      </c>
      <c r="B181" s="10"/>
      <c r="C181" s="10" t="s">
        <v>464</v>
      </c>
      <c r="D181" s="10"/>
      <c r="E181" s="12">
        <f>$E$179*$E$180/1000</f>
        <v>21525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>
        <v>0.45</v>
      </c>
    </row>
    <row r="182" spans="1:28" x14ac:dyDescent="0.2">
      <c r="A182" s="10">
        <v>0.45</v>
      </c>
      <c r="B182" s="10"/>
      <c r="C182" s="10" t="s">
        <v>465</v>
      </c>
      <c r="D182" s="10"/>
      <c r="E182" s="40">
        <v>2029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>
        <v>0.45</v>
      </c>
    </row>
    <row r="183" spans="1:28" x14ac:dyDescent="0.2">
      <c r="A183" s="10">
        <v>0.45</v>
      </c>
      <c r="B183" s="10"/>
      <c r="C183" s="10" t="s">
        <v>466</v>
      </c>
      <c r="D183" s="10"/>
      <c r="E183" s="113">
        <v>0.5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>
        <v>0.45</v>
      </c>
    </row>
    <row r="184" spans="1:28" x14ac:dyDescent="0.2">
      <c r="A184" s="10">
        <v>0.45</v>
      </c>
      <c r="B184" s="10"/>
      <c r="C184" s="10" t="s">
        <v>467</v>
      </c>
      <c r="D184" s="10"/>
      <c r="E184" s="107">
        <f>0.65%+3%+8%*25%+12%*9%</f>
        <v>6.7299999999999999E-2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>
        <v>0.45</v>
      </c>
    </row>
    <row r="185" spans="1:28" x14ac:dyDescent="0.2">
      <c r="A185" s="10">
        <v>0.45</v>
      </c>
      <c r="B185" s="10"/>
      <c r="C185" s="10" t="s">
        <v>468</v>
      </c>
      <c r="D185" s="10"/>
      <c r="E185" s="39">
        <v>0.03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>
        <v>0.45</v>
      </c>
    </row>
    <row r="186" spans="1:28" x14ac:dyDescent="0.2">
      <c r="A186" s="10">
        <v>0.45</v>
      </c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>
        <v>0.45</v>
      </c>
    </row>
    <row r="187" spans="1:28" x14ac:dyDescent="0.2">
      <c r="A187" s="10">
        <v>0.45</v>
      </c>
      <c r="B187" s="10"/>
      <c r="C187" s="13" t="s">
        <v>469</v>
      </c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>
        <v>0.45</v>
      </c>
    </row>
    <row r="188" spans="1:28" x14ac:dyDescent="0.2">
      <c r="A188" s="10">
        <v>0.45</v>
      </c>
      <c r="B188" s="10"/>
      <c r="C188" s="10" t="s">
        <v>470</v>
      </c>
      <c r="D188" s="10"/>
      <c r="E188" s="12">
        <f>$E$50*(1-$E$20-$E$23)</f>
        <v>4036.9718333527221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>
        <v>0.45</v>
      </c>
    </row>
    <row r="189" spans="1:28" x14ac:dyDescent="0.2">
      <c r="A189" s="10">
        <v>0.45</v>
      </c>
      <c r="B189" s="10"/>
      <c r="C189" s="10" t="s">
        <v>471</v>
      </c>
      <c r="D189" s="10"/>
      <c r="E189" s="18">
        <f>$E$37</f>
        <v>0.08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>
        <v>0.45</v>
      </c>
    </row>
    <row r="190" spans="1:28" x14ac:dyDescent="0.2">
      <c r="A190" s="10">
        <v>0.45</v>
      </c>
      <c r="B190" s="10"/>
      <c r="C190" s="10" t="s">
        <v>472</v>
      </c>
      <c r="D190" s="10"/>
      <c r="E190" s="12">
        <f>E188/E189</f>
        <v>50462.147916909023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>
        <v>0.45</v>
      </c>
    </row>
    <row r="191" spans="1:28" x14ac:dyDescent="0.2">
      <c r="A191" s="10">
        <v>0.45</v>
      </c>
      <c r="B191" s="10"/>
      <c r="C191" s="10" t="s">
        <v>473</v>
      </c>
      <c r="D191" s="10"/>
      <c r="E191" s="39">
        <v>0.15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>
        <v>0.45</v>
      </c>
    </row>
    <row r="192" spans="1:28" x14ac:dyDescent="0.2">
      <c r="A192" s="10">
        <v>0.45</v>
      </c>
      <c r="B192" s="10"/>
      <c r="C192" s="10" t="s">
        <v>474</v>
      </c>
      <c r="D192" s="10"/>
      <c r="E192" s="56">
        <f>E190-$E$63*(1+E191)</f>
        <v>-36569.852083090977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>
        <v>0.45</v>
      </c>
    </row>
    <row r="193" spans="1:28" x14ac:dyDescent="0.2">
      <c r="A193" s="10">
        <v>0.45</v>
      </c>
      <c r="B193" s="10"/>
      <c r="C193" s="10" t="s">
        <v>475</v>
      </c>
      <c r="D193" s="10"/>
      <c r="E193" s="146">
        <f>E192*1000/$E$179</f>
        <v>-2548.4217479505905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>
        <v>0.45</v>
      </c>
    </row>
    <row r="194" spans="1:28" x14ac:dyDescent="0.2">
      <c r="A194" s="10">
        <v>0.45</v>
      </c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>
        <v>0.45</v>
      </c>
    </row>
    <row r="195" spans="1:28" x14ac:dyDescent="0.2">
      <c r="A195" s="10">
        <v>0.45</v>
      </c>
      <c r="B195" s="10"/>
      <c r="C195" s="10" t="s">
        <v>476</v>
      </c>
      <c r="D195" s="10"/>
      <c r="E195" s="12">
        <f>SUM(G195:Z195)</f>
        <v>21525</v>
      </c>
      <c r="F195" s="12"/>
      <c r="G195" s="12">
        <f t="shared" ref="G195:Z195" si="46">$E$181*IF(G$6=$E$182,$E$183,IF(G$6=$E$182+1,1-$E$183,0))</f>
        <v>0</v>
      </c>
      <c r="H195" s="12">
        <f t="shared" si="46"/>
        <v>0</v>
      </c>
      <c r="I195" s="12">
        <f t="shared" si="46"/>
        <v>0</v>
      </c>
      <c r="J195" s="12">
        <f t="shared" si="46"/>
        <v>10762.5</v>
      </c>
      <c r="K195" s="12">
        <f t="shared" si="46"/>
        <v>10762.5</v>
      </c>
      <c r="L195" s="12">
        <f t="shared" si="46"/>
        <v>0</v>
      </c>
      <c r="M195" s="12">
        <f t="shared" si="46"/>
        <v>0</v>
      </c>
      <c r="N195" s="12">
        <f t="shared" si="46"/>
        <v>0</v>
      </c>
      <c r="O195" s="12">
        <f t="shared" si="46"/>
        <v>0</v>
      </c>
      <c r="P195" s="12">
        <f t="shared" si="46"/>
        <v>0</v>
      </c>
      <c r="Q195" s="12">
        <f t="shared" si="46"/>
        <v>0</v>
      </c>
      <c r="R195" s="12">
        <f t="shared" si="46"/>
        <v>0</v>
      </c>
      <c r="S195" s="12">
        <f t="shared" si="46"/>
        <v>0</v>
      </c>
      <c r="T195" s="12">
        <f t="shared" si="46"/>
        <v>0</v>
      </c>
      <c r="U195" s="12">
        <f t="shared" si="46"/>
        <v>0</v>
      </c>
      <c r="V195" s="12">
        <f t="shared" si="46"/>
        <v>0</v>
      </c>
      <c r="W195" s="12">
        <f t="shared" si="46"/>
        <v>0</v>
      </c>
      <c r="X195" s="12">
        <f t="shared" si="46"/>
        <v>0</v>
      </c>
      <c r="Y195" s="12">
        <f t="shared" si="46"/>
        <v>0</v>
      </c>
      <c r="Z195" s="12">
        <f t="shared" si="46"/>
        <v>0</v>
      </c>
      <c r="AA195" s="12"/>
      <c r="AB195" s="10">
        <v>0.45</v>
      </c>
    </row>
    <row r="196" spans="1:28" x14ac:dyDescent="0.2">
      <c r="A196" s="10">
        <v>0.45</v>
      </c>
      <c r="B196" s="10"/>
      <c r="C196" s="10" t="s">
        <v>477</v>
      </c>
      <c r="D196" s="10"/>
      <c r="E196" s="12">
        <f>SUM(G196:Z196)</f>
        <v>-1448.6324999999999</v>
      </c>
      <c r="F196" s="12"/>
      <c r="G196" s="12">
        <f t="shared" ref="G196:Z196" si="47">-G195*$E$184</f>
        <v>0</v>
      </c>
      <c r="H196" s="12">
        <f t="shared" si="47"/>
        <v>0</v>
      </c>
      <c r="I196" s="12">
        <f t="shared" si="47"/>
        <v>0</v>
      </c>
      <c r="J196" s="12">
        <f t="shared" si="47"/>
        <v>-724.31624999999997</v>
      </c>
      <c r="K196" s="12">
        <f t="shared" si="47"/>
        <v>-724.31624999999997</v>
      </c>
      <c r="L196" s="12">
        <f t="shared" si="47"/>
        <v>0</v>
      </c>
      <c r="M196" s="12">
        <f t="shared" si="47"/>
        <v>0</v>
      </c>
      <c r="N196" s="12">
        <f t="shared" si="47"/>
        <v>0</v>
      </c>
      <c r="O196" s="12">
        <f t="shared" si="47"/>
        <v>0</v>
      </c>
      <c r="P196" s="12">
        <f t="shared" si="47"/>
        <v>0</v>
      </c>
      <c r="Q196" s="12">
        <f t="shared" si="47"/>
        <v>0</v>
      </c>
      <c r="R196" s="12">
        <f t="shared" si="47"/>
        <v>0</v>
      </c>
      <c r="S196" s="12">
        <f t="shared" si="47"/>
        <v>0</v>
      </c>
      <c r="T196" s="12">
        <f t="shared" si="47"/>
        <v>0</v>
      </c>
      <c r="U196" s="12">
        <f t="shared" si="47"/>
        <v>0</v>
      </c>
      <c r="V196" s="12">
        <f t="shared" si="47"/>
        <v>0</v>
      </c>
      <c r="W196" s="12">
        <f t="shared" si="47"/>
        <v>0</v>
      </c>
      <c r="X196" s="12">
        <f t="shared" si="47"/>
        <v>0</v>
      </c>
      <c r="Y196" s="12">
        <f t="shared" si="47"/>
        <v>0</v>
      </c>
      <c r="Z196" s="12">
        <f t="shared" si="47"/>
        <v>0</v>
      </c>
      <c r="AA196" s="12"/>
      <c r="AB196" s="10">
        <v>0.45</v>
      </c>
    </row>
    <row r="197" spans="1:28" x14ac:dyDescent="0.2">
      <c r="A197" s="10">
        <v>0.45</v>
      </c>
      <c r="B197" s="10"/>
      <c r="C197" s="10" t="s">
        <v>478</v>
      </c>
      <c r="D197" s="10"/>
      <c r="E197" s="12">
        <f>SUM(G197:Z197)</f>
        <v>-645.75</v>
      </c>
      <c r="F197" s="12"/>
      <c r="G197" s="12">
        <f t="shared" ref="G197:Z197" si="48">-G195*$E$185</f>
        <v>0</v>
      </c>
      <c r="H197" s="12">
        <f t="shared" si="48"/>
        <v>0</v>
      </c>
      <c r="I197" s="12">
        <f t="shared" si="48"/>
        <v>0</v>
      </c>
      <c r="J197" s="12">
        <f t="shared" si="48"/>
        <v>-322.875</v>
      </c>
      <c r="K197" s="12">
        <f t="shared" si="48"/>
        <v>-322.875</v>
      </c>
      <c r="L197" s="12">
        <f t="shared" si="48"/>
        <v>0</v>
      </c>
      <c r="M197" s="12">
        <f t="shared" si="48"/>
        <v>0</v>
      </c>
      <c r="N197" s="12">
        <f t="shared" si="48"/>
        <v>0</v>
      </c>
      <c r="O197" s="12">
        <f t="shared" si="48"/>
        <v>0</v>
      </c>
      <c r="P197" s="12">
        <f t="shared" si="48"/>
        <v>0</v>
      </c>
      <c r="Q197" s="12">
        <f t="shared" si="48"/>
        <v>0</v>
      </c>
      <c r="R197" s="12">
        <f t="shared" si="48"/>
        <v>0</v>
      </c>
      <c r="S197" s="12">
        <f t="shared" si="48"/>
        <v>0</v>
      </c>
      <c r="T197" s="12">
        <f t="shared" si="48"/>
        <v>0</v>
      </c>
      <c r="U197" s="12">
        <f t="shared" si="48"/>
        <v>0</v>
      </c>
      <c r="V197" s="12">
        <f t="shared" si="48"/>
        <v>0</v>
      </c>
      <c r="W197" s="12">
        <f t="shared" si="48"/>
        <v>0</v>
      </c>
      <c r="X197" s="12">
        <f t="shared" si="48"/>
        <v>0</v>
      </c>
      <c r="Y197" s="12">
        <f t="shared" si="48"/>
        <v>0</v>
      </c>
      <c r="Z197" s="12">
        <f t="shared" si="48"/>
        <v>0</v>
      </c>
      <c r="AA197" s="12"/>
      <c r="AB197" s="10">
        <v>0.45</v>
      </c>
    </row>
    <row r="198" spans="1:28" x14ac:dyDescent="0.2">
      <c r="A198" s="10">
        <v>0.45</v>
      </c>
      <c r="B198" s="50" t="s">
        <v>479</v>
      </c>
      <c r="C198" s="50"/>
      <c r="D198" s="50"/>
      <c r="E198" s="50">
        <f>SUM(G198:Z198)</f>
        <v>19430.6175</v>
      </c>
      <c r="F198" s="50"/>
      <c r="G198" s="50">
        <f t="shared" ref="G198:Z198" si="49">SUM(G195:G197)</f>
        <v>0</v>
      </c>
      <c r="H198" s="50">
        <f t="shared" si="49"/>
        <v>0</v>
      </c>
      <c r="I198" s="50">
        <f t="shared" si="49"/>
        <v>0</v>
      </c>
      <c r="J198" s="50">
        <f t="shared" si="49"/>
        <v>9715.3087500000001</v>
      </c>
      <c r="K198" s="50">
        <f t="shared" si="49"/>
        <v>9715.3087500000001</v>
      </c>
      <c r="L198" s="50">
        <f t="shared" si="49"/>
        <v>0</v>
      </c>
      <c r="M198" s="50">
        <f t="shared" si="49"/>
        <v>0</v>
      </c>
      <c r="N198" s="50">
        <f t="shared" si="49"/>
        <v>0</v>
      </c>
      <c r="O198" s="50">
        <f t="shared" si="49"/>
        <v>0</v>
      </c>
      <c r="P198" s="50">
        <f t="shared" si="49"/>
        <v>0</v>
      </c>
      <c r="Q198" s="50">
        <f t="shared" si="49"/>
        <v>0</v>
      </c>
      <c r="R198" s="50">
        <f t="shared" si="49"/>
        <v>0</v>
      </c>
      <c r="S198" s="50">
        <f t="shared" si="49"/>
        <v>0</v>
      </c>
      <c r="T198" s="50">
        <f t="shared" si="49"/>
        <v>0</v>
      </c>
      <c r="U198" s="50">
        <f t="shared" si="49"/>
        <v>0</v>
      </c>
      <c r="V198" s="50">
        <f t="shared" si="49"/>
        <v>0</v>
      </c>
      <c r="W198" s="50">
        <f t="shared" si="49"/>
        <v>0</v>
      </c>
      <c r="X198" s="50">
        <f t="shared" si="49"/>
        <v>0</v>
      </c>
      <c r="Y198" s="50">
        <f t="shared" si="49"/>
        <v>0</v>
      </c>
      <c r="Z198" s="50">
        <f t="shared" si="49"/>
        <v>0</v>
      </c>
      <c r="AA198" s="50">
        <v>0</v>
      </c>
      <c r="AB198" s="10">
        <v>0.45</v>
      </c>
    </row>
    <row r="199" spans="1:28" x14ac:dyDescent="0.2">
      <c r="A199" s="10">
        <v>0.45</v>
      </c>
      <c r="B199" s="10"/>
      <c r="C199" s="23" t="s">
        <v>444</v>
      </c>
      <c r="D199" s="23"/>
      <c r="E199" s="66"/>
      <c r="F199" s="66"/>
      <c r="G199" s="66">
        <f>G198</f>
        <v>0</v>
      </c>
      <c r="H199" s="66">
        <f t="shared" ref="H199:Z199" si="50">G199+H198</f>
        <v>0</v>
      </c>
      <c r="I199" s="66">
        <f t="shared" si="50"/>
        <v>0</v>
      </c>
      <c r="J199" s="66">
        <f t="shared" si="50"/>
        <v>9715.3087500000001</v>
      </c>
      <c r="K199" s="66">
        <f t="shared" si="50"/>
        <v>19430.6175</v>
      </c>
      <c r="L199" s="66">
        <f t="shared" si="50"/>
        <v>19430.6175</v>
      </c>
      <c r="M199" s="66">
        <f t="shared" si="50"/>
        <v>19430.6175</v>
      </c>
      <c r="N199" s="66">
        <f t="shared" si="50"/>
        <v>19430.6175</v>
      </c>
      <c r="O199" s="66">
        <f t="shared" si="50"/>
        <v>19430.6175</v>
      </c>
      <c r="P199" s="66">
        <f t="shared" si="50"/>
        <v>19430.6175</v>
      </c>
      <c r="Q199" s="66">
        <f t="shared" si="50"/>
        <v>19430.6175</v>
      </c>
      <c r="R199" s="66">
        <f t="shared" si="50"/>
        <v>19430.6175</v>
      </c>
      <c r="S199" s="66">
        <f t="shared" si="50"/>
        <v>19430.6175</v>
      </c>
      <c r="T199" s="66">
        <f t="shared" si="50"/>
        <v>19430.6175</v>
      </c>
      <c r="U199" s="66">
        <f t="shared" si="50"/>
        <v>19430.6175</v>
      </c>
      <c r="V199" s="66">
        <f t="shared" si="50"/>
        <v>19430.6175</v>
      </c>
      <c r="W199" s="66">
        <f t="shared" si="50"/>
        <v>19430.6175</v>
      </c>
      <c r="X199" s="66">
        <f t="shared" si="50"/>
        <v>19430.6175</v>
      </c>
      <c r="Y199" s="66">
        <f t="shared" si="50"/>
        <v>19430.6175</v>
      </c>
      <c r="Z199" s="66">
        <f t="shared" si="50"/>
        <v>19430.6175</v>
      </c>
      <c r="AA199" s="66"/>
      <c r="AB199" s="10">
        <v>0.45</v>
      </c>
    </row>
    <row r="200" spans="1:28" x14ac:dyDescent="0.2">
      <c r="A200" s="10">
        <v>0.45</v>
      </c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>
        <v>0.45</v>
      </c>
    </row>
    <row r="201" spans="1:28" x14ac:dyDescent="0.2">
      <c r="A201" s="10">
        <v>0.45</v>
      </c>
      <c r="B201" s="24" t="s">
        <v>481</v>
      </c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10">
        <v>0.45</v>
      </c>
    </row>
    <row r="202" spans="1:28" x14ac:dyDescent="0.2">
      <c r="A202" s="10">
        <v>0.45</v>
      </c>
      <c r="B202" s="10"/>
      <c r="C202" s="10" t="s">
        <v>505</v>
      </c>
      <c r="D202" s="10"/>
      <c r="E202" s="147">
        <f>ROUNDUP(E215,-1)</f>
        <v>18470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>
        <v>0.45</v>
      </c>
    </row>
    <row r="203" spans="1:28" x14ac:dyDescent="0.2">
      <c r="A203" s="10">
        <v>0.45</v>
      </c>
      <c r="B203" s="10"/>
      <c r="C203" s="10" t="s">
        <v>482</v>
      </c>
      <c r="D203" s="10"/>
      <c r="E203" s="106">
        <f>$E$48</f>
        <v>4455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>
        <v>0.45</v>
      </c>
    </row>
    <row r="204" spans="1:28" x14ac:dyDescent="0.2">
      <c r="A204" s="10">
        <v>0.45</v>
      </c>
      <c r="B204" s="10"/>
      <c r="C204" s="10" t="s">
        <v>483</v>
      </c>
      <c r="D204" s="10"/>
      <c r="E204" s="12">
        <f>$E$202*$E$203/1000</f>
        <v>82283.850000000006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>
        <v>0.45</v>
      </c>
    </row>
    <row r="205" spans="1:28" x14ac:dyDescent="0.2">
      <c r="A205" s="10">
        <v>0.45</v>
      </c>
      <c r="B205" s="10"/>
      <c r="C205" s="10" t="s">
        <v>484</v>
      </c>
      <c r="D205" s="10"/>
      <c r="E205" s="113">
        <v>0.2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>
        <v>0.45</v>
      </c>
    </row>
    <row r="206" spans="1:28" x14ac:dyDescent="0.2">
      <c r="A206" s="10">
        <v>0.45</v>
      </c>
      <c r="B206" s="10"/>
      <c r="C206" s="10" t="s">
        <v>485</v>
      </c>
      <c r="D206" s="10"/>
      <c r="E206" s="113">
        <v>0.3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>
        <v>0.45</v>
      </c>
    </row>
    <row r="207" spans="1:28" x14ac:dyDescent="0.2">
      <c r="A207" s="10">
        <v>0.45</v>
      </c>
      <c r="B207" s="10"/>
      <c r="C207" s="10" t="s">
        <v>486</v>
      </c>
      <c r="D207" s="10"/>
      <c r="E207" s="39">
        <v>0.03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>
        <v>0.45</v>
      </c>
    </row>
    <row r="208" spans="1:28" x14ac:dyDescent="0.2">
      <c r="A208" s="10">
        <v>0.45</v>
      </c>
      <c r="B208" s="10"/>
      <c r="C208" s="10" t="s">
        <v>390</v>
      </c>
      <c r="D208" s="10"/>
      <c r="E208" s="18">
        <f>$E$40</f>
        <v>0.04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>
        <v>0.45</v>
      </c>
    </row>
    <row r="209" spans="1:28" x14ac:dyDescent="0.2">
      <c r="A209" s="10">
        <v>0.45</v>
      </c>
      <c r="B209" s="10"/>
      <c r="C209" s="10" t="s">
        <v>487</v>
      </c>
      <c r="D209" s="10"/>
      <c r="E209" s="12">
        <f>$E$59+$E$61+$E$62</f>
        <v>68480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>
        <v>0.45</v>
      </c>
    </row>
    <row r="210" spans="1:28" x14ac:dyDescent="0.2">
      <c r="A210" s="10">
        <v>0.45</v>
      </c>
      <c r="B210" s="10"/>
      <c r="C210" s="10" t="s">
        <v>488</v>
      </c>
      <c r="D210" s="10"/>
      <c r="E210" s="135">
        <f>$E$209*1000/$E$203</f>
        <v>15371.492704826038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>
        <v>0.45</v>
      </c>
    </row>
    <row r="211" spans="1:28" x14ac:dyDescent="0.2">
      <c r="A211" s="10">
        <v>0.45</v>
      </c>
      <c r="B211" s="10"/>
      <c r="C211" s="10" t="s">
        <v>489</v>
      </c>
      <c r="D211" s="10"/>
      <c r="E211" s="55">
        <f>($E$204*(1-$E$207-$E$208)-$E$209)/$E$204</f>
        <v>9.7758922315861557E-2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>
        <v>0.45</v>
      </c>
    </row>
    <row r="212" spans="1:28" x14ac:dyDescent="0.2">
      <c r="A212" s="10">
        <v>0.45</v>
      </c>
      <c r="B212" s="10"/>
      <c r="C212" s="10" t="s">
        <v>490</v>
      </c>
      <c r="D212" s="10"/>
      <c r="E212" s="135">
        <f>$E$209/(1-$E$207-$E$208)*1000/$E$203</f>
        <v>16528.486779382834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>
        <v>0.45</v>
      </c>
    </row>
    <row r="213" spans="1:28" x14ac:dyDescent="0.2">
      <c r="A213" s="10">
        <v>0.45</v>
      </c>
      <c r="B213" s="10"/>
      <c r="C213" s="10" t="s">
        <v>506</v>
      </c>
      <c r="D213" s="10"/>
      <c r="E213" s="55">
        <f>$E$188/($E$204+$E$60)</f>
        <v>4.5113971217741772E-2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>
        <v>0.45</v>
      </c>
    </row>
    <row r="214" spans="1:28" x14ac:dyDescent="0.2">
      <c r="A214" s="7"/>
      <c r="B214" s="7"/>
      <c r="C214" s="7" t="s">
        <v>500</v>
      </c>
      <c r="D214" s="7"/>
      <c r="E214" s="85">
        <v>0.18</v>
      </c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 spans="1:28" x14ac:dyDescent="0.2">
      <c r="A215" s="7"/>
      <c r="B215" s="7"/>
      <c r="C215" s="7" t="s">
        <v>501</v>
      </c>
      <c r="D215" s="7"/>
      <c r="E215" s="148" cm="1">
        <f t="array" ref="E215">-SUMPRODUCT($G$223:$Z$223,1/(1+$E$214)^($G$6:$Z$6-$G$6))/((1-$E$207-$E$208)*($E$205/(1+$E$214)^($E$34-$G$6)+$E$206/(1+$E$214)^($E$34+1-$G$6)+(1-$E$205-$E$206)/(1+$E$214)^($E$36-$G$6)))*1000/$E$203</f>
        <v>18462.02549841773</v>
      </c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 spans="1:28" x14ac:dyDescent="0.2">
      <c r="A216" s="7"/>
      <c r="B216" s="7"/>
      <c r="C216" s="7" t="s">
        <v>502</v>
      </c>
      <c r="D216" s="7"/>
      <c r="E216" s="43">
        <f>$E$188/$E$204</f>
        <v>4.9061533136243889E-2</v>
      </c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 spans="1:28" x14ac:dyDescent="0.2">
      <c r="A217" s="7"/>
      <c r="B217" s="7"/>
      <c r="C217" s="7" t="s">
        <v>503</v>
      </c>
      <c r="D217" s="7"/>
      <c r="E217" s="43">
        <f>$E$188/($E$204+$E$60)</f>
        <v>4.5113971217741772E-2</v>
      </c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 spans="1:28" x14ac:dyDescent="0.2">
      <c r="A218" s="7"/>
      <c r="B218" s="7"/>
      <c r="C218" s="7" t="s">
        <v>504</v>
      </c>
      <c r="D218" s="7"/>
      <c r="E218" s="43">
        <f>IRR($G$224:$AA$224)</f>
        <v>0.18080179139693242</v>
      </c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 spans="1:28" x14ac:dyDescent="0.2">
      <c r="A219" s="10">
        <v>0.45</v>
      </c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>
        <v>0.45</v>
      </c>
    </row>
    <row r="220" spans="1:28" x14ac:dyDescent="0.2">
      <c r="A220" s="10">
        <v>0.45</v>
      </c>
      <c r="B220" s="10"/>
      <c r="C220" s="10" t="s">
        <v>491</v>
      </c>
      <c r="D220" s="10"/>
      <c r="E220" s="12">
        <f>SUM(G220:Z220)</f>
        <v>82283.850000000006</v>
      </c>
      <c r="F220" s="12"/>
      <c r="G220" s="12">
        <f t="shared" ref="G220:Z220" si="51">$E$204*IF(G$6=$E$34,$E$205,IF(G$6=$E$34+1,$E$206,IF(G$6=$E$36,1-$E$205-$E$206,0)))</f>
        <v>0</v>
      </c>
      <c r="H220" s="12">
        <f t="shared" si="51"/>
        <v>0</v>
      </c>
      <c r="I220" s="12">
        <f t="shared" si="51"/>
        <v>0</v>
      </c>
      <c r="J220" s="12">
        <f t="shared" si="51"/>
        <v>16456.77</v>
      </c>
      <c r="K220" s="12">
        <f t="shared" si="51"/>
        <v>24685.155000000002</v>
      </c>
      <c r="L220" s="12">
        <f t="shared" si="51"/>
        <v>41141.925000000003</v>
      </c>
      <c r="M220" s="12">
        <f t="shared" si="51"/>
        <v>0</v>
      </c>
      <c r="N220" s="12">
        <f t="shared" si="51"/>
        <v>0</v>
      </c>
      <c r="O220" s="12">
        <f t="shared" si="51"/>
        <v>0</v>
      </c>
      <c r="P220" s="12">
        <f t="shared" si="51"/>
        <v>0</v>
      </c>
      <c r="Q220" s="12">
        <f t="shared" si="51"/>
        <v>0</v>
      </c>
      <c r="R220" s="12">
        <f t="shared" si="51"/>
        <v>0</v>
      </c>
      <c r="S220" s="12">
        <f t="shared" si="51"/>
        <v>0</v>
      </c>
      <c r="T220" s="12">
        <f t="shared" si="51"/>
        <v>0</v>
      </c>
      <c r="U220" s="12">
        <f t="shared" si="51"/>
        <v>0</v>
      </c>
      <c r="V220" s="12">
        <f t="shared" si="51"/>
        <v>0</v>
      </c>
      <c r="W220" s="12">
        <f t="shared" si="51"/>
        <v>0</v>
      </c>
      <c r="X220" s="12">
        <f t="shared" si="51"/>
        <v>0</v>
      </c>
      <c r="Y220" s="12">
        <f t="shared" si="51"/>
        <v>0</v>
      </c>
      <c r="Z220" s="12">
        <f t="shared" si="51"/>
        <v>0</v>
      </c>
      <c r="AA220" s="12"/>
      <c r="AB220" s="10">
        <v>0.45</v>
      </c>
    </row>
    <row r="221" spans="1:28" x14ac:dyDescent="0.2">
      <c r="A221" s="10">
        <v>0.45</v>
      </c>
      <c r="B221" s="10"/>
      <c r="C221" s="10" t="s">
        <v>492</v>
      </c>
      <c r="D221" s="10"/>
      <c r="E221" s="12">
        <f>SUM(G221:Z221)</f>
        <v>-3291.3540000000003</v>
      </c>
      <c r="F221" s="12"/>
      <c r="G221" s="12">
        <f t="shared" ref="G221:Z221" si="52">-G220*$E$208</f>
        <v>0</v>
      </c>
      <c r="H221" s="12">
        <f t="shared" si="52"/>
        <v>0</v>
      </c>
      <c r="I221" s="12">
        <f t="shared" si="52"/>
        <v>0</v>
      </c>
      <c r="J221" s="12">
        <f t="shared" si="52"/>
        <v>-658.27080000000001</v>
      </c>
      <c r="K221" s="12">
        <f t="shared" si="52"/>
        <v>-987.40620000000013</v>
      </c>
      <c r="L221" s="12">
        <f t="shared" si="52"/>
        <v>-1645.6770000000001</v>
      </c>
      <c r="M221" s="12">
        <f t="shared" si="52"/>
        <v>0</v>
      </c>
      <c r="N221" s="12">
        <f t="shared" si="52"/>
        <v>0</v>
      </c>
      <c r="O221" s="12">
        <f t="shared" si="52"/>
        <v>0</v>
      </c>
      <c r="P221" s="12">
        <f t="shared" si="52"/>
        <v>0</v>
      </c>
      <c r="Q221" s="12">
        <f t="shared" si="52"/>
        <v>0</v>
      </c>
      <c r="R221" s="12">
        <f t="shared" si="52"/>
        <v>0</v>
      </c>
      <c r="S221" s="12">
        <f t="shared" si="52"/>
        <v>0</v>
      </c>
      <c r="T221" s="12">
        <f t="shared" si="52"/>
        <v>0</v>
      </c>
      <c r="U221" s="12">
        <f t="shared" si="52"/>
        <v>0</v>
      </c>
      <c r="V221" s="12">
        <f t="shared" si="52"/>
        <v>0</v>
      </c>
      <c r="W221" s="12">
        <f t="shared" si="52"/>
        <v>0</v>
      </c>
      <c r="X221" s="12">
        <f t="shared" si="52"/>
        <v>0</v>
      </c>
      <c r="Y221" s="12">
        <f t="shared" si="52"/>
        <v>0</v>
      </c>
      <c r="Z221" s="12">
        <f t="shared" si="52"/>
        <v>0</v>
      </c>
      <c r="AA221" s="12"/>
      <c r="AB221" s="10">
        <v>0.45</v>
      </c>
    </row>
    <row r="222" spans="1:28" x14ac:dyDescent="0.2">
      <c r="A222" s="10">
        <v>0.45</v>
      </c>
      <c r="B222" s="10"/>
      <c r="C222" s="10" t="s">
        <v>478</v>
      </c>
      <c r="D222" s="10"/>
      <c r="E222" s="12">
        <f>SUM(G222:Z222)</f>
        <v>-2468.5155</v>
      </c>
      <c r="F222" s="12"/>
      <c r="G222" s="12">
        <f t="shared" ref="G222:Z222" si="53">-G220*$E$207</f>
        <v>0</v>
      </c>
      <c r="H222" s="12">
        <f t="shared" si="53"/>
        <v>0</v>
      </c>
      <c r="I222" s="12">
        <f t="shared" si="53"/>
        <v>0</v>
      </c>
      <c r="J222" s="12">
        <f t="shared" si="53"/>
        <v>-493.70310000000001</v>
      </c>
      <c r="K222" s="12">
        <f t="shared" si="53"/>
        <v>-740.55465000000004</v>
      </c>
      <c r="L222" s="12">
        <f t="shared" si="53"/>
        <v>-1234.25775</v>
      </c>
      <c r="M222" s="12">
        <f t="shared" si="53"/>
        <v>0</v>
      </c>
      <c r="N222" s="12">
        <f t="shared" si="53"/>
        <v>0</v>
      </c>
      <c r="O222" s="12">
        <f t="shared" si="53"/>
        <v>0</v>
      </c>
      <c r="P222" s="12">
        <f t="shared" si="53"/>
        <v>0</v>
      </c>
      <c r="Q222" s="12">
        <f t="shared" si="53"/>
        <v>0</v>
      </c>
      <c r="R222" s="12">
        <f t="shared" si="53"/>
        <v>0</v>
      </c>
      <c r="S222" s="12">
        <f t="shared" si="53"/>
        <v>0</v>
      </c>
      <c r="T222" s="12">
        <f t="shared" si="53"/>
        <v>0</v>
      </c>
      <c r="U222" s="12">
        <f t="shared" si="53"/>
        <v>0</v>
      </c>
      <c r="V222" s="12">
        <f t="shared" si="53"/>
        <v>0</v>
      </c>
      <c r="W222" s="12">
        <f t="shared" si="53"/>
        <v>0</v>
      </c>
      <c r="X222" s="12">
        <f t="shared" si="53"/>
        <v>0</v>
      </c>
      <c r="Y222" s="12">
        <f t="shared" si="53"/>
        <v>0</v>
      </c>
      <c r="Z222" s="12">
        <f t="shared" si="53"/>
        <v>0</v>
      </c>
      <c r="AA222" s="12"/>
      <c r="AB222" s="10">
        <v>0.45</v>
      </c>
    </row>
    <row r="223" spans="1:28" x14ac:dyDescent="0.2">
      <c r="A223" s="10">
        <v>0.45</v>
      </c>
      <c r="B223" s="10"/>
      <c r="C223" s="10" t="s">
        <v>493</v>
      </c>
      <c r="D223" s="10"/>
      <c r="E223" s="12">
        <f>SUM(G223:Z223)</f>
        <v>-68480</v>
      </c>
      <c r="F223" s="12"/>
      <c r="G223" s="12">
        <f t="shared" ref="G223:Z223" si="54">-(G59+G61+G62)</f>
        <v>0</v>
      </c>
      <c r="H223" s="12">
        <f t="shared" si="54"/>
        <v>0</v>
      </c>
      <c r="I223" s="12">
        <f t="shared" si="54"/>
        <v>0</v>
      </c>
      <c r="J223" s="12">
        <f t="shared" si="54"/>
        <v>-27392</v>
      </c>
      <c r="K223" s="12">
        <f t="shared" si="54"/>
        <v>-41088</v>
      </c>
      <c r="L223" s="12">
        <f t="shared" si="54"/>
        <v>0</v>
      </c>
      <c r="M223" s="12">
        <f t="shared" si="54"/>
        <v>0</v>
      </c>
      <c r="N223" s="12">
        <f t="shared" si="54"/>
        <v>0</v>
      </c>
      <c r="O223" s="12">
        <f t="shared" si="54"/>
        <v>0</v>
      </c>
      <c r="P223" s="12">
        <f t="shared" si="54"/>
        <v>0</v>
      </c>
      <c r="Q223" s="12">
        <f t="shared" si="54"/>
        <v>0</v>
      </c>
      <c r="R223" s="12">
        <f t="shared" si="54"/>
        <v>0</v>
      </c>
      <c r="S223" s="12">
        <f t="shared" si="54"/>
        <v>0</v>
      </c>
      <c r="T223" s="12">
        <f t="shared" si="54"/>
        <v>0</v>
      </c>
      <c r="U223" s="12">
        <f t="shared" si="54"/>
        <v>0</v>
      </c>
      <c r="V223" s="12">
        <f t="shared" si="54"/>
        <v>0</v>
      </c>
      <c r="W223" s="12">
        <f t="shared" si="54"/>
        <v>0</v>
      </c>
      <c r="X223" s="12">
        <f t="shared" si="54"/>
        <v>0</v>
      </c>
      <c r="Y223" s="12">
        <f t="shared" si="54"/>
        <v>0</v>
      </c>
      <c r="Z223" s="12">
        <f t="shared" si="54"/>
        <v>0</v>
      </c>
      <c r="AA223" s="12"/>
      <c r="AB223" s="10">
        <v>0.45</v>
      </c>
    </row>
    <row r="224" spans="1:28" x14ac:dyDescent="0.2">
      <c r="A224" s="10">
        <v>0.45</v>
      </c>
      <c r="B224" s="50" t="s">
        <v>494</v>
      </c>
      <c r="C224" s="50"/>
      <c r="D224" s="50"/>
      <c r="E224" s="50">
        <f>SUM(G224:Z224)</f>
        <v>8043.9805000000051</v>
      </c>
      <c r="F224" s="50"/>
      <c r="G224" s="50">
        <f t="shared" ref="G224:Z224" si="55">SUM(G220:G223)</f>
        <v>0</v>
      </c>
      <c r="H224" s="50">
        <f t="shared" si="55"/>
        <v>0</v>
      </c>
      <c r="I224" s="50">
        <f t="shared" si="55"/>
        <v>0</v>
      </c>
      <c r="J224" s="50">
        <f t="shared" si="55"/>
        <v>-12087.2039</v>
      </c>
      <c r="K224" s="50">
        <f t="shared" si="55"/>
        <v>-18130.805849999997</v>
      </c>
      <c r="L224" s="50">
        <f t="shared" si="55"/>
        <v>38261.990250000003</v>
      </c>
      <c r="M224" s="50">
        <f t="shared" si="55"/>
        <v>0</v>
      </c>
      <c r="N224" s="50">
        <f t="shared" si="55"/>
        <v>0</v>
      </c>
      <c r="O224" s="50">
        <f t="shared" si="55"/>
        <v>0</v>
      </c>
      <c r="P224" s="50">
        <f t="shared" si="55"/>
        <v>0</v>
      </c>
      <c r="Q224" s="50">
        <f t="shared" si="55"/>
        <v>0</v>
      </c>
      <c r="R224" s="50">
        <f t="shared" si="55"/>
        <v>0</v>
      </c>
      <c r="S224" s="50">
        <f t="shared" si="55"/>
        <v>0</v>
      </c>
      <c r="T224" s="50">
        <f t="shared" si="55"/>
        <v>0</v>
      </c>
      <c r="U224" s="50">
        <f t="shared" si="55"/>
        <v>0</v>
      </c>
      <c r="V224" s="50">
        <f t="shared" si="55"/>
        <v>0</v>
      </c>
      <c r="W224" s="50">
        <f t="shared" si="55"/>
        <v>0</v>
      </c>
      <c r="X224" s="50">
        <f t="shared" si="55"/>
        <v>0</v>
      </c>
      <c r="Y224" s="50">
        <f t="shared" si="55"/>
        <v>0</v>
      </c>
      <c r="Z224" s="50">
        <f t="shared" si="55"/>
        <v>0</v>
      </c>
      <c r="AA224" s="50">
        <v>0</v>
      </c>
      <c r="AB224" s="10">
        <v>0.45</v>
      </c>
    </row>
    <row r="225" spans="1:28" x14ac:dyDescent="0.2">
      <c r="A225" s="10">
        <v>0.45</v>
      </c>
      <c r="B225" s="10"/>
      <c r="C225" s="23" t="s">
        <v>444</v>
      </c>
      <c r="D225" s="23"/>
      <c r="F225" s="66"/>
      <c r="G225" s="66">
        <f>G224</f>
        <v>0</v>
      </c>
      <c r="H225" s="66">
        <f t="shared" ref="H225:Z225" si="56">G225+H224</f>
        <v>0</v>
      </c>
      <c r="I225" s="66">
        <f t="shared" si="56"/>
        <v>0</v>
      </c>
      <c r="J225" s="66">
        <f t="shared" si="56"/>
        <v>-12087.2039</v>
      </c>
      <c r="K225" s="66">
        <f t="shared" si="56"/>
        <v>-30218.009749999997</v>
      </c>
      <c r="L225" s="66">
        <f t="shared" si="56"/>
        <v>8043.9805000000051</v>
      </c>
      <c r="M225" s="66">
        <f t="shared" si="56"/>
        <v>8043.9805000000051</v>
      </c>
      <c r="N225" s="66">
        <f t="shared" si="56"/>
        <v>8043.9805000000051</v>
      </c>
      <c r="O225" s="66">
        <f t="shared" si="56"/>
        <v>8043.9805000000051</v>
      </c>
      <c r="P225" s="66">
        <f t="shared" si="56"/>
        <v>8043.9805000000051</v>
      </c>
      <c r="Q225" s="66">
        <f t="shared" si="56"/>
        <v>8043.9805000000051</v>
      </c>
      <c r="R225" s="66">
        <f t="shared" si="56"/>
        <v>8043.9805000000051</v>
      </c>
      <c r="S225" s="66">
        <f t="shared" si="56"/>
        <v>8043.9805000000051</v>
      </c>
      <c r="T225" s="66">
        <f t="shared" si="56"/>
        <v>8043.9805000000051</v>
      </c>
      <c r="U225" s="66">
        <f t="shared" si="56"/>
        <v>8043.9805000000051</v>
      </c>
      <c r="V225" s="66">
        <f t="shared" si="56"/>
        <v>8043.9805000000051</v>
      </c>
      <c r="W225" s="66">
        <f t="shared" si="56"/>
        <v>8043.9805000000051</v>
      </c>
      <c r="X225" s="66">
        <f t="shared" si="56"/>
        <v>8043.9805000000051</v>
      </c>
      <c r="Y225" s="66">
        <f t="shared" si="56"/>
        <v>8043.9805000000051</v>
      </c>
      <c r="Z225" s="66">
        <f t="shared" si="56"/>
        <v>8043.9805000000051</v>
      </c>
      <c r="AA225" s="66"/>
      <c r="AB225" s="10">
        <v>0.45</v>
      </c>
    </row>
    <row r="226" spans="1:28" x14ac:dyDescent="0.2">
      <c r="A226" s="10">
        <v>0.45</v>
      </c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>
        <v>0.45</v>
      </c>
    </row>
    <row r="227" spans="1:28" x14ac:dyDescent="0.2">
      <c r="A227" s="10">
        <v>0.45</v>
      </c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>
        <v>0.45</v>
      </c>
    </row>
    <row r="228" spans="1:28" x14ac:dyDescent="0.2">
      <c r="A228" s="10">
        <v>0.45</v>
      </c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>
        <v>0.45</v>
      </c>
    </row>
    <row r="231" spans="1:28" x14ac:dyDescent="0.2">
      <c r="A231">
        <v>0.45</v>
      </c>
      <c r="B231" s="24" t="s">
        <v>630</v>
      </c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>
        <v>0.45</v>
      </c>
    </row>
    <row r="232" spans="1:28" x14ac:dyDescent="0.2">
      <c r="A232">
        <v>0.45</v>
      </c>
      <c r="B232" s="185" t="s">
        <v>613</v>
      </c>
      <c r="C232" s="167" t="str">
        <f>"Senior Living: strong demographic demand, but a yield of "&amp;TEXT($E$217,"0,0%")&amp;" for the operator limits the building price"</f>
        <v>Senior Living: demanda demográfica forte, mas yield de 4,5% para o operador limita o preço do prédio</v>
      </c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>
        <v>0.45</v>
      </c>
    </row>
    <row r="233" spans="1:28" x14ac:dyDescent="0.2">
      <c r="A233">
        <v>0.45</v>
      </c>
      <c r="B233" s="185" t="s">
        <v>614</v>
      </c>
      <c r="C233" s="168" t="str">
        <f>"RS is the country's oldest state; the product closes an IRR of "&amp;TEXT($K$164,"0,0%")&amp;" selling the shell to the operator, but the convention center delivers a yield of "&amp;TEXT('CONVENTION CENTER'!$E$102,"0,0%")&amp;" on the same land."</f>
        <v>RS é o estado mais envelhecido do país; o produto fecha TIR de 18,1% vendendo a casca ao operador, porém o centro de convenções entrega yield de 12,3% no mesmo terreno.</v>
      </c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>
        <v>0.45</v>
      </c>
    </row>
    <row r="234" spans="1:28" x14ac:dyDescent="0.2">
      <c r="A234">
        <v>0.45</v>
      </c>
      <c r="B234" s="186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>
        <v>0.45</v>
      </c>
    </row>
    <row r="235" spans="1:28" x14ac:dyDescent="0.2">
      <c r="A235">
        <v>0.45</v>
      </c>
      <c r="B235" s="175" t="s">
        <v>631</v>
      </c>
      <c r="C235" s="169"/>
      <c r="D235" s="169"/>
      <c r="E235" s="169"/>
      <c r="F235" s="169"/>
      <c r="G235" s="169"/>
      <c r="H235" s="169"/>
      <c r="I235" s="169"/>
      <c r="J235" s="169"/>
      <c r="K235" s="169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>
        <v>0.45</v>
      </c>
    </row>
    <row r="236" spans="1:28" x14ac:dyDescent="0.2">
      <c r="A236">
        <v>0.45</v>
      </c>
      <c r="B236" s="186" t="s">
        <v>616</v>
      </c>
      <c r="C236" s="7" t="str">
        <f>"RS has the country's highest share of elderly people: 20.2% aged 60+ (≈2.18 million people) and 14.1% aged 65+, versus 10.9% in Brazil"</f>
        <v>RS tem a maior proporção de idosos do país: 20,2% com 60+ (≈2,18 mi de gaúchos) e 14,1% com 65+, contra 10,9% no Brasil</v>
      </c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>
        <v>0.45</v>
      </c>
    </row>
    <row r="237" spans="1:28" x14ac:dyDescent="0.2">
      <c r="A237">
        <v>0.45</v>
      </c>
      <c r="B237" s="186" t="s">
        <v>616</v>
      </c>
      <c r="C237" s="7" t="str">
        <f>"RS aging index of 115 — for the first time more people aged 60+ than young people up to 14"</f>
        <v>Índice de envelhecimento do RS de 115 — pela primeira vez mais pessoas 60+ do que jovens até 14 anos</v>
      </c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>
        <v>0.45</v>
      </c>
    </row>
    <row r="238" spans="1:28" x14ac:dyDescent="0.2">
      <c r="A238">
        <v>0.45</v>
      </c>
      <c r="B238" s="186" t="s">
        <v>616</v>
      </c>
      <c r="C238" s="7" t="str">
        <f>"Brazil: the 60+ population rose from ~21 million (2012) to over 35 million (2024), +55%"</f>
        <v>Brasil: população 60+ passou de ~21 mi (2012) para mais de 35 mi (2024), +55%</v>
      </c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>
        <v>0.45</v>
      </c>
    </row>
    <row r="239" spans="1:28" x14ac:dyDescent="0.2">
      <c r="A239">
        <v>0.45</v>
      </c>
      <c r="B239" s="186" t="s">
        <v>616</v>
      </c>
      <c r="C239" s="7" t="str">
        <f>"National market still incipient: ~7,000 long-term care homes; senior living monthly fees exceed R$ 10 thousand/month"</f>
        <v>Mercado nacional ainda incipiente: ~7.000 ILPIs; mensalidades de senior living superam R$ 10 mil/mês</v>
      </c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>
        <v>0.45</v>
      </c>
    </row>
    <row r="240" spans="1:28" x14ac:dyDescent="0.2">
      <c r="A240">
        <v>0.45</v>
      </c>
      <c r="B240" s="186" t="s">
        <v>616</v>
      </c>
      <c r="C240" s="7" t="str">
        <f>"Masterplan references: Magno Três Figueiras (114 units), 45% of people 60+ would consider moving to a senior residence, condo-hotel return of 8% p.a."</f>
        <v>Referências do masterplan: Magno Três Figueiras (114 un.), 45% dos 60+ considerariam mudar para residência sênior, retorno condo-hotel de 8% a.a.</v>
      </c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>
        <v>0.45</v>
      </c>
    </row>
    <row r="241" spans="1:28" x14ac:dyDescent="0.2">
      <c r="A241">
        <v>0.45</v>
      </c>
      <c r="B241" s="186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>
        <v>0.45</v>
      </c>
    </row>
    <row r="242" spans="1:28" x14ac:dyDescent="0.2">
      <c r="B242" s="175" t="s">
        <v>624</v>
      </c>
      <c r="C242" s="169"/>
      <c r="D242" s="169"/>
      <c r="E242" s="169"/>
      <c r="F242" s="169"/>
      <c r="G242" s="169"/>
      <c r="H242" s="169"/>
      <c r="I242" s="169"/>
      <c r="J242" s="169"/>
      <c r="K242" s="169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</row>
    <row r="243" spans="1:28" x14ac:dyDescent="0.2">
      <c r="B243" s="186" t="s">
        <v>616</v>
      </c>
      <c r="C243" s="7" t="str">
        <f>TEXT($E$9,"#.##0")&amp;" units (studios of "&amp;$E$26&amp;" m² and 1-bedroom units of "&amp;$E$27&amp;" m²), "&amp;TEXT($E$29,"#.##0")&amp;" m² built on 4 floors, next to the AI/03 clinical complex"</f>
        <v>90 unidades (estúdios de 45 m² e 1 dorm. de 60 m²), 8.000 m² construídos em 4 pavimentos, junto ao complexo clínico AI/03</v>
      </c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</row>
    <row r="244" spans="1:28" x14ac:dyDescent="0.2">
      <c r="B244" s="186" t="s">
        <v>616</v>
      </c>
      <c r="C244" s="7" t="str">
        <f>"Mix: "&amp;TEXT($E$10,"0%")&amp;" independent, "&amp;TEXT($E$11,"0%")&amp;" semi-dependent and "&amp;TEXT($E$12,"0%")&amp;" dependent; monthly fees of R$ "&amp;TEXT($E$13,"0,0")&amp;" a "&amp;TEXT($E$15,"0,0")&amp;" thousand (housing + 3 meals)"</f>
        <v>Mix: 60% independentes, 25% semi e 15% dependentes; mensalidades de R$ 9,0 a 12,0 mil (moradia + 3 refeições)</v>
      </c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</row>
    <row r="245" spans="1:28" x14ac:dyDescent="0.2">
      <c r="B245" s="186" t="s">
        <v>616</v>
      </c>
      <c r="C245" s="7" t="str">
        <f>"Construction in "&amp;$E$34&amp;", opening in "&amp;$E$36&amp;"; occupancy of "&amp;TEXT($E$17,"0%")&amp;" → "&amp;TEXT($E$18,"0%")&amp;" → "&amp;TEXT($E$16,"0%")&amp;" stabilized"</f>
        <v>Obra em 2029, abertura em 2031; ocupação de 45% → 60% → 75% estabilizada</v>
      </c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8" x14ac:dyDescent="0.2">
      <c r="B246" s="186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8" x14ac:dyDescent="0.2">
      <c r="B247" s="175" t="s">
        <v>632</v>
      </c>
      <c r="C247" s="169"/>
      <c r="D247" s="169"/>
      <c r="E247" s="169"/>
      <c r="F247" s="169"/>
      <c r="G247" s="169"/>
      <c r="H247" s="169"/>
      <c r="I247" s="169"/>
      <c r="J247" s="169"/>
      <c r="K247" s="169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</row>
    <row r="248" spans="1:28" x14ac:dyDescent="0.2">
      <c r="B248" s="186" t="s">
        <v>616</v>
      </c>
      <c r="C248" s="7" t="str">
        <f>"Stabilized revenue of R$ "&amp;TEXT($E$50/1000,"#.##0,0")&amp;" million/year; operator NOI of R$ "&amp;TEXT($E$188/1000,"#.##0,0")&amp;" million"</f>
        <v>Receita estabilizada de R$ 10,6 mi/ano; NOI do operador de R$ 4,0 mi</v>
      </c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</row>
    <row r="249" spans="1:28" x14ac:dyDescent="0.2">
      <c r="B249" s="186" t="s">
        <v>616</v>
      </c>
      <c r="C249" s="7" t="str">
        <f>"Shell Capex of R$ "&amp;TEXT($E$209/1000,"#.##0,0")&amp;" million; sale to the operator for R$ "&amp;TEXT($E$204/1000,"#.##0,0")&amp;" million (R$ "&amp;TEXT($E$202,"#.##0")&amp;"/private m²), margin of "&amp;TEXT($E$211,"0,0%")</f>
        <v>Capex da casca de R$ 68,5 mi; venda ao operador por R$ 82,3 mi (R$ 18.470/m² privativo), margem de 9,8%</v>
      </c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8" x14ac:dyDescent="0.2">
      <c r="B250" s="186" t="s">
        <v>616</v>
      </c>
      <c r="C250" s="7" t="str">
        <f>"Operator yield: "&amp;TEXT($E$216,"0,0%")&amp;" on the price and "&amp;TEXT($E$217,"0,0%")&amp;" on price + FF&amp;E — below the benchmark of "&amp;TEXT($E$37,"0%")</f>
        <v>Yield do operador: 4,9% sobre o preço e 4,5% sobre preço + FF&amp;E — abaixo da referência de 8%</v>
      </c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</row>
    <row r="251" spans="1:28" x14ac:dyDescent="0.2">
      <c r="B251" s="186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</row>
    <row r="252" spans="1:28" x14ac:dyDescent="0.2">
      <c r="B252" s="175" t="s">
        <v>633</v>
      </c>
      <c r="C252" s="169"/>
      <c r="D252" s="169"/>
      <c r="E252" s="169"/>
      <c r="F252" s="169"/>
      <c r="G252" s="169"/>
      <c r="H252" s="169"/>
      <c r="I252" s="169"/>
      <c r="J252" s="169"/>
      <c r="K252" s="169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</row>
    <row r="253" spans="1:28" ht="29" x14ac:dyDescent="0.2">
      <c r="B253" s="186"/>
      <c r="C253" s="189" t="s">
        <v>181</v>
      </c>
      <c r="D253" s="189"/>
      <c r="E253" s="189"/>
      <c r="F253" s="189"/>
      <c r="G253" s="187" t="str">
        <f t="shared" ref="G253:K257" si="57">G163</f>
        <v>Condo-hotel</v>
      </c>
      <c r="H253" s="187" t="str">
        <f t="shared" si="57"/>
        <v>Renda própria</v>
      </c>
      <c r="I253" s="187" t="str">
        <f t="shared" si="57"/>
        <v>Locação</v>
      </c>
      <c r="J253" s="187" t="str">
        <f t="shared" si="57"/>
        <v>Venda do terreno</v>
      </c>
      <c r="K253" s="187" t="str">
        <f t="shared" si="57"/>
        <v>Casca ao operador</v>
      </c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</row>
    <row r="254" spans="1:28" x14ac:dyDescent="0.2">
      <c r="B254" s="186"/>
      <c r="C254" s="7" t="str">
        <f>C164</f>
        <v>TIR com perpetuidade (% a.a.)</v>
      </c>
      <c r="D254" s="7"/>
      <c r="E254" s="7"/>
      <c r="F254" s="7"/>
      <c r="G254" s="36">
        <f t="shared" si="57"/>
        <v>-0.10603623097154713</v>
      </c>
      <c r="H254" s="36">
        <f t="shared" si="57"/>
        <v>-1.9999469583810048E-2</v>
      </c>
      <c r="I254" s="36">
        <f t="shared" si="57"/>
        <v>3.0916653962987706E-2</v>
      </c>
      <c r="J254" s="36" t="str">
        <f t="shared" si="57"/>
        <v>n/a</v>
      </c>
      <c r="K254" s="164">
        <f t="shared" si="57"/>
        <v>0.18080179139693242</v>
      </c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</row>
    <row r="255" spans="1:28" x14ac:dyDescent="0.2">
      <c r="B255" s="186"/>
      <c r="C255" s="7" t="str">
        <f>C165</f>
        <v>VPL com perpetuidade (R$ mil)</v>
      </c>
      <c r="D255" s="7"/>
      <c r="E255" s="7"/>
      <c r="F255" s="7"/>
      <c r="G255" s="19">
        <f t="shared" si="57"/>
        <v>-29433.329440220885</v>
      </c>
      <c r="H255" s="19">
        <f t="shared" si="57"/>
        <v>-40438.461593136119</v>
      </c>
      <c r="I255" s="19">
        <f t="shared" si="57"/>
        <v>-26554.715122235084</v>
      </c>
      <c r="J255" s="19">
        <f t="shared" si="57"/>
        <v>14384.570572225006</v>
      </c>
      <c r="K255" s="184">
        <f t="shared" si="57"/>
        <v>2689.8092329382616</v>
      </c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</row>
    <row r="256" spans="1:28" x14ac:dyDescent="0.2">
      <c r="B256" s="186"/>
      <c r="C256" s="7" t="str">
        <f>C166</f>
        <v>Exposição máxima de caixa (R$ mil)</v>
      </c>
      <c r="D256" s="7"/>
      <c r="E256" s="7"/>
      <c r="F256" s="7"/>
      <c r="G256" s="19">
        <f t="shared" si="57"/>
        <v>64923.594786132555</v>
      </c>
      <c r="H256" s="19">
        <f t="shared" si="57"/>
        <v>75680</v>
      </c>
      <c r="I256" s="19">
        <f t="shared" si="57"/>
        <v>75680</v>
      </c>
      <c r="J256" s="19">
        <f t="shared" si="57"/>
        <v>0</v>
      </c>
      <c r="K256" s="184">
        <f t="shared" si="57"/>
        <v>30218.009749999997</v>
      </c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</row>
    <row r="257" spans="2:27" x14ac:dyDescent="0.2">
      <c r="B257" s="186"/>
      <c r="C257" s="7" t="str">
        <f>C167</f>
        <v>MOIC até 2045</v>
      </c>
      <c r="D257" s="7"/>
      <c r="E257" s="7"/>
      <c r="F257" s="7"/>
      <c r="G257" s="150">
        <f t="shared" si="57"/>
        <v>0.44479575358519879</v>
      </c>
      <c r="H257" s="150">
        <f t="shared" si="57"/>
        <v>0.38694669048041286</v>
      </c>
      <c r="I257" s="150">
        <f t="shared" si="57"/>
        <v>0.74260251947883316</v>
      </c>
      <c r="J257" s="150" t="str">
        <f t="shared" si="57"/>
        <v>n/a</v>
      </c>
      <c r="K257" s="190">
        <f t="shared" si="57"/>
        <v>1.2661982230646414</v>
      </c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</row>
    <row r="259" spans="2:27" x14ac:dyDescent="0.2">
      <c r="B259" s="186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2:27" x14ac:dyDescent="0.2">
      <c r="B260" s="175" t="s">
        <v>634</v>
      </c>
      <c r="C260" s="169"/>
      <c r="D260" s="169"/>
      <c r="E260" s="169"/>
      <c r="F260" s="169"/>
      <c r="G260" s="169"/>
      <c r="H260" s="169"/>
      <c r="I260" s="169"/>
      <c r="J260" s="169"/>
      <c r="K260" s="169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2:27" ht="29" x14ac:dyDescent="0.2">
      <c r="B261" s="186"/>
      <c r="C261" s="189" t="s">
        <v>181</v>
      </c>
      <c r="D261" s="189"/>
      <c r="E261" s="189"/>
      <c r="F261" s="189"/>
      <c r="G261" s="187" t="str">
        <f>"Senior Living"</f>
        <v>Senior Living</v>
      </c>
      <c r="H261" s="187" t="str">
        <f>"Conventions"</f>
        <v>Convenções</v>
      </c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</row>
    <row r="262" spans="2:27" x14ac:dyDescent="0.2">
      <c r="B262" s="186"/>
      <c r="C262" s="7" t="str">
        <f>'CONVENTION CENTER'!C137</f>
        <v>Área construída (m²)</v>
      </c>
      <c r="D262" s="7"/>
      <c r="E262" s="7"/>
      <c r="F262" s="7"/>
      <c r="G262" s="153">
        <f>'CONVENTION CENTER'!H137</f>
        <v>8000</v>
      </c>
      <c r="H262" s="153">
        <f>'CONVENTION CENTER'!G137</f>
        <v>7500</v>
      </c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</row>
    <row r="263" spans="2:27" x14ac:dyDescent="0.2">
      <c r="B263" s="186"/>
      <c r="C263" s="7" t="str">
        <f>'CONVENTION CENTER'!C138</f>
        <v>Capex do Grupo Sirena (R$ mil)</v>
      </c>
      <c r="D263" s="7"/>
      <c r="E263" s="7"/>
      <c r="F263" s="7"/>
      <c r="G263" s="41">
        <f>'CONVENTION CENTER'!H138</f>
        <v>68480</v>
      </c>
      <c r="H263" s="41">
        <f>'CONVENTION CENTER'!G138</f>
        <v>56175</v>
      </c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</row>
    <row r="264" spans="2:27" x14ac:dyDescent="0.2">
      <c r="B264" s="186"/>
      <c r="C264" s="7" t="str">
        <f>'CONVENTION CENTER'!C140</f>
        <v>Preço de venda ao operador (R$ mil)</v>
      </c>
      <c r="D264" s="7"/>
      <c r="E264" s="7"/>
      <c r="F264" s="7"/>
      <c r="G264" s="41">
        <f>'CONVENTION CENTER'!H140</f>
        <v>82283.850000000006</v>
      </c>
      <c r="H264" s="41">
        <f>'CONVENTION CENTER'!G140</f>
        <v>67500</v>
      </c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</row>
    <row r="265" spans="2:27" x14ac:dyDescent="0.2">
      <c r="B265" s="186"/>
      <c r="C265" s="7" t="str">
        <f>'CONVENTION CENTER'!C141</f>
        <v>FF&amp;E pago pelo operador (R$ mil, preços de 2026)</v>
      </c>
      <c r="D265" s="7"/>
      <c r="E265" s="7"/>
      <c r="F265" s="7"/>
      <c r="G265" s="41">
        <f>'CONVENTION CENTER'!H141</f>
        <v>7200</v>
      </c>
      <c r="H265" s="41">
        <f>'CONVENTION CENTER'!G141</f>
        <v>4500</v>
      </c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</row>
    <row r="266" spans="2:27" x14ac:dyDescent="0.2">
      <c r="B266" s="186"/>
      <c r="C266" s="7" t="str">
        <f>'CONVENTION CENTER'!C142</f>
        <v>NOI estabilizado do operador (R$ mil/ano, preços do ano de abertura)</v>
      </c>
      <c r="D266" s="7"/>
      <c r="E266" s="7"/>
      <c r="F266" s="7"/>
      <c r="G266" s="41">
        <f>'CONVENTION CENTER'!H142</f>
        <v>4036.9718333527221</v>
      </c>
      <c r="H266" s="41">
        <f>'CONVENTION CENTER'!G142</f>
        <v>9045.488923585699</v>
      </c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2:27" x14ac:dyDescent="0.2">
      <c r="B267" s="186"/>
      <c r="C267" s="7" t="str">
        <f>'CONVENTION CENTER'!C143</f>
        <v>Yield final do operador sobre (preço + FF&amp;E)</v>
      </c>
      <c r="D267" s="7"/>
      <c r="E267" s="7"/>
      <c r="F267" s="7"/>
      <c r="G267" s="165">
        <f>'CONVENTION CENTER'!H143</f>
        <v>4.5113971217741772E-2</v>
      </c>
      <c r="H267" s="165">
        <f>'CONVENTION CENTER'!G143</f>
        <v>0.12318240443189984</v>
      </c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</row>
    <row r="268" spans="2:27" x14ac:dyDescent="0.2">
      <c r="B268" s="186"/>
      <c r="C268" s="7" t="str">
        <f>'CONVENTION CENTER'!C144</f>
        <v>TIR do Grupo Sirena</v>
      </c>
      <c r="D268" s="7"/>
      <c r="E268" s="7"/>
      <c r="F268" s="7"/>
      <c r="G268" s="42">
        <f>'CONVENTION CENTER'!H144</f>
        <v>0.18080179139693242</v>
      </c>
      <c r="H268" s="42">
        <f>'CONVENTION CENTER'!G144</f>
        <v>0.18084388125950679</v>
      </c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2:27" x14ac:dyDescent="0.2">
      <c r="B269" s="186"/>
      <c r="C269" s="7" t="str">
        <f>'CONVENTION CENTER'!C145</f>
        <v>VPL do Grupo Sirena (R$ mil)</v>
      </c>
      <c r="D269" s="7"/>
      <c r="E269" s="7"/>
      <c r="F269" s="7"/>
      <c r="G269" s="41">
        <f>'CONVENTION CENTER'!H145</f>
        <v>2689.8092329382616</v>
      </c>
      <c r="H269" s="41">
        <f>'CONVENTION CENTER'!G145</f>
        <v>2207.4682310667267</v>
      </c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</row>
    <row r="270" spans="2:27" x14ac:dyDescent="0.2">
      <c r="B270" s="186"/>
      <c r="C270" s="188" t="str">
        <f>'CONVENTION CENTER'!C146</f>
        <v>Exposição máxima de caixa (R$ mil)</v>
      </c>
      <c r="D270" s="188"/>
      <c r="E270" s="188"/>
      <c r="F270" s="188"/>
      <c r="G270" s="179">
        <f>'CONVENTION CENTER'!H146</f>
        <v>30218.009749999997</v>
      </c>
      <c r="H270" s="179">
        <f>'CONVENTION CENTER'!G146</f>
        <v>24787.5</v>
      </c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</row>
    <row r="271" spans="2:27" x14ac:dyDescent="0.2">
      <c r="B271" s="186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</row>
    <row r="272" spans="2:27" x14ac:dyDescent="0.2">
      <c r="B272" s="175" t="s">
        <v>621</v>
      </c>
      <c r="C272" s="169"/>
      <c r="D272" s="169"/>
      <c r="E272" s="169"/>
      <c r="F272" s="169"/>
      <c r="G272" s="169"/>
      <c r="H272" s="169"/>
      <c r="I272" s="169"/>
      <c r="J272" s="169"/>
      <c r="K272" s="169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</row>
    <row r="273" spans="2:27" x14ac:dyDescent="0.2">
      <c r="B273" s="186" t="s">
        <v>616</v>
      </c>
      <c r="C273" s="7" t="str">
        <f>"Local demand unproven: the audience comes from the Serra region, Porto Alegre and SC; cultural barrier to 60+-only housing"</f>
        <v>Demanda local não provada: público vem da Serra, Porto Alegre e SC; barreira cultural para moradia exclusiva 60+</v>
      </c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2:27" x14ac:dyDescent="0.2">
      <c r="B274" s="186" t="s">
        <v>616</v>
      </c>
      <c r="C274" s="7" t="str">
        <f>"No specific senior living regulation; classification as a residence with services (not a care home) depends on the agreement with the clinical complex"</f>
        <v>Falta regulação específica de senior living; enquadramento como residencial com serviços (não ILPI) depende do convênio com o complexo clínico</v>
      </c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</row>
    <row r="275" spans="2:27" x14ac:dyDescent="0.2">
      <c r="B275" s="186" t="s">
        <v>616</v>
      </c>
      <c r="C275" s="7" t="str">
        <f>"Monthly fees, occupancy and costs (60% of revenue) are assumptions — validate with a specialized operator"</f>
        <v>Mensalidades, ocupação e custos (60% da receita) são premissas — validar com operador especializado</v>
      </c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</row>
  </sheetData>
  <conditionalFormatting sqref="G164:K168 G170:K170">
    <cfRule type="expression" dxfId="0" priority="1">
      <formula>COLUMN(G164)-COLUMN($G$164)+1=$E$4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MASTERPLAN</vt:lpstr>
      <vt:lpstr>MANAGEMENT</vt:lpstr>
      <vt:lpstr>CLUB MED</vt:lpstr>
      <vt:lpstr>WDC WEDDINGS</vt:lpstr>
      <vt:lpstr>VILLAS</vt:lpstr>
      <vt:lpstr>MINI MALL</vt:lpstr>
      <vt:lpstr>SKI GRAMADO</vt:lpstr>
      <vt:lpstr>CONVENTION CENTER</vt:lpstr>
      <vt:lpstr>VERTICAL APTS</vt:lpstr>
      <vt:lpstr>LAND LOTS</vt:lpstr>
      <vt:lpstr>SENIOR LIVING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FLAVIO QUINTAL</dc:creator>
  <cp:lastModifiedBy>Felipe Arlindo</cp:lastModifiedBy>
  <cp:lastPrinted>2025-04-08T14:48:07Z</cp:lastPrinted>
  <dcterms:created xsi:type="dcterms:W3CDTF">2024-03-11T13:37:08Z</dcterms:created>
  <dcterms:modified xsi:type="dcterms:W3CDTF">2026-10-15T16:15:25Z</dcterms:modified>
</cp:coreProperties>
</file>